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otopes" sheetId="1" r:id="rId1"/>
  </sheets>
  <calcPr calcId="124519" fullCalcOnLoad="1"/>
</workbook>
</file>

<file path=xl/sharedStrings.xml><?xml version="1.0" encoding="utf-8"?>
<sst xmlns="http://schemas.openxmlformats.org/spreadsheetml/2006/main" count="366" uniqueCount="362">
  <si>
    <t>Isotopic compositions of chemical elements</t>
  </si>
  <si>
    <t>S21</t>
  </si>
  <si>
    <t>Z</t>
  </si>
  <si>
    <t>M</t>
  </si>
  <si>
    <t>Isotope</t>
  </si>
  <si>
    <t>AtomicW</t>
  </si>
  <si>
    <t>Unct</t>
  </si>
  <si>
    <t>IsoComp</t>
  </si>
  <si>
    <t>H</t>
  </si>
  <si>
    <t>D</t>
  </si>
  <si>
    <t>T</t>
  </si>
  <si>
    <t>3He</t>
  </si>
  <si>
    <t>4He</t>
  </si>
  <si>
    <t>6Li</t>
  </si>
  <si>
    <t>7Li</t>
  </si>
  <si>
    <t>9Be</t>
  </si>
  <si>
    <t>10B</t>
  </si>
  <si>
    <t>11B</t>
  </si>
  <si>
    <t>12C</t>
  </si>
  <si>
    <t>13C</t>
  </si>
  <si>
    <t>14C</t>
  </si>
  <si>
    <t>14N</t>
  </si>
  <si>
    <t>15N</t>
  </si>
  <si>
    <t>16O</t>
  </si>
  <si>
    <t>17O</t>
  </si>
  <si>
    <t>18O</t>
  </si>
  <si>
    <t>19F</t>
  </si>
  <si>
    <t>20Ne</t>
  </si>
  <si>
    <t>21Ne</t>
  </si>
  <si>
    <t>22Ne</t>
  </si>
  <si>
    <t>23Na</t>
  </si>
  <si>
    <t>24Mg</t>
  </si>
  <si>
    <t>25Mg</t>
  </si>
  <si>
    <t>26Mg</t>
  </si>
  <si>
    <t>27Al</t>
  </si>
  <si>
    <t>28Si</t>
  </si>
  <si>
    <t>29Si</t>
  </si>
  <si>
    <t>30Si</t>
  </si>
  <si>
    <t>31P</t>
  </si>
  <si>
    <t>32S</t>
  </si>
  <si>
    <t>33S</t>
  </si>
  <si>
    <t>34S</t>
  </si>
  <si>
    <t>36S</t>
  </si>
  <si>
    <t>35Cl</t>
  </si>
  <si>
    <t>37Cl</t>
  </si>
  <si>
    <t>36Ar</t>
  </si>
  <si>
    <t>38Ar</t>
  </si>
  <si>
    <t>40Ar</t>
  </si>
  <si>
    <t>39K</t>
  </si>
  <si>
    <t>40K</t>
  </si>
  <si>
    <t>41K</t>
  </si>
  <si>
    <t>40Ca</t>
  </si>
  <si>
    <t>42Ca</t>
  </si>
  <si>
    <t>43Ca</t>
  </si>
  <si>
    <t>44Ca</t>
  </si>
  <si>
    <t>46Ca</t>
  </si>
  <si>
    <t>48Ca</t>
  </si>
  <si>
    <t>45Sc</t>
  </si>
  <si>
    <t>46Ti</t>
  </si>
  <si>
    <t>47Ti</t>
  </si>
  <si>
    <t>48Ti</t>
  </si>
  <si>
    <t>49Ti</t>
  </si>
  <si>
    <t>50Ti</t>
  </si>
  <si>
    <t>50V</t>
  </si>
  <si>
    <t>51V</t>
  </si>
  <si>
    <t>50Cr</t>
  </si>
  <si>
    <t>52Cr</t>
  </si>
  <si>
    <t>53Cr</t>
  </si>
  <si>
    <t>54Cr</t>
  </si>
  <si>
    <t>55Mn</t>
  </si>
  <si>
    <t>54Fe</t>
  </si>
  <si>
    <t>56Fe</t>
  </si>
  <si>
    <t>57Fe</t>
  </si>
  <si>
    <t>58Fe</t>
  </si>
  <si>
    <t>59Co</t>
  </si>
  <si>
    <t>58Ni</t>
  </si>
  <si>
    <t>60Ni</t>
  </si>
  <si>
    <t>61Ni</t>
  </si>
  <si>
    <t>62Ni</t>
  </si>
  <si>
    <t>64Ni</t>
  </si>
  <si>
    <t>63Cu</t>
  </si>
  <si>
    <t>65Cu</t>
  </si>
  <si>
    <t>64Zn</t>
  </si>
  <si>
    <t>66Zn</t>
  </si>
  <si>
    <t>67Zn</t>
  </si>
  <si>
    <t>68Zn</t>
  </si>
  <si>
    <t>70Zn</t>
  </si>
  <si>
    <t>69Ga</t>
  </si>
  <si>
    <t>71Ga</t>
  </si>
  <si>
    <t>70Ge</t>
  </si>
  <si>
    <t>72Ge</t>
  </si>
  <si>
    <t>73Ge</t>
  </si>
  <si>
    <t>74Ge</t>
  </si>
  <si>
    <t>76Ge</t>
  </si>
  <si>
    <t>75As</t>
  </si>
  <si>
    <t>74Se</t>
  </si>
  <si>
    <t>76Se</t>
  </si>
  <si>
    <t>77Se</t>
  </si>
  <si>
    <t>78Se</t>
  </si>
  <si>
    <t>80Se</t>
  </si>
  <si>
    <t>82Se</t>
  </si>
  <si>
    <t>79Br</t>
  </si>
  <si>
    <t>81Br</t>
  </si>
  <si>
    <t>78Kr</t>
  </si>
  <si>
    <t>80Kr</t>
  </si>
  <si>
    <t>82Kr</t>
  </si>
  <si>
    <t>83Kr</t>
  </si>
  <si>
    <t>84Kr</t>
  </si>
  <si>
    <t>86Kr</t>
  </si>
  <si>
    <t>85Rb</t>
  </si>
  <si>
    <t>87Rb</t>
  </si>
  <si>
    <t>84Sr</t>
  </si>
  <si>
    <t>86Sr</t>
  </si>
  <si>
    <t>87Sr</t>
  </si>
  <si>
    <t>88Sr</t>
  </si>
  <si>
    <t>89Y</t>
  </si>
  <si>
    <t>90Zr</t>
  </si>
  <si>
    <t>91v</t>
  </si>
  <si>
    <t>92</t>
  </si>
  <si>
    <t>94</t>
  </si>
  <si>
    <t>96</t>
  </si>
  <si>
    <t>93Nb</t>
  </si>
  <si>
    <t>92Mo</t>
  </si>
  <si>
    <t>94Mo</t>
  </si>
  <si>
    <t>95Mo</t>
  </si>
  <si>
    <t>96Mo</t>
  </si>
  <si>
    <t>97Mo</t>
  </si>
  <si>
    <t>98Mo</t>
  </si>
  <si>
    <t>100Mo</t>
  </si>
  <si>
    <t>97Tc</t>
  </si>
  <si>
    <t>98Tc</t>
  </si>
  <si>
    <t>99Tc</t>
  </si>
  <si>
    <t>96Ru</t>
  </si>
  <si>
    <t>98Ru</t>
  </si>
  <si>
    <t>99Ru</t>
  </si>
  <si>
    <t>100Ru</t>
  </si>
  <si>
    <t>101Ru</t>
  </si>
  <si>
    <t>102Ru</t>
  </si>
  <si>
    <t>104Ru</t>
  </si>
  <si>
    <t>103Rh</t>
  </si>
  <si>
    <t>102Pd</t>
  </si>
  <si>
    <t>104Pd</t>
  </si>
  <si>
    <t>105Pd</t>
  </si>
  <si>
    <t>106Pd</t>
  </si>
  <si>
    <t>108Pd</t>
  </si>
  <si>
    <t>110Pd</t>
  </si>
  <si>
    <t>107Ag</t>
  </si>
  <si>
    <t>109Ag</t>
  </si>
  <si>
    <t>106Cd</t>
  </si>
  <si>
    <t>108Cd</t>
  </si>
  <si>
    <t>110Cd</t>
  </si>
  <si>
    <t>111Cd</t>
  </si>
  <si>
    <t>112Cd</t>
  </si>
  <si>
    <t>113Cd</t>
  </si>
  <si>
    <t>114Cd</t>
  </si>
  <si>
    <t>116Cd</t>
  </si>
  <si>
    <t>113In</t>
  </si>
  <si>
    <t>115In</t>
  </si>
  <si>
    <t>112Sn</t>
  </si>
  <si>
    <t>114Sn</t>
  </si>
  <si>
    <t>115Sn</t>
  </si>
  <si>
    <t>116Sn</t>
  </si>
  <si>
    <t>117Sn</t>
  </si>
  <si>
    <t>118Sn</t>
  </si>
  <si>
    <t>119Sn</t>
  </si>
  <si>
    <t>120Sn</t>
  </si>
  <si>
    <t>122Sn</t>
  </si>
  <si>
    <t>124Sn</t>
  </si>
  <si>
    <t>121Sb</t>
  </si>
  <si>
    <t>123Sb</t>
  </si>
  <si>
    <t>120Te</t>
  </si>
  <si>
    <t>122Te</t>
  </si>
  <si>
    <t>123Te</t>
  </si>
  <si>
    <t>124Te</t>
  </si>
  <si>
    <t>125Te</t>
  </si>
  <si>
    <t>126Te</t>
  </si>
  <si>
    <t>128Te</t>
  </si>
  <si>
    <t>130Te</t>
  </si>
  <si>
    <t>127I</t>
  </si>
  <si>
    <t>124Xe</t>
  </si>
  <si>
    <t>126Xe</t>
  </si>
  <si>
    <t>128Xe</t>
  </si>
  <si>
    <t>129Xe</t>
  </si>
  <si>
    <t>130Xe</t>
  </si>
  <si>
    <t>131Xe</t>
  </si>
  <si>
    <t>132Xe</t>
  </si>
  <si>
    <t>134Xe</t>
  </si>
  <si>
    <t>136Xe</t>
  </si>
  <si>
    <t>133Cs</t>
  </si>
  <si>
    <t>130Ba</t>
  </si>
  <si>
    <t>132Ba</t>
  </si>
  <si>
    <t>134Ba</t>
  </si>
  <si>
    <t>135Ba</t>
  </si>
  <si>
    <t>136Ba</t>
  </si>
  <si>
    <t>137Ba</t>
  </si>
  <si>
    <t>138Ba</t>
  </si>
  <si>
    <t>138La</t>
  </si>
  <si>
    <t>139La</t>
  </si>
  <si>
    <t>136Ce</t>
  </si>
  <si>
    <t>138Ce</t>
  </si>
  <si>
    <t>140Ce</t>
  </si>
  <si>
    <t>142Ce</t>
  </si>
  <si>
    <t>141Pr</t>
  </si>
  <si>
    <t>142Nd</t>
  </si>
  <si>
    <t>143Nd</t>
  </si>
  <si>
    <t>144Nd</t>
  </si>
  <si>
    <t>145Nd</t>
  </si>
  <si>
    <t>146Nd</t>
  </si>
  <si>
    <t>148Nd</t>
  </si>
  <si>
    <t>150Nd</t>
  </si>
  <si>
    <t>145Pm</t>
  </si>
  <si>
    <t>147Pm</t>
  </si>
  <si>
    <t>144Sm</t>
  </si>
  <si>
    <t>147Sm</t>
  </si>
  <si>
    <t>148Sm</t>
  </si>
  <si>
    <t>149Sm</t>
  </si>
  <si>
    <t>150Sm</t>
  </si>
  <si>
    <t>152Sm</t>
  </si>
  <si>
    <t>154Sm</t>
  </si>
  <si>
    <t>151Eu</t>
  </si>
  <si>
    <t>153Eu</t>
  </si>
  <si>
    <t>152Gd</t>
  </si>
  <si>
    <t>154Gd</t>
  </si>
  <si>
    <t>155Gd</t>
  </si>
  <si>
    <t>156Gd</t>
  </si>
  <si>
    <t>157Gd</t>
  </si>
  <si>
    <t>158Gd</t>
  </si>
  <si>
    <t>160Gd</t>
  </si>
  <si>
    <t>159Tb</t>
  </si>
  <si>
    <t>156Dy</t>
  </si>
  <si>
    <t>158Dy</t>
  </si>
  <si>
    <t>160Dy</t>
  </si>
  <si>
    <t>161Dy</t>
  </si>
  <si>
    <t>162Dy</t>
  </si>
  <si>
    <t>163Dy</t>
  </si>
  <si>
    <t>164Dy</t>
  </si>
  <si>
    <t>165Ho</t>
  </si>
  <si>
    <t>162Er</t>
  </si>
  <si>
    <t>164Er</t>
  </si>
  <si>
    <t>166Er</t>
  </si>
  <si>
    <t>167Er</t>
  </si>
  <si>
    <t>168Er</t>
  </si>
  <si>
    <t>170Er</t>
  </si>
  <si>
    <t>169Tm</t>
  </si>
  <si>
    <t>168Yb</t>
  </si>
  <si>
    <t>170Yb</t>
  </si>
  <si>
    <t>171Yb</t>
  </si>
  <si>
    <t>172Yb</t>
  </si>
  <si>
    <t>173Yb</t>
  </si>
  <si>
    <t>174Yb</t>
  </si>
  <si>
    <t>176Yb</t>
  </si>
  <si>
    <t>175Lu</t>
  </si>
  <si>
    <t>176Lu</t>
  </si>
  <si>
    <t>174Hf</t>
  </si>
  <si>
    <t>176Hf</t>
  </si>
  <si>
    <t>177Hf</t>
  </si>
  <si>
    <t>178Hf</t>
  </si>
  <si>
    <t>179Hf</t>
  </si>
  <si>
    <t>180Hf</t>
  </si>
  <si>
    <t>180Ta</t>
  </si>
  <si>
    <t>181Ta</t>
  </si>
  <si>
    <t>180W</t>
  </si>
  <si>
    <t>182W</t>
  </si>
  <si>
    <t>183W</t>
  </si>
  <si>
    <t>184W</t>
  </si>
  <si>
    <t>186W</t>
  </si>
  <si>
    <t>185Re</t>
  </si>
  <si>
    <t>187Re</t>
  </si>
  <si>
    <t>184Os</t>
  </si>
  <si>
    <t>186Os</t>
  </si>
  <si>
    <t>187Os</t>
  </si>
  <si>
    <t>188Os</t>
  </si>
  <si>
    <t>189Os</t>
  </si>
  <si>
    <t>190Os</t>
  </si>
  <si>
    <t>192Os</t>
  </si>
  <si>
    <t>191Ir</t>
  </si>
  <si>
    <t>193Ir</t>
  </si>
  <si>
    <t>190Pt</t>
  </si>
  <si>
    <t>192Pt</t>
  </si>
  <si>
    <t>194Pt</t>
  </si>
  <si>
    <t>195Pt</t>
  </si>
  <si>
    <t>196Pt</t>
  </si>
  <si>
    <t>198Pt</t>
  </si>
  <si>
    <t>197Au</t>
  </si>
  <si>
    <t>196Hg</t>
  </si>
  <si>
    <t>198Hg</t>
  </si>
  <si>
    <t>199Hg</t>
  </si>
  <si>
    <t>200Hg</t>
  </si>
  <si>
    <t>201Hg</t>
  </si>
  <si>
    <t>202Hg</t>
  </si>
  <si>
    <t>204Hg</t>
  </si>
  <si>
    <t>203Tl</t>
  </si>
  <si>
    <t>205Tl</t>
  </si>
  <si>
    <t>204Pb</t>
  </si>
  <si>
    <t>206Pb</t>
  </si>
  <si>
    <t>207Pb</t>
  </si>
  <si>
    <t>208Pb</t>
  </si>
  <si>
    <t>209Bi</t>
  </si>
  <si>
    <t>209Po</t>
  </si>
  <si>
    <t>210Po</t>
  </si>
  <si>
    <t>210At</t>
  </si>
  <si>
    <t>211At</t>
  </si>
  <si>
    <t>211Rn</t>
  </si>
  <si>
    <t>220Rn</t>
  </si>
  <si>
    <t>222Rn</t>
  </si>
  <si>
    <t>223Fr</t>
  </si>
  <si>
    <t>223Ra</t>
  </si>
  <si>
    <t>224Ra</t>
  </si>
  <si>
    <t>226Ra</t>
  </si>
  <si>
    <t>228Ra</t>
  </si>
  <si>
    <t>227Ac</t>
  </si>
  <si>
    <t>230Th</t>
  </si>
  <si>
    <t>232Th</t>
  </si>
  <si>
    <t>231Pa</t>
  </si>
  <si>
    <t>233U</t>
  </si>
  <si>
    <t>234U</t>
  </si>
  <si>
    <t>235U</t>
  </si>
  <si>
    <t>236U</t>
  </si>
  <si>
    <t>238U</t>
  </si>
  <si>
    <t>236Np</t>
  </si>
  <si>
    <t>237Np</t>
  </si>
  <si>
    <t>238Pu</t>
  </si>
  <si>
    <t>239Pu</t>
  </si>
  <si>
    <t>240Pu</t>
  </si>
  <si>
    <t>241Pu</t>
  </si>
  <si>
    <t>242Pu</t>
  </si>
  <si>
    <t>244Pu</t>
  </si>
  <si>
    <t>241Am</t>
  </si>
  <si>
    <t>243Am</t>
  </si>
  <si>
    <t>243Cm</t>
  </si>
  <si>
    <t>244Cm</t>
  </si>
  <si>
    <t>245Cm</t>
  </si>
  <si>
    <t>246Cm</t>
  </si>
  <si>
    <t>247Cm</t>
  </si>
  <si>
    <t>248Cm</t>
  </si>
  <si>
    <t>247Bk</t>
  </si>
  <si>
    <t>249Bk</t>
  </si>
  <si>
    <t>249Cf</t>
  </si>
  <si>
    <t>250Cf</t>
  </si>
  <si>
    <t>251Cf</t>
  </si>
  <si>
    <t>252Cf</t>
  </si>
  <si>
    <t>252Es</t>
  </si>
  <si>
    <t>257Fm</t>
  </si>
  <si>
    <t>258Md</t>
  </si>
  <si>
    <t>260Md</t>
  </si>
  <si>
    <t>259No</t>
  </si>
  <si>
    <t>262Lr</t>
  </si>
  <si>
    <t>265Rf</t>
  </si>
  <si>
    <t>268Db</t>
  </si>
  <si>
    <t>271Sg</t>
  </si>
  <si>
    <t>272Bh</t>
  </si>
  <si>
    <t>270Hs</t>
  </si>
  <si>
    <t>276Mt</t>
  </si>
  <si>
    <t>281Ds</t>
  </si>
  <si>
    <t>280Rg</t>
  </si>
  <si>
    <t>285Cn</t>
  </si>
  <si>
    <t>284Uut</t>
  </si>
  <si>
    <t>289Uuq</t>
  </si>
  <si>
    <t>288Uup</t>
  </si>
  <si>
    <t>293Uuh</t>
  </si>
  <si>
    <t>292Uus</t>
  </si>
  <si>
    <t>294Uuo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</si>
</sst>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7"/>
  <sheetViews>
    <sheetView tabSelected="1" workbookViewId="0"/>
  </sheetViews>
  <sheetFormatPr defaultRowHeight="15"/>
  <cols>
    <col min="1" max="1" width="4.7109375" customWidth="1"/>
    <col min="2" max="2" width="4.7109375" customWidth="1"/>
    <col min="3" max="3" width="8.7109375" customWidth="1"/>
    <col min="4" max="4" width="14.7109375" customWidth="1"/>
    <col min="5" max="5" width="8.7109375" customWidth="1"/>
    <col min="6" max="6" width="11.7109375" customWidth="1"/>
    <col min="7" max="7" width="8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 t="s">
        <v>1</v>
      </c>
      <c r="E2" s="2" t="s">
        <v>1</v>
      </c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6</v>
      </c>
    </row>
    <row r="4" spans="1:7">
      <c r="A4" s="3">
        <v>1</v>
      </c>
      <c r="B4" s="3">
        <v>1</v>
      </c>
      <c r="C4" s="3" t="s">
        <v>8</v>
      </c>
      <c r="D4" s="4" t="str">
        <f>HYPERLINK("http://141.218.60.56/~jnz1568/getInfo.php?workbook=isotopes.xlsx&amp;sheet=Isotopes&amp;row=4&amp;col=4&amp;number=1.00782503207&amp;sourceID=21","1.00782503207")</f>
        <v>1.00782503207</v>
      </c>
      <c r="E4" s="4" t="str">
        <f>HYPERLINK("http://141.218.60.56/~jnz1568/getInfo.php?workbook=isotopes.xlsx&amp;sheet=Isotopes&amp;row=4&amp;col=5&amp;number=1e-10&amp;sourceID=21","1e-10")</f>
        <v>1e-10</v>
      </c>
      <c r="F4" s="4" t="str">
        <f>HYPERLINK("http://141.218.60.56/~jnz1568/getInfo.php?workbook=isotopes.xlsx&amp;sheet=Isotopes&amp;row=4&amp;col=6&amp;number=0.999885&amp;sourceID=21","0.999885")</f>
        <v>0.999885</v>
      </c>
      <c r="G4" s="4" t="str">
        <f>HYPERLINK("http://141.218.60.56/~jnz1568/getInfo.php?workbook=isotopes.xlsx&amp;sheet=Isotopes&amp;row=4&amp;col=7&amp;number=7e-05&amp;sourceID=21","7e-05")</f>
        <v>7e-05</v>
      </c>
    </row>
    <row r="5" spans="1:7">
      <c r="A5" s="3">
        <v>1</v>
      </c>
      <c r="B5" s="3">
        <v>2</v>
      </c>
      <c r="C5" s="3" t="s">
        <v>9</v>
      </c>
      <c r="D5" s="4" t="str">
        <f>HYPERLINK("http://141.218.60.56/~jnz1568/getInfo.php?workbook=isotopes.xlsx&amp;sheet=Isotopes&amp;row=5&amp;col=4&amp;number=2.0141017778&amp;sourceID=21","2.0141017778")</f>
        <v>2.0141017778</v>
      </c>
      <c r="E5" s="4" t="str">
        <f>HYPERLINK("http://141.218.60.56/~jnz1568/getInfo.php?workbook=isotopes.xlsx&amp;sheet=Isotopes&amp;row=5&amp;col=5&amp;number=4e-10&amp;sourceID=21","4e-10")</f>
        <v>4e-10</v>
      </c>
      <c r="F5" s="4" t="str">
        <f>HYPERLINK("http://141.218.60.56/~jnz1568/getInfo.php?workbook=isotopes.xlsx&amp;sheet=Isotopes&amp;row=5&amp;col=6&amp;number=0.000115&amp;sourceID=21","0.000115")</f>
        <v>0.000115</v>
      </c>
      <c r="G5" s="4" t="str">
        <f>HYPERLINK("http://141.218.60.56/~jnz1568/getInfo.php?workbook=isotopes.xlsx&amp;sheet=Isotopes&amp;row=5&amp;col=7&amp;number=7e-05&amp;sourceID=21","7e-05")</f>
        <v>7e-05</v>
      </c>
    </row>
    <row r="6" spans="1:7">
      <c r="A6" s="3">
        <v>1</v>
      </c>
      <c r="B6" s="3">
        <v>3</v>
      </c>
      <c r="C6" s="3" t="s">
        <v>10</v>
      </c>
      <c r="D6" s="4" t="str">
        <f>HYPERLINK("http://141.218.60.56/~jnz1568/getInfo.php?workbook=isotopes.xlsx&amp;sheet=Isotopes&amp;row=6&amp;col=4&amp;number=3.0160492777&amp;sourceID=21","3.0160492777")</f>
        <v>3.0160492777</v>
      </c>
      <c r="E6" s="4" t="str">
        <f>HYPERLINK("http://141.218.60.56/~jnz1568/getInfo.php?workbook=isotopes.xlsx&amp;sheet=Isotopes&amp;row=6&amp;col=5&amp;number=2.5e-09&amp;sourceID=21","2.5e-09")</f>
        <v>2.5e-09</v>
      </c>
      <c r="F6" s="4" t="str">
        <f>HYPERLINK("http://141.218.60.56/~jnz1568/getInfo.php?workbook=isotopes.xlsx&amp;sheet=Isotopes&amp;row=6&amp;col=6&amp;number=&amp;sourceID=21","")</f>
        <v/>
      </c>
      <c r="G6" s="4" t="str">
        <f>HYPERLINK("http://141.218.60.56/~jnz1568/getInfo.php?workbook=isotopes.xlsx&amp;sheet=Isotopes&amp;row=6&amp;col=7&amp;number=&amp;sourceID=21","")</f>
        <v/>
      </c>
    </row>
    <row r="7" spans="1:7">
      <c r="A7" s="3">
        <v>2</v>
      </c>
      <c r="B7" s="3">
        <v>3</v>
      </c>
      <c r="C7" s="3" t="s">
        <v>11</v>
      </c>
      <c r="D7" s="4" t="str">
        <f>HYPERLINK("http://141.218.60.56/~jnz1568/getInfo.php?workbook=isotopes.xlsx&amp;sheet=Isotopes&amp;row=7&amp;col=4&amp;number=3.0160293191&amp;sourceID=21","3.0160293191")</f>
        <v>3.0160293191</v>
      </c>
      <c r="E7" s="4" t="str">
        <f>HYPERLINK("http://141.218.60.56/~jnz1568/getInfo.php?workbook=isotopes.xlsx&amp;sheet=Isotopes&amp;row=7&amp;col=5&amp;number=2.6e-09&amp;sourceID=21","2.6e-09")</f>
        <v>2.6e-09</v>
      </c>
      <c r="F7" s="4" t="str">
        <f>HYPERLINK("http://141.218.60.56/~jnz1568/getInfo.php?workbook=isotopes.xlsx&amp;sheet=Isotopes&amp;row=7&amp;col=6&amp;number=1.34e-06&amp;sourceID=21","1.34e-06")</f>
        <v>1.34e-06</v>
      </c>
      <c r="G7" s="4" t="str">
        <f>HYPERLINK("http://141.218.60.56/~jnz1568/getInfo.php?workbook=isotopes.xlsx&amp;sheet=Isotopes&amp;row=7&amp;col=7&amp;number=3e-08&amp;sourceID=21","3e-08")</f>
        <v>3e-08</v>
      </c>
    </row>
    <row r="8" spans="1:7">
      <c r="A8" s="3">
        <v>2</v>
      </c>
      <c r="B8" s="3">
        <v>4</v>
      </c>
      <c r="C8" s="3" t="s">
        <v>12</v>
      </c>
      <c r="D8" s="4" t="str">
        <f>HYPERLINK("http://141.218.60.56/~jnz1568/getInfo.php?workbook=isotopes.xlsx&amp;sheet=Isotopes&amp;row=8&amp;col=4&amp;number=4.00260325415&amp;sourceID=21","4.00260325415")</f>
        <v>4.00260325415</v>
      </c>
      <c r="E8" s="4" t="str">
        <f>HYPERLINK("http://141.218.60.56/~jnz1568/getInfo.php?workbook=isotopes.xlsx&amp;sheet=Isotopes&amp;row=8&amp;col=5&amp;number=6e-11&amp;sourceID=21","6e-11")</f>
        <v>6e-11</v>
      </c>
      <c r="F8" s="4" t="str">
        <f>HYPERLINK("http://141.218.60.56/~jnz1568/getInfo.php?workbook=isotopes.xlsx&amp;sheet=Isotopes&amp;row=8&amp;col=6&amp;number=0.99999866&amp;sourceID=21","0.99999866")</f>
        <v>0.99999866</v>
      </c>
      <c r="G8" s="4" t="str">
        <f>HYPERLINK("http://141.218.60.56/~jnz1568/getInfo.php?workbook=isotopes.xlsx&amp;sheet=Isotopes&amp;row=8&amp;col=7&amp;number=3e-08&amp;sourceID=21","3e-08")</f>
        <v>3e-08</v>
      </c>
    </row>
    <row r="9" spans="1:7">
      <c r="A9" s="3">
        <v>3</v>
      </c>
      <c r="B9" s="3">
        <v>6</v>
      </c>
      <c r="C9" s="3" t="s">
        <v>13</v>
      </c>
      <c r="D9" s="4" t="str">
        <f>HYPERLINK("http://141.218.60.56/~jnz1568/getInfo.php?workbook=isotopes.xlsx&amp;sheet=Isotopes&amp;row=9&amp;col=4&amp;number=6.015122795&amp;sourceID=21","6.015122795")</f>
        <v>6.015122795</v>
      </c>
      <c r="E9" s="4" t="str">
        <f>HYPERLINK("http://141.218.60.56/~jnz1568/getInfo.php?workbook=isotopes.xlsx&amp;sheet=Isotopes&amp;row=9&amp;col=5&amp;number=1.6e-08&amp;sourceID=21","1.6e-08")</f>
        <v>1.6e-08</v>
      </c>
      <c r="F9" s="4" t="str">
        <f>HYPERLINK("http://141.218.60.56/~jnz1568/getInfo.php?workbook=isotopes.xlsx&amp;sheet=Isotopes&amp;row=9&amp;col=6&amp;number=0.0759&amp;sourceID=21","0.0759")</f>
        <v>0.0759</v>
      </c>
      <c r="G9" s="4" t="str">
        <f>HYPERLINK("http://141.218.60.56/~jnz1568/getInfo.php?workbook=isotopes.xlsx&amp;sheet=Isotopes&amp;row=9&amp;col=7&amp;number=0.0004&amp;sourceID=21","0.0004")</f>
        <v>0.0004</v>
      </c>
    </row>
    <row r="10" spans="1:7">
      <c r="A10" s="3">
        <v>3</v>
      </c>
      <c r="B10" s="3">
        <v>7</v>
      </c>
      <c r="C10" s="3" t="s">
        <v>14</v>
      </c>
      <c r="D10" s="4" t="str">
        <f>HYPERLINK("http://141.218.60.56/~jnz1568/getInfo.php?workbook=isotopes.xlsx&amp;sheet=Isotopes&amp;row=10&amp;col=4&amp;number=7.01600455&amp;sourceID=21","7.01600455")</f>
        <v>7.01600455</v>
      </c>
      <c r="E10" s="4" t="str">
        <f>HYPERLINK("http://141.218.60.56/~jnz1568/getInfo.php?workbook=isotopes.xlsx&amp;sheet=Isotopes&amp;row=10&amp;col=5&amp;number=8e-08&amp;sourceID=21","8e-08")</f>
        <v>8e-08</v>
      </c>
      <c r="F10" s="4" t="str">
        <f>HYPERLINK("http://141.218.60.56/~jnz1568/getInfo.php?workbook=isotopes.xlsx&amp;sheet=Isotopes&amp;row=10&amp;col=6&amp;number=0.9241&amp;sourceID=21","0.9241")</f>
        <v>0.9241</v>
      </c>
      <c r="G10" s="4" t="str">
        <f>HYPERLINK("http://141.218.60.56/~jnz1568/getInfo.php?workbook=isotopes.xlsx&amp;sheet=Isotopes&amp;row=10&amp;col=7&amp;number=0.0004&amp;sourceID=21","0.0004")</f>
        <v>0.0004</v>
      </c>
    </row>
    <row r="11" spans="1:7">
      <c r="A11" s="3">
        <v>4</v>
      </c>
      <c r="B11" s="3">
        <v>9</v>
      </c>
      <c r="C11" s="3" t="s">
        <v>15</v>
      </c>
      <c r="D11" s="4" t="str">
        <f>HYPERLINK("http://141.218.60.56/~jnz1568/getInfo.php?workbook=isotopes.xlsx&amp;sheet=Isotopes&amp;row=11&amp;col=4&amp;number=9.0121822&amp;sourceID=21","9.0121822")</f>
        <v>9.0121822</v>
      </c>
      <c r="E11" s="4" t="str">
        <f>HYPERLINK("http://141.218.60.56/~jnz1568/getInfo.php?workbook=isotopes.xlsx&amp;sheet=Isotopes&amp;row=11&amp;col=5&amp;number=4e-07&amp;sourceID=21","4e-07")</f>
        <v>4e-07</v>
      </c>
      <c r="F11" s="4" t="str">
        <f>HYPERLINK("http://141.218.60.56/~jnz1568/getInfo.php?workbook=isotopes.xlsx&amp;sheet=Isotopes&amp;row=11&amp;col=6&amp;number=1&amp;sourceID=21","1")</f>
        <v>1</v>
      </c>
      <c r="G11" s="4" t="str">
        <f>HYPERLINK("http://141.218.60.56/~jnz1568/getInfo.php?workbook=isotopes.xlsx&amp;sheet=Isotopes&amp;row=11&amp;col=7&amp;number=&amp;sourceID=21","")</f>
        <v/>
      </c>
    </row>
    <row r="12" spans="1:7">
      <c r="A12" s="3">
        <v>5</v>
      </c>
      <c r="B12" s="3">
        <v>10</v>
      </c>
      <c r="C12" s="3" t="s">
        <v>16</v>
      </c>
      <c r="D12" s="4" t="str">
        <f>HYPERLINK("http://141.218.60.56/~jnz1568/getInfo.php?workbook=isotopes.xlsx&amp;sheet=Isotopes&amp;row=12&amp;col=4&amp;number=10.012937&amp;sourceID=21","10.012937")</f>
        <v>10.012937</v>
      </c>
      <c r="E12" s="4" t="str">
        <f>HYPERLINK("http://141.218.60.56/~jnz1568/getInfo.php?workbook=isotopes.xlsx&amp;sheet=Isotopes&amp;row=12&amp;col=5&amp;number=4e-07&amp;sourceID=21","4e-07")</f>
        <v>4e-07</v>
      </c>
      <c r="F12" s="4" t="str">
        <f>HYPERLINK("http://141.218.60.56/~jnz1568/getInfo.php?workbook=isotopes.xlsx&amp;sheet=Isotopes&amp;row=12&amp;col=6&amp;number=0.199&amp;sourceID=21","0.199")</f>
        <v>0.199</v>
      </c>
      <c r="G12" s="4" t="str">
        <f>HYPERLINK("http://141.218.60.56/~jnz1568/getInfo.php?workbook=isotopes.xlsx&amp;sheet=Isotopes&amp;row=12&amp;col=7&amp;number=0.007&amp;sourceID=21","0.007")</f>
        <v>0.007</v>
      </c>
    </row>
    <row r="13" spans="1:7">
      <c r="A13" s="3">
        <v>5</v>
      </c>
      <c r="B13" s="3">
        <v>11</v>
      </c>
      <c r="C13" s="3" t="s">
        <v>17</v>
      </c>
      <c r="D13" s="4" t="str">
        <f>HYPERLINK("http://141.218.60.56/~jnz1568/getInfo.php?workbook=isotopes.xlsx&amp;sheet=Isotopes&amp;row=13&amp;col=4&amp;number=11.0093054&amp;sourceID=21","11.0093054")</f>
        <v>11.0093054</v>
      </c>
      <c r="E13" s="4" t="str">
        <f>HYPERLINK("http://141.218.60.56/~jnz1568/getInfo.php?workbook=isotopes.xlsx&amp;sheet=Isotopes&amp;row=13&amp;col=5&amp;number=4e-07&amp;sourceID=21","4e-07")</f>
        <v>4e-07</v>
      </c>
      <c r="F13" s="4" t="str">
        <f>HYPERLINK("http://141.218.60.56/~jnz1568/getInfo.php?workbook=isotopes.xlsx&amp;sheet=Isotopes&amp;row=13&amp;col=6&amp;number=0.801&amp;sourceID=21","0.801")</f>
        <v>0.801</v>
      </c>
      <c r="G13" s="4" t="str">
        <f>HYPERLINK("http://141.218.60.56/~jnz1568/getInfo.php?workbook=isotopes.xlsx&amp;sheet=Isotopes&amp;row=13&amp;col=7&amp;number=0.007&amp;sourceID=21","0.007")</f>
        <v>0.007</v>
      </c>
    </row>
    <row r="14" spans="1:7">
      <c r="A14" s="3">
        <v>6</v>
      </c>
      <c r="B14" s="3">
        <v>12</v>
      </c>
      <c r="C14" s="3" t="s">
        <v>18</v>
      </c>
      <c r="D14" s="4" t="str">
        <f>HYPERLINK("http://141.218.60.56/~jnz1568/getInfo.php?workbook=isotopes.xlsx&amp;sheet=Isotopes&amp;row=14&amp;col=4&amp;number=12&amp;sourceID=21","12")</f>
        <v>12</v>
      </c>
      <c r="E14" s="4" t="str">
        <f>HYPERLINK("http://141.218.60.56/~jnz1568/getInfo.php?workbook=isotopes.xlsx&amp;sheet=Isotopes&amp;row=14&amp;col=5&amp;number=0&amp;sourceID=21","0")</f>
        <v>0</v>
      </c>
      <c r="F14" s="4" t="str">
        <f>HYPERLINK("http://141.218.60.56/~jnz1568/getInfo.php?workbook=isotopes.xlsx&amp;sheet=Isotopes&amp;row=14&amp;col=6&amp;number=0.9893&amp;sourceID=21","0.9893")</f>
        <v>0.9893</v>
      </c>
      <c r="G14" s="4" t="str">
        <f>HYPERLINK("http://141.218.60.56/~jnz1568/getInfo.php?workbook=isotopes.xlsx&amp;sheet=Isotopes&amp;row=14&amp;col=7&amp;number=0.0008&amp;sourceID=21","0.0008")</f>
        <v>0.0008</v>
      </c>
    </row>
    <row r="15" spans="1:7">
      <c r="A15" s="3">
        <v>6</v>
      </c>
      <c r="B15" s="3">
        <v>13</v>
      </c>
      <c r="C15" s="3" t="s">
        <v>19</v>
      </c>
      <c r="D15" s="4" t="str">
        <f>HYPERLINK("http://141.218.60.56/~jnz1568/getInfo.php?workbook=isotopes.xlsx&amp;sheet=Isotopes&amp;row=15&amp;col=4&amp;number=13.0033548378&amp;sourceID=21","13.0033548378")</f>
        <v>13.0033548378</v>
      </c>
      <c r="E15" s="4" t="str">
        <f>HYPERLINK("http://141.218.60.56/~jnz1568/getInfo.php?workbook=isotopes.xlsx&amp;sheet=Isotopes&amp;row=15&amp;col=5&amp;number=1e-09&amp;sourceID=21","1e-09")</f>
        <v>1e-09</v>
      </c>
      <c r="F15" s="4" t="str">
        <f>HYPERLINK("http://141.218.60.56/~jnz1568/getInfo.php?workbook=isotopes.xlsx&amp;sheet=Isotopes&amp;row=15&amp;col=6&amp;number=0.0107&amp;sourceID=21","0.0107")</f>
        <v>0.0107</v>
      </c>
      <c r="G15" s="4" t="str">
        <f>HYPERLINK("http://141.218.60.56/~jnz1568/getInfo.php?workbook=isotopes.xlsx&amp;sheet=Isotopes&amp;row=15&amp;col=7&amp;number=0.0008&amp;sourceID=21","0.0008")</f>
        <v>0.0008</v>
      </c>
    </row>
    <row r="16" spans="1:7">
      <c r="A16" s="3">
        <v>6</v>
      </c>
      <c r="B16" s="3">
        <v>14</v>
      </c>
      <c r="C16" s="3" t="s">
        <v>20</v>
      </c>
      <c r="D16" s="4" t="str">
        <f>HYPERLINK("http://141.218.60.56/~jnz1568/getInfo.php?workbook=isotopes.xlsx&amp;sheet=Isotopes&amp;row=16&amp;col=4&amp;number=14.003241989&amp;sourceID=21","14.003241989")</f>
        <v>14.003241989</v>
      </c>
      <c r="E16" s="4" t="str">
        <f>HYPERLINK("http://141.218.60.56/~jnz1568/getInfo.php?workbook=isotopes.xlsx&amp;sheet=Isotopes&amp;row=16&amp;col=5&amp;number=4e-09&amp;sourceID=21","4e-09")</f>
        <v>4e-09</v>
      </c>
      <c r="F16" s="4" t="str">
        <f>HYPERLINK("http://141.218.60.56/~jnz1568/getInfo.php?workbook=isotopes.xlsx&amp;sheet=Isotopes&amp;row=16&amp;col=6&amp;number=&amp;sourceID=21","")</f>
        <v/>
      </c>
      <c r="G16" s="4" t="str">
        <f>HYPERLINK("http://141.218.60.56/~jnz1568/getInfo.php?workbook=isotopes.xlsx&amp;sheet=Isotopes&amp;row=16&amp;col=7&amp;number=&amp;sourceID=21","")</f>
        <v/>
      </c>
    </row>
    <row r="17" spans="1:7">
      <c r="A17" s="3">
        <v>7</v>
      </c>
      <c r="B17" s="3">
        <v>14</v>
      </c>
      <c r="C17" s="3" t="s">
        <v>21</v>
      </c>
      <c r="D17" s="4" t="str">
        <f>HYPERLINK("http://141.218.60.56/~jnz1568/getInfo.php?workbook=isotopes.xlsx&amp;sheet=Isotopes&amp;row=17&amp;col=4&amp;number=14.0030740048&amp;sourceID=21","14.0030740048")</f>
        <v>14.0030740048</v>
      </c>
      <c r="E17" s="4" t="str">
        <f>HYPERLINK("http://141.218.60.56/~jnz1568/getInfo.php?workbook=isotopes.xlsx&amp;sheet=Isotopes&amp;row=17&amp;col=5&amp;number=6e-10&amp;sourceID=21","6e-10")</f>
        <v>6e-10</v>
      </c>
      <c r="F17" s="4" t="str">
        <f>HYPERLINK("http://141.218.60.56/~jnz1568/getInfo.php?workbook=isotopes.xlsx&amp;sheet=Isotopes&amp;row=17&amp;col=6&amp;number=0.99636&amp;sourceID=21","0.99636")</f>
        <v>0.99636</v>
      </c>
      <c r="G17" s="4" t="str">
        <f>HYPERLINK("http://141.218.60.56/~jnz1568/getInfo.php?workbook=isotopes.xlsx&amp;sheet=Isotopes&amp;row=17&amp;col=7&amp;number=0.0002&amp;sourceID=21","0.0002")</f>
        <v>0.0002</v>
      </c>
    </row>
    <row r="18" spans="1:7">
      <c r="A18" s="3">
        <v>7</v>
      </c>
      <c r="B18" s="3">
        <v>15</v>
      </c>
      <c r="C18" s="3" t="s">
        <v>22</v>
      </c>
      <c r="D18" s="4" t="str">
        <f>HYPERLINK("http://141.218.60.56/~jnz1568/getInfo.php?workbook=isotopes.xlsx&amp;sheet=Isotopes&amp;row=18&amp;col=4&amp;number=15.0001088982&amp;sourceID=21","15.0001088982")</f>
        <v>15.0001088982</v>
      </c>
      <c r="E18" s="4" t="str">
        <f>HYPERLINK("http://141.218.60.56/~jnz1568/getInfo.php?workbook=isotopes.xlsx&amp;sheet=Isotopes&amp;row=18&amp;col=5&amp;number=7e-10&amp;sourceID=21","7e-10")</f>
        <v>7e-10</v>
      </c>
      <c r="F18" s="4" t="str">
        <f>HYPERLINK("http://141.218.60.56/~jnz1568/getInfo.php?workbook=isotopes.xlsx&amp;sheet=Isotopes&amp;row=18&amp;col=6&amp;number=0.00364&amp;sourceID=21","0.00364")</f>
        <v>0.00364</v>
      </c>
      <c r="G18" s="4" t="str">
        <f>HYPERLINK("http://141.218.60.56/~jnz1568/getInfo.php?workbook=isotopes.xlsx&amp;sheet=Isotopes&amp;row=18&amp;col=7&amp;number=0.0002&amp;sourceID=21","0.0002")</f>
        <v>0.0002</v>
      </c>
    </row>
    <row r="19" spans="1:7">
      <c r="A19" s="3">
        <v>8</v>
      </c>
      <c r="B19" s="3">
        <v>16</v>
      </c>
      <c r="C19" s="3" t="s">
        <v>23</v>
      </c>
      <c r="D19" s="4" t="str">
        <f>HYPERLINK("http://141.218.60.56/~jnz1568/getInfo.php?workbook=isotopes.xlsx&amp;sheet=Isotopes&amp;row=19&amp;col=4&amp;number=15.9949146196&amp;sourceID=21","15.9949146196")</f>
        <v>15.9949146196</v>
      </c>
      <c r="E19" s="4" t="str">
        <f>HYPERLINK("http://141.218.60.56/~jnz1568/getInfo.php?workbook=isotopes.xlsx&amp;sheet=Isotopes&amp;row=19&amp;col=5&amp;number=1.6e-10&amp;sourceID=21","1.6e-10")</f>
        <v>1.6e-10</v>
      </c>
      <c r="F19" s="4" t="str">
        <f>HYPERLINK("http://141.218.60.56/~jnz1568/getInfo.php?workbook=isotopes.xlsx&amp;sheet=Isotopes&amp;row=19&amp;col=6&amp;number=0.99757&amp;sourceID=21","0.99757")</f>
        <v>0.99757</v>
      </c>
      <c r="G19" s="4" t="str">
        <f>HYPERLINK("http://141.218.60.56/~jnz1568/getInfo.php?workbook=isotopes.xlsx&amp;sheet=Isotopes&amp;row=19&amp;col=7&amp;number=0.00016&amp;sourceID=21","0.00016")</f>
        <v>0.00016</v>
      </c>
    </row>
    <row r="20" spans="1:7">
      <c r="A20" s="3">
        <v>8</v>
      </c>
      <c r="B20" s="3">
        <v>17</v>
      </c>
      <c r="C20" s="3" t="s">
        <v>24</v>
      </c>
      <c r="D20" s="4" t="str">
        <f>HYPERLINK("http://141.218.60.56/~jnz1568/getInfo.php?workbook=isotopes.xlsx&amp;sheet=Isotopes&amp;row=20&amp;col=4&amp;number=16.9991317&amp;sourceID=21","16.9991317")</f>
        <v>16.9991317</v>
      </c>
      <c r="E20" s="4" t="str">
        <f>HYPERLINK("http://141.218.60.56/~jnz1568/getInfo.php?workbook=isotopes.xlsx&amp;sheet=Isotopes&amp;row=20&amp;col=5&amp;number=1.2e-07&amp;sourceID=21","1.2e-07")</f>
        <v>1.2e-07</v>
      </c>
      <c r="F20" s="4" t="str">
        <f>HYPERLINK("http://141.218.60.56/~jnz1568/getInfo.php?workbook=isotopes.xlsx&amp;sheet=Isotopes&amp;row=20&amp;col=6&amp;number=0.00038&amp;sourceID=21","0.00038")</f>
        <v>0.00038</v>
      </c>
      <c r="G20" s="4" t="str">
        <f>HYPERLINK("http://141.218.60.56/~jnz1568/getInfo.php?workbook=isotopes.xlsx&amp;sheet=Isotopes&amp;row=20&amp;col=7&amp;number=1e-05&amp;sourceID=21","1e-05")</f>
        <v>1e-05</v>
      </c>
    </row>
    <row r="21" spans="1:7">
      <c r="A21" s="3">
        <v>8</v>
      </c>
      <c r="B21" s="3">
        <v>18</v>
      </c>
      <c r="C21" s="3" t="s">
        <v>25</v>
      </c>
      <c r="D21" s="4" t="str">
        <f>HYPERLINK("http://141.218.60.56/~jnz1568/getInfo.php?workbook=isotopes.xlsx&amp;sheet=Isotopes&amp;row=21&amp;col=4&amp;number=17.999161&amp;sourceID=21","17.999161")</f>
        <v>17.999161</v>
      </c>
      <c r="E21" s="4" t="str">
        <f>HYPERLINK("http://141.218.60.56/~jnz1568/getInfo.php?workbook=isotopes.xlsx&amp;sheet=Isotopes&amp;row=21&amp;col=5&amp;number=7e-07&amp;sourceID=21","7e-07")</f>
        <v>7e-07</v>
      </c>
      <c r="F21" s="4" t="str">
        <f>HYPERLINK("http://141.218.60.56/~jnz1568/getInfo.php?workbook=isotopes.xlsx&amp;sheet=Isotopes&amp;row=21&amp;col=6&amp;number=0.00205&amp;sourceID=21","0.00205")</f>
        <v>0.00205</v>
      </c>
      <c r="G21" s="4" t="str">
        <f>HYPERLINK("http://141.218.60.56/~jnz1568/getInfo.php?workbook=isotopes.xlsx&amp;sheet=Isotopes&amp;row=21&amp;col=7&amp;number=0.00014&amp;sourceID=21","0.00014")</f>
        <v>0.00014</v>
      </c>
    </row>
    <row r="22" spans="1:7">
      <c r="A22" s="3">
        <v>9</v>
      </c>
      <c r="B22" s="3">
        <v>19</v>
      </c>
      <c r="C22" s="3" t="s">
        <v>26</v>
      </c>
      <c r="D22" s="4" t="str">
        <f>HYPERLINK("http://141.218.60.56/~jnz1568/getInfo.php?workbook=isotopes.xlsx&amp;sheet=Isotopes&amp;row=22&amp;col=4&amp;number=18.99840322&amp;sourceID=21","18.99840322")</f>
        <v>18.99840322</v>
      </c>
      <c r="E22" s="4" t="str">
        <f>HYPERLINK("http://141.218.60.56/~jnz1568/getInfo.php?workbook=isotopes.xlsx&amp;sheet=Isotopes&amp;row=22&amp;col=5&amp;number=7e-08&amp;sourceID=21","7e-08")</f>
        <v>7e-08</v>
      </c>
      <c r="F22" s="4" t="str">
        <f>HYPERLINK("http://141.218.60.56/~jnz1568/getInfo.php?workbook=isotopes.xlsx&amp;sheet=Isotopes&amp;row=22&amp;col=6&amp;number=1&amp;sourceID=21","1")</f>
        <v>1</v>
      </c>
      <c r="G22" s="4" t="str">
        <f>HYPERLINK("http://141.218.60.56/~jnz1568/getInfo.php?workbook=isotopes.xlsx&amp;sheet=Isotopes&amp;row=22&amp;col=7&amp;number=&amp;sourceID=21","")</f>
        <v/>
      </c>
    </row>
    <row r="23" spans="1:7">
      <c r="A23" s="3">
        <v>10</v>
      </c>
      <c r="B23" s="3">
        <v>20</v>
      </c>
      <c r="C23" s="3" t="s">
        <v>27</v>
      </c>
      <c r="D23" s="4" t="str">
        <f>HYPERLINK("http://141.218.60.56/~jnz1568/getInfo.php?workbook=isotopes.xlsx&amp;sheet=Isotopes&amp;row=23&amp;col=4&amp;number=19.9924401754&amp;sourceID=21","19.9924401754")</f>
        <v>19.9924401754</v>
      </c>
      <c r="E23" s="4" t="str">
        <f>HYPERLINK("http://141.218.60.56/~jnz1568/getInfo.php?workbook=isotopes.xlsx&amp;sheet=Isotopes&amp;row=23&amp;col=5&amp;number=1.9e-09&amp;sourceID=21","1.9e-09")</f>
        <v>1.9e-09</v>
      </c>
      <c r="F23" s="4" t="str">
        <f>HYPERLINK("http://141.218.60.56/~jnz1568/getInfo.php?workbook=isotopes.xlsx&amp;sheet=Isotopes&amp;row=23&amp;col=6&amp;number=0.9048&amp;sourceID=21","0.9048")</f>
        <v>0.9048</v>
      </c>
      <c r="G23" s="4" t="str">
        <f>HYPERLINK("http://141.218.60.56/~jnz1568/getInfo.php?workbook=isotopes.xlsx&amp;sheet=Isotopes&amp;row=23&amp;col=7&amp;number=0.0003&amp;sourceID=21","0.0003")</f>
        <v>0.0003</v>
      </c>
    </row>
    <row r="24" spans="1:7">
      <c r="A24" s="3">
        <v>10</v>
      </c>
      <c r="B24" s="3">
        <v>21</v>
      </c>
      <c r="C24" s="3" t="s">
        <v>28</v>
      </c>
      <c r="D24" s="4" t="str">
        <f>HYPERLINK("http://141.218.60.56/~jnz1568/getInfo.php?workbook=isotopes.xlsx&amp;sheet=Isotopes&amp;row=24&amp;col=4&amp;number=20.99384668&amp;sourceID=21","20.99384668")</f>
        <v>20.99384668</v>
      </c>
      <c r="E24" s="4" t="str">
        <f>HYPERLINK("http://141.218.60.56/~jnz1568/getInfo.php?workbook=isotopes.xlsx&amp;sheet=Isotopes&amp;row=24&amp;col=5&amp;number=4e-08&amp;sourceID=21","4e-08")</f>
        <v>4e-08</v>
      </c>
      <c r="F24" s="4" t="str">
        <f>HYPERLINK("http://141.218.60.56/~jnz1568/getInfo.php?workbook=isotopes.xlsx&amp;sheet=Isotopes&amp;row=24&amp;col=6&amp;number=0.0027&amp;sourceID=21","0.0027")</f>
        <v>0.0027</v>
      </c>
      <c r="G24" s="4" t="str">
        <f>HYPERLINK("http://141.218.60.56/~jnz1568/getInfo.php?workbook=isotopes.xlsx&amp;sheet=Isotopes&amp;row=24&amp;col=7&amp;number=0.0001&amp;sourceID=21","0.0001")</f>
        <v>0.0001</v>
      </c>
    </row>
    <row r="25" spans="1:7">
      <c r="A25" s="3">
        <v>10</v>
      </c>
      <c r="B25" s="3">
        <v>22</v>
      </c>
      <c r="C25" s="3" t="s">
        <v>29</v>
      </c>
      <c r="D25" s="4" t="str">
        <f>HYPERLINK("http://141.218.60.56/~jnz1568/getInfo.php?workbook=isotopes.xlsx&amp;sheet=Isotopes&amp;row=25&amp;col=4&amp;number=21.991385114&amp;sourceID=21","21.991385114")</f>
        <v>21.991385114</v>
      </c>
      <c r="E25" s="4" t="str">
        <f>HYPERLINK("http://141.218.60.56/~jnz1568/getInfo.php?workbook=isotopes.xlsx&amp;sheet=Isotopes&amp;row=25&amp;col=5&amp;number=1.9e-08&amp;sourceID=21","1.9e-08")</f>
        <v>1.9e-08</v>
      </c>
      <c r="F25" s="4" t="str">
        <f>HYPERLINK("http://141.218.60.56/~jnz1568/getInfo.php?workbook=isotopes.xlsx&amp;sheet=Isotopes&amp;row=25&amp;col=6&amp;number=0.0925&amp;sourceID=21","0.0925")</f>
        <v>0.0925</v>
      </c>
      <c r="G25" s="4" t="str">
        <f>HYPERLINK("http://141.218.60.56/~jnz1568/getInfo.php?workbook=isotopes.xlsx&amp;sheet=Isotopes&amp;row=25&amp;col=7&amp;number=0.0003&amp;sourceID=21","0.0003")</f>
        <v>0.0003</v>
      </c>
    </row>
    <row r="26" spans="1:7">
      <c r="A26" s="3">
        <v>11</v>
      </c>
      <c r="B26" s="3">
        <v>23</v>
      </c>
      <c r="C26" s="3" t="s">
        <v>30</v>
      </c>
      <c r="D26" s="4" t="str">
        <f>HYPERLINK("http://141.218.60.56/~jnz1568/getInfo.php?workbook=isotopes.xlsx&amp;sheet=Isotopes&amp;row=26&amp;col=4&amp;number=22.9897692809&amp;sourceID=21","22.9897692809")</f>
        <v>22.9897692809</v>
      </c>
      <c r="E26" s="4" t="str">
        <f>HYPERLINK("http://141.218.60.56/~jnz1568/getInfo.php?workbook=isotopes.xlsx&amp;sheet=Isotopes&amp;row=26&amp;col=5&amp;number=2.9e-09&amp;sourceID=21","2.9e-09")</f>
        <v>2.9e-09</v>
      </c>
      <c r="F26" s="4" t="str">
        <f>HYPERLINK("http://141.218.60.56/~jnz1568/getInfo.php?workbook=isotopes.xlsx&amp;sheet=Isotopes&amp;row=26&amp;col=6&amp;number=1&amp;sourceID=21","1")</f>
        <v>1</v>
      </c>
      <c r="G26" s="4" t="str">
        <f>HYPERLINK("http://141.218.60.56/~jnz1568/getInfo.php?workbook=isotopes.xlsx&amp;sheet=Isotopes&amp;row=26&amp;col=7&amp;number=&amp;sourceID=21","")</f>
        <v/>
      </c>
    </row>
    <row r="27" spans="1:7">
      <c r="A27" s="3">
        <v>12</v>
      </c>
      <c r="B27" s="3">
        <v>24</v>
      </c>
      <c r="C27" s="3" t="s">
        <v>31</v>
      </c>
      <c r="D27" s="4" t="str">
        <f>HYPERLINK("http://141.218.60.56/~jnz1568/getInfo.php?workbook=isotopes.xlsx&amp;sheet=Isotopes&amp;row=27&amp;col=4&amp;number=23.9850417&amp;sourceID=21","23.9850417")</f>
        <v>23.9850417</v>
      </c>
      <c r="E27" s="4" t="str">
        <f>HYPERLINK("http://141.218.60.56/~jnz1568/getInfo.php?workbook=isotopes.xlsx&amp;sheet=Isotopes&amp;row=27&amp;col=5&amp;number=1.4e-08&amp;sourceID=21","1.4e-08")</f>
        <v>1.4e-08</v>
      </c>
      <c r="F27" s="4" t="str">
        <f>HYPERLINK("http://141.218.60.56/~jnz1568/getInfo.php?workbook=isotopes.xlsx&amp;sheet=Isotopes&amp;row=27&amp;col=6&amp;number=0.7899&amp;sourceID=21","0.7899")</f>
        <v>0.7899</v>
      </c>
      <c r="G27" s="4" t="str">
        <f>HYPERLINK("http://141.218.60.56/~jnz1568/getInfo.php?workbook=isotopes.xlsx&amp;sheet=Isotopes&amp;row=27&amp;col=7&amp;number=0.0004&amp;sourceID=21","0.0004")</f>
        <v>0.0004</v>
      </c>
    </row>
    <row r="28" spans="1:7">
      <c r="A28" s="3">
        <v>12</v>
      </c>
      <c r="B28" s="3">
        <v>25</v>
      </c>
      <c r="C28" s="3" t="s">
        <v>32</v>
      </c>
      <c r="D28" s="4" t="str">
        <f>HYPERLINK("http://141.218.60.56/~jnz1568/getInfo.php?workbook=isotopes.xlsx&amp;sheet=Isotopes&amp;row=28&amp;col=4&amp;number=24.98583692&amp;sourceID=21","24.98583692")</f>
        <v>24.98583692</v>
      </c>
      <c r="E28" s="4" t="str">
        <f>HYPERLINK("http://141.218.60.56/~jnz1568/getInfo.php?workbook=isotopes.xlsx&amp;sheet=Isotopes&amp;row=28&amp;col=5&amp;number=3e-08&amp;sourceID=21","3e-08")</f>
        <v>3e-08</v>
      </c>
      <c r="F28" s="4" t="str">
        <f>HYPERLINK("http://141.218.60.56/~jnz1568/getInfo.php?workbook=isotopes.xlsx&amp;sheet=Isotopes&amp;row=28&amp;col=6&amp;number=0.1&amp;sourceID=21","0.1")</f>
        <v>0.1</v>
      </c>
      <c r="G28" s="4" t="str">
        <f>HYPERLINK("http://141.218.60.56/~jnz1568/getInfo.php?workbook=isotopes.xlsx&amp;sheet=Isotopes&amp;row=28&amp;col=7&amp;number=0.0001&amp;sourceID=21","0.0001")</f>
        <v>0.0001</v>
      </c>
    </row>
    <row r="29" spans="1:7">
      <c r="A29" s="3">
        <v>12</v>
      </c>
      <c r="B29" s="3">
        <v>26</v>
      </c>
      <c r="C29" s="3" t="s">
        <v>33</v>
      </c>
      <c r="D29" s="4" t="str">
        <f>HYPERLINK("http://141.218.60.56/~jnz1568/getInfo.php?workbook=isotopes.xlsx&amp;sheet=Isotopes&amp;row=29&amp;col=4&amp;number=25.982592929&amp;sourceID=21","25.982592929")</f>
        <v>25.982592929</v>
      </c>
      <c r="E29" s="4" t="str">
        <f>HYPERLINK("http://141.218.60.56/~jnz1568/getInfo.php?workbook=isotopes.xlsx&amp;sheet=Isotopes&amp;row=29&amp;col=5&amp;number=3e-08&amp;sourceID=21","3e-08")</f>
        <v>3e-08</v>
      </c>
      <c r="F29" s="4" t="str">
        <f>HYPERLINK("http://141.218.60.56/~jnz1568/getInfo.php?workbook=isotopes.xlsx&amp;sheet=Isotopes&amp;row=29&amp;col=6&amp;number=0.1101&amp;sourceID=21","0.1101")</f>
        <v>0.1101</v>
      </c>
      <c r="G29" s="4" t="str">
        <f>HYPERLINK("http://141.218.60.56/~jnz1568/getInfo.php?workbook=isotopes.xlsx&amp;sheet=Isotopes&amp;row=29&amp;col=7&amp;number=0.0003&amp;sourceID=21","0.0003")</f>
        <v>0.0003</v>
      </c>
    </row>
    <row r="30" spans="1:7">
      <c r="A30" s="3">
        <v>13</v>
      </c>
      <c r="B30" s="3">
        <v>27</v>
      </c>
      <c r="C30" s="3" t="s">
        <v>34</v>
      </c>
      <c r="D30" s="4" t="str">
        <f>HYPERLINK("http://141.218.60.56/~jnz1568/getInfo.php?workbook=isotopes.xlsx&amp;sheet=Isotopes&amp;row=30&amp;col=4&amp;number=26.98153863&amp;sourceID=21","26.98153863")</f>
        <v>26.98153863</v>
      </c>
      <c r="E30" s="4" t="str">
        <f>HYPERLINK("http://141.218.60.56/~jnz1568/getInfo.php?workbook=isotopes.xlsx&amp;sheet=Isotopes&amp;row=30&amp;col=5&amp;number=1.2e-07&amp;sourceID=21","1.2e-07")</f>
        <v>1.2e-07</v>
      </c>
      <c r="F30" s="4" t="str">
        <f>HYPERLINK("http://141.218.60.56/~jnz1568/getInfo.php?workbook=isotopes.xlsx&amp;sheet=Isotopes&amp;row=30&amp;col=6&amp;number=1&amp;sourceID=21","1")</f>
        <v>1</v>
      </c>
      <c r="G30" s="4" t="str">
        <f>HYPERLINK("http://141.218.60.56/~jnz1568/getInfo.php?workbook=isotopes.xlsx&amp;sheet=Isotopes&amp;row=30&amp;col=7&amp;number=&amp;sourceID=21","")</f>
        <v/>
      </c>
    </row>
    <row r="31" spans="1:7">
      <c r="A31" s="3">
        <v>14</v>
      </c>
      <c r="B31" s="3">
        <v>28</v>
      </c>
      <c r="C31" s="3" t="s">
        <v>35</v>
      </c>
      <c r="D31" s="4" t="str">
        <f>HYPERLINK("http://141.218.60.56/~jnz1568/getInfo.php?workbook=isotopes.xlsx&amp;sheet=Isotopes&amp;row=31&amp;col=4&amp;number=27.9769265325&amp;sourceID=21","27.9769265325")</f>
        <v>27.9769265325</v>
      </c>
      <c r="E31" s="4" t="str">
        <f>HYPERLINK("http://141.218.60.56/~jnz1568/getInfo.php?workbook=isotopes.xlsx&amp;sheet=Isotopes&amp;row=31&amp;col=5&amp;number=1.9e-09&amp;sourceID=21","1.9e-09")</f>
        <v>1.9e-09</v>
      </c>
      <c r="F31" s="4" t="str">
        <f>HYPERLINK("http://141.218.60.56/~jnz1568/getInfo.php?workbook=isotopes.xlsx&amp;sheet=Isotopes&amp;row=31&amp;col=6&amp;number=0.92223&amp;sourceID=21","0.92223")</f>
        <v>0.92223</v>
      </c>
      <c r="G31" s="4" t="str">
        <f>HYPERLINK("http://141.218.60.56/~jnz1568/getInfo.php?workbook=isotopes.xlsx&amp;sheet=Isotopes&amp;row=31&amp;col=7&amp;number=0.00019&amp;sourceID=21","0.00019")</f>
        <v>0.00019</v>
      </c>
    </row>
    <row r="32" spans="1:7">
      <c r="A32" s="3">
        <v>14</v>
      </c>
      <c r="B32" s="3">
        <v>29</v>
      </c>
      <c r="C32" s="3" t="s">
        <v>36</v>
      </c>
      <c r="D32" s="4" t="str">
        <f>HYPERLINK("http://141.218.60.56/~jnz1568/getInfo.php?workbook=isotopes.xlsx&amp;sheet=Isotopes&amp;row=32&amp;col=4&amp;number=28.9764947&amp;sourceID=21","28.9764947")</f>
        <v>28.9764947</v>
      </c>
      <c r="E32" s="4" t="str">
        <f>HYPERLINK("http://141.218.60.56/~jnz1568/getInfo.php?workbook=isotopes.xlsx&amp;sheet=Isotopes&amp;row=32&amp;col=5&amp;number=2.2e-08&amp;sourceID=21","2.2e-08")</f>
        <v>2.2e-08</v>
      </c>
      <c r="F32" s="4" t="str">
        <f>HYPERLINK("http://141.218.60.56/~jnz1568/getInfo.php?workbook=isotopes.xlsx&amp;sheet=Isotopes&amp;row=32&amp;col=6&amp;number=0.04685&amp;sourceID=21","0.04685")</f>
        <v>0.04685</v>
      </c>
      <c r="G32" s="4" t="str">
        <f>HYPERLINK("http://141.218.60.56/~jnz1568/getInfo.php?workbook=isotopes.xlsx&amp;sheet=Isotopes&amp;row=32&amp;col=7&amp;number=8e-05&amp;sourceID=21","8e-05")</f>
        <v>8e-05</v>
      </c>
    </row>
    <row r="33" spans="1:7">
      <c r="A33" s="3">
        <v>14</v>
      </c>
      <c r="B33" s="3">
        <v>30</v>
      </c>
      <c r="C33" s="3" t="s">
        <v>37</v>
      </c>
      <c r="D33" s="4" t="str">
        <f>HYPERLINK("http://141.218.60.56/~jnz1568/getInfo.php?workbook=isotopes.xlsx&amp;sheet=Isotopes&amp;row=33&amp;col=4&amp;number=29.97377017&amp;sourceID=21","29.97377017")</f>
        <v>29.97377017</v>
      </c>
      <c r="E33" s="4" t="str">
        <f>HYPERLINK("http://141.218.60.56/~jnz1568/getInfo.php?workbook=isotopes.xlsx&amp;sheet=Isotopes&amp;row=33&amp;col=5&amp;number=3e-08&amp;sourceID=21","3e-08")</f>
        <v>3e-08</v>
      </c>
      <c r="F33" s="4" t="str">
        <f>HYPERLINK("http://141.218.60.56/~jnz1568/getInfo.php?workbook=isotopes.xlsx&amp;sheet=Isotopes&amp;row=33&amp;col=6&amp;number=0.03092&amp;sourceID=21","0.03092")</f>
        <v>0.03092</v>
      </c>
      <c r="G33" s="4" t="str">
        <f>HYPERLINK("http://141.218.60.56/~jnz1568/getInfo.php?workbook=isotopes.xlsx&amp;sheet=Isotopes&amp;row=33&amp;col=7&amp;number=0.00011&amp;sourceID=21","0.00011")</f>
        <v>0.00011</v>
      </c>
    </row>
    <row r="34" spans="1:7">
      <c r="A34" s="3">
        <v>15</v>
      </c>
      <c r="B34" s="3">
        <v>31</v>
      </c>
      <c r="C34" s="3" t="s">
        <v>38</v>
      </c>
      <c r="D34" s="4" t="str">
        <f>HYPERLINK("http://141.218.60.56/~jnz1568/getInfo.php?workbook=isotopes.xlsx&amp;sheet=Isotopes&amp;row=34&amp;col=4&amp;number=30.97376163&amp;sourceID=21","30.97376163")</f>
        <v>30.97376163</v>
      </c>
      <c r="E34" s="4" t="str">
        <f>HYPERLINK("http://141.218.60.56/~jnz1568/getInfo.php?workbook=isotopes.xlsx&amp;sheet=Isotopes&amp;row=34&amp;col=5&amp;number=2e-07&amp;sourceID=21","2e-07")</f>
        <v>2e-07</v>
      </c>
      <c r="F34" s="4" t="str">
        <f>HYPERLINK("http://141.218.60.56/~jnz1568/getInfo.php?workbook=isotopes.xlsx&amp;sheet=Isotopes&amp;row=34&amp;col=6&amp;number=1&amp;sourceID=21","1")</f>
        <v>1</v>
      </c>
      <c r="G34" s="4" t="str">
        <f>HYPERLINK("http://141.218.60.56/~jnz1568/getInfo.php?workbook=isotopes.xlsx&amp;sheet=Isotopes&amp;row=34&amp;col=7&amp;number=&amp;sourceID=21","")</f>
        <v/>
      </c>
    </row>
    <row r="35" spans="1:7">
      <c r="A35" s="3">
        <v>16</v>
      </c>
      <c r="B35" s="3">
        <v>32</v>
      </c>
      <c r="C35" s="3" t="s">
        <v>39</v>
      </c>
      <c r="D35" s="4" t="str">
        <f>HYPERLINK("http://141.218.60.56/~jnz1568/getInfo.php?workbook=isotopes.xlsx&amp;sheet=Isotopes&amp;row=35&amp;col=4&amp;number=31.972071&amp;sourceID=21","31.972071")</f>
        <v>31.972071</v>
      </c>
      <c r="E35" s="4" t="str">
        <f>HYPERLINK("http://141.218.60.56/~jnz1568/getInfo.php?workbook=isotopes.xlsx&amp;sheet=Isotopes&amp;row=35&amp;col=5&amp;number=1.5e-07&amp;sourceID=21","1.5e-07")</f>
        <v>1.5e-07</v>
      </c>
      <c r="F35" s="4" t="str">
        <f>HYPERLINK("http://141.218.60.56/~jnz1568/getInfo.php?workbook=isotopes.xlsx&amp;sheet=Isotopes&amp;row=35&amp;col=6&amp;number=0.9499&amp;sourceID=21","0.9499")</f>
        <v>0.9499</v>
      </c>
      <c r="G35" s="4" t="str">
        <f>HYPERLINK("http://141.218.60.56/~jnz1568/getInfo.php?workbook=isotopes.xlsx&amp;sheet=Isotopes&amp;row=35&amp;col=7&amp;number=0.0026&amp;sourceID=21","0.0026")</f>
        <v>0.0026</v>
      </c>
    </row>
    <row r="36" spans="1:7">
      <c r="A36" s="3">
        <v>16</v>
      </c>
      <c r="B36" s="3">
        <v>33</v>
      </c>
      <c r="C36" s="3" t="s">
        <v>40</v>
      </c>
      <c r="D36" s="4" t="str">
        <f>HYPERLINK("http://141.218.60.56/~jnz1568/getInfo.php?workbook=isotopes.xlsx&amp;sheet=Isotopes&amp;row=36&amp;col=4&amp;number=32.97145876&amp;sourceID=21","32.97145876")</f>
        <v>32.97145876</v>
      </c>
      <c r="E36" s="4" t="str">
        <f>HYPERLINK("http://141.218.60.56/~jnz1568/getInfo.php?workbook=isotopes.xlsx&amp;sheet=Isotopes&amp;row=36&amp;col=5&amp;number=1.5e-07&amp;sourceID=21","1.5e-07")</f>
        <v>1.5e-07</v>
      </c>
      <c r="F36" s="4" t="str">
        <f>HYPERLINK("http://141.218.60.56/~jnz1568/getInfo.php?workbook=isotopes.xlsx&amp;sheet=Isotopes&amp;row=36&amp;col=6&amp;number=0.0075&amp;sourceID=21","0.0075")</f>
        <v>0.0075</v>
      </c>
      <c r="G36" s="4" t="str">
        <f>HYPERLINK("http://141.218.60.56/~jnz1568/getInfo.php?workbook=isotopes.xlsx&amp;sheet=Isotopes&amp;row=36&amp;col=7&amp;number=0.0002&amp;sourceID=21","0.0002")</f>
        <v>0.0002</v>
      </c>
    </row>
    <row r="37" spans="1:7">
      <c r="A37" s="3">
        <v>16</v>
      </c>
      <c r="B37" s="3">
        <v>34</v>
      </c>
      <c r="C37" s="3" t="s">
        <v>41</v>
      </c>
      <c r="D37" s="4" t="str">
        <f>HYPERLINK("http://141.218.60.56/~jnz1568/getInfo.php?workbook=isotopes.xlsx&amp;sheet=Isotopes&amp;row=37&amp;col=4&amp;number=33.9678669&amp;sourceID=21","33.9678669")</f>
        <v>33.9678669</v>
      </c>
      <c r="E37" s="4" t="str">
        <f>HYPERLINK("http://141.218.60.56/~jnz1568/getInfo.php?workbook=isotopes.xlsx&amp;sheet=Isotopes&amp;row=37&amp;col=5&amp;number=1.2e-07&amp;sourceID=21","1.2e-07")</f>
        <v>1.2e-07</v>
      </c>
      <c r="F37" s="4" t="str">
        <f>HYPERLINK("http://141.218.60.56/~jnz1568/getInfo.php?workbook=isotopes.xlsx&amp;sheet=Isotopes&amp;row=37&amp;col=6&amp;number=0.0425&amp;sourceID=21","0.0425")</f>
        <v>0.0425</v>
      </c>
      <c r="G37" s="4" t="str">
        <f>HYPERLINK("http://141.218.60.56/~jnz1568/getInfo.php?workbook=isotopes.xlsx&amp;sheet=Isotopes&amp;row=37&amp;col=7&amp;number=0.0024&amp;sourceID=21","0.0024")</f>
        <v>0.0024</v>
      </c>
    </row>
    <row r="38" spans="1:7">
      <c r="A38" s="3">
        <v>16</v>
      </c>
      <c r="B38" s="3">
        <v>36</v>
      </c>
      <c r="C38" s="3" t="s">
        <v>42</v>
      </c>
      <c r="D38" s="4" t="str">
        <f>HYPERLINK("http://141.218.60.56/~jnz1568/getInfo.php?workbook=isotopes.xlsx&amp;sheet=Isotopes&amp;row=38&amp;col=4&amp;number=35.96708076&amp;sourceID=21","35.96708076")</f>
        <v>35.96708076</v>
      </c>
      <c r="E38" s="4" t="str">
        <f>HYPERLINK("http://141.218.60.56/~jnz1568/getInfo.php?workbook=isotopes.xlsx&amp;sheet=Isotopes&amp;row=38&amp;col=5&amp;number=2e-07&amp;sourceID=21","2e-07")</f>
        <v>2e-07</v>
      </c>
      <c r="F38" s="4" t="str">
        <f>HYPERLINK("http://141.218.60.56/~jnz1568/getInfo.php?workbook=isotopes.xlsx&amp;sheet=Isotopes&amp;row=38&amp;col=6&amp;number=0.0001&amp;sourceID=21","0.0001")</f>
        <v>0.0001</v>
      </c>
      <c r="G38" s="4" t="str">
        <f>HYPERLINK("http://141.218.60.56/~jnz1568/getInfo.php?workbook=isotopes.xlsx&amp;sheet=Isotopes&amp;row=38&amp;col=7&amp;number=0.0001&amp;sourceID=21","0.0001")</f>
        <v>0.0001</v>
      </c>
    </row>
    <row r="39" spans="1:7">
      <c r="A39" s="3">
        <v>17</v>
      </c>
      <c r="B39" s="3">
        <v>35</v>
      </c>
      <c r="C39" s="3" t="s">
        <v>43</v>
      </c>
      <c r="D39" s="4" t="str">
        <f>HYPERLINK("http://141.218.60.56/~jnz1568/getInfo.php?workbook=isotopes.xlsx&amp;sheet=Isotopes&amp;row=39&amp;col=4&amp;number=34.96885268&amp;sourceID=21","34.96885268")</f>
        <v>34.96885268</v>
      </c>
      <c r="E39" s="4" t="str">
        <f>HYPERLINK("http://141.218.60.56/~jnz1568/getInfo.php?workbook=isotopes.xlsx&amp;sheet=Isotopes&amp;row=39&amp;col=5&amp;number=4e-08&amp;sourceID=21","4e-08")</f>
        <v>4e-08</v>
      </c>
      <c r="F39" s="4" t="str">
        <f>HYPERLINK("http://141.218.60.56/~jnz1568/getInfo.php?workbook=isotopes.xlsx&amp;sheet=Isotopes&amp;row=39&amp;col=6&amp;number=0.7576&amp;sourceID=21","0.7576")</f>
        <v>0.7576</v>
      </c>
      <c r="G39" s="4" t="str">
        <f>HYPERLINK("http://141.218.60.56/~jnz1568/getInfo.php?workbook=isotopes.xlsx&amp;sheet=Isotopes&amp;row=39&amp;col=7&amp;number=0.001&amp;sourceID=21","0.001")</f>
        <v>0.001</v>
      </c>
    </row>
    <row r="40" spans="1:7">
      <c r="A40" s="3">
        <v>17</v>
      </c>
      <c r="B40" s="3">
        <v>37</v>
      </c>
      <c r="C40" s="3" t="s">
        <v>44</v>
      </c>
      <c r="D40" s="4" t="str">
        <f>HYPERLINK("http://141.218.60.56/~jnz1568/getInfo.php?workbook=isotopes.xlsx&amp;sheet=Isotopes&amp;row=40&amp;col=4&amp;number=36.96590259&amp;sourceID=21","36.96590259")</f>
        <v>36.96590259</v>
      </c>
      <c r="E40" s="4" t="str">
        <f>HYPERLINK("http://141.218.60.56/~jnz1568/getInfo.php?workbook=isotopes.xlsx&amp;sheet=Isotopes&amp;row=40&amp;col=5&amp;number=5e-08&amp;sourceID=21","5e-08")</f>
        <v>5e-08</v>
      </c>
      <c r="F40" s="4" t="str">
        <f>HYPERLINK("http://141.218.60.56/~jnz1568/getInfo.php?workbook=isotopes.xlsx&amp;sheet=Isotopes&amp;row=40&amp;col=6&amp;number=0.2424&amp;sourceID=21","0.2424")</f>
        <v>0.2424</v>
      </c>
      <c r="G40" s="4" t="str">
        <f>HYPERLINK("http://141.218.60.56/~jnz1568/getInfo.php?workbook=isotopes.xlsx&amp;sheet=Isotopes&amp;row=40&amp;col=7&amp;number=0.001&amp;sourceID=21","0.001")</f>
        <v>0.001</v>
      </c>
    </row>
    <row r="41" spans="1:7">
      <c r="A41" s="3">
        <v>18</v>
      </c>
      <c r="B41" s="3">
        <v>36</v>
      </c>
      <c r="C41" s="3" t="s">
        <v>45</v>
      </c>
      <c r="D41" s="4" t="str">
        <f>HYPERLINK("http://141.218.60.56/~jnz1568/getInfo.php?workbook=isotopes.xlsx&amp;sheet=Isotopes&amp;row=41&amp;col=4&amp;number=35.967545106&amp;sourceID=21","35.967545106")</f>
        <v>35.967545106</v>
      </c>
      <c r="E41" s="4" t="str">
        <f>HYPERLINK("http://141.218.60.56/~jnz1568/getInfo.php?workbook=isotopes.xlsx&amp;sheet=Isotopes&amp;row=41&amp;col=5&amp;number=2.9e-08&amp;sourceID=21","2.9e-08")</f>
        <v>2.9e-08</v>
      </c>
      <c r="F41" s="4" t="str">
        <f>HYPERLINK("http://141.218.60.56/~jnz1568/getInfo.php?workbook=isotopes.xlsx&amp;sheet=Isotopes&amp;row=41&amp;col=6&amp;number=0.003365&amp;sourceID=21","0.003365")</f>
        <v>0.003365</v>
      </c>
      <c r="G41" s="4" t="str">
        <f>HYPERLINK("http://141.218.60.56/~jnz1568/getInfo.php?workbook=isotopes.xlsx&amp;sheet=Isotopes&amp;row=41&amp;col=7&amp;number=3e-05&amp;sourceID=21","3e-05")</f>
        <v>3e-05</v>
      </c>
    </row>
    <row r="42" spans="1:7">
      <c r="A42" s="3">
        <v>18</v>
      </c>
      <c r="B42" s="3">
        <v>38</v>
      </c>
      <c r="C42" s="3" t="s">
        <v>46</v>
      </c>
      <c r="D42" s="4" t="str">
        <f>HYPERLINK("http://141.218.60.56/~jnz1568/getInfo.php?workbook=isotopes.xlsx&amp;sheet=Isotopes&amp;row=42&amp;col=4&amp;number=37.9627324&amp;sourceID=21","37.9627324")</f>
        <v>37.9627324</v>
      </c>
      <c r="E42" s="4" t="str">
        <f>HYPERLINK("http://141.218.60.56/~jnz1568/getInfo.php?workbook=isotopes.xlsx&amp;sheet=Isotopes&amp;row=42&amp;col=5&amp;number=4e-07&amp;sourceID=21","4e-07")</f>
        <v>4e-07</v>
      </c>
      <c r="F42" s="4" t="str">
        <f>HYPERLINK("http://141.218.60.56/~jnz1568/getInfo.php?workbook=isotopes.xlsx&amp;sheet=Isotopes&amp;row=42&amp;col=6&amp;number=0.000632&amp;sourceID=21","0.000632")</f>
        <v>0.000632</v>
      </c>
      <c r="G42" s="4" t="str">
        <f>HYPERLINK("http://141.218.60.56/~jnz1568/getInfo.php?workbook=isotopes.xlsx&amp;sheet=Isotopes&amp;row=42&amp;col=7&amp;number=5e-06&amp;sourceID=21","5e-06")</f>
        <v>5e-06</v>
      </c>
    </row>
    <row r="43" spans="1:7">
      <c r="A43" s="3">
        <v>18</v>
      </c>
      <c r="B43" s="3">
        <v>40</v>
      </c>
      <c r="C43" s="3" t="s">
        <v>47</v>
      </c>
      <c r="D43" s="4" t="str">
        <f>HYPERLINK("http://141.218.60.56/~jnz1568/getInfo.php?workbook=isotopes.xlsx&amp;sheet=Isotopes&amp;row=43&amp;col=4&amp;number=39.9623831225&amp;sourceID=21","39.9623831225")</f>
        <v>39.9623831225</v>
      </c>
      <c r="E43" s="4" t="str">
        <f>HYPERLINK("http://141.218.60.56/~jnz1568/getInfo.php?workbook=isotopes.xlsx&amp;sheet=Isotopes&amp;row=43&amp;col=5&amp;number=2.9e-09&amp;sourceID=21","2.9e-09")</f>
        <v>2.9e-09</v>
      </c>
      <c r="F43" s="4" t="str">
        <f>HYPERLINK("http://141.218.60.56/~jnz1568/getInfo.php?workbook=isotopes.xlsx&amp;sheet=Isotopes&amp;row=43&amp;col=6&amp;number=0.996003&amp;sourceID=21","0.996003")</f>
        <v>0.996003</v>
      </c>
      <c r="G43" s="4" t="str">
        <f>HYPERLINK("http://141.218.60.56/~jnz1568/getInfo.php?workbook=isotopes.xlsx&amp;sheet=Isotopes&amp;row=43&amp;col=7&amp;number=3e-05&amp;sourceID=21","3e-05")</f>
        <v>3e-05</v>
      </c>
    </row>
    <row r="44" spans="1:7">
      <c r="A44" s="3">
        <v>19</v>
      </c>
      <c r="B44" s="3">
        <v>39</v>
      </c>
      <c r="C44" s="3" t="s">
        <v>48</v>
      </c>
      <c r="D44" s="4" t="str">
        <f>HYPERLINK("http://141.218.60.56/~jnz1568/getInfo.php?workbook=isotopes.xlsx&amp;sheet=Isotopes&amp;row=44&amp;col=4&amp;number=38.96370668&amp;sourceID=21","38.96370668")</f>
        <v>38.96370668</v>
      </c>
      <c r="E44" s="4" t="str">
        <f>HYPERLINK("http://141.218.60.56/~jnz1568/getInfo.php?workbook=isotopes.xlsx&amp;sheet=Isotopes&amp;row=44&amp;col=5&amp;number=2e-07&amp;sourceID=21","2e-07")</f>
        <v>2e-07</v>
      </c>
      <c r="F44" s="4" t="str">
        <f>HYPERLINK("http://141.218.60.56/~jnz1568/getInfo.php?workbook=isotopes.xlsx&amp;sheet=Isotopes&amp;row=44&amp;col=6&amp;number=0.932581&amp;sourceID=21","0.932581")</f>
        <v>0.932581</v>
      </c>
      <c r="G44" s="4" t="str">
        <f>HYPERLINK("http://141.218.60.56/~jnz1568/getInfo.php?workbook=isotopes.xlsx&amp;sheet=Isotopes&amp;row=44&amp;col=7&amp;number=4.4e-05&amp;sourceID=21","4.4e-05")</f>
        <v>4.4e-05</v>
      </c>
    </row>
    <row r="45" spans="1:7">
      <c r="A45" s="3">
        <v>19</v>
      </c>
      <c r="B45" s="3">
        <v>40</v>
      </c>
      <c r="C45" s="3" t="s">
        <v>49</v>
      </c>
      <c r="D45" s="4" t="str">
        <f>HYPERLINK("http://141.218.60.56/~jnz1568/getInfo.php?workbook=isotopes.xlsx&amp;sheet=Isotopes&amp;row=45&amp;col=4&amp;number=39.96399848&amp;sourceID=21","39.96399848")</f>
        <v>39.96399848</v>
      </c>
      <c r="E45" s="4" t="str">
        <f>HYPERLINK("http://141.218.60.56/~jnz1568/getInfo.php?workbook=isotopes.xlsx&amp;sheet=Isotopes&amp;row=45&amp;col=5&amp;number=2.1e-07&amp;sourceID=21","2.1e-07")</f>
        <v>2.1e-07</v>
      </c>
      <c r="F45" s="4" t="str">
        <f>HYPERLINK("http://141.218.60.56/~jnz1568/getInfo.php?workbook=isotopes.xlsx&amp;sheet=Isotopes&amp;row=45&amp;col=6&amp;number=0.000117&amp;sourceID=21","0.000117")</f>
        <v>0.000117</v>
      </c>
      <c r="G45" s="4" t="str">
        <f>HYPERLINK("http://141.218.60.56/~jnz1568/getInfo.php?workbook=isotopes.xlsx&amp;sheet=Isotopes&amp;row=45&amp;col=7&amp;number=1e-06&amp;sourceID=21","1e-06")</f>
        <v>1e-06</v>
      </c>
    </row>
    <row r="46" spans="1:7">
      <c r="A46" s="3">
        <v>19</v>
      </c>
      <c r="B46" s="3">
        <v>41</v>
      </c>
      <c r="C46" s="3" t="s">
        <v>50</v>
      </c>
      <c r="D46" s="4" t="str">
        <f>HYPERLINK("http://141.218.60.56/~jnz1568/getInfo.php?workbook=isotopes.xlsx&amp;sheet=Isotopes&amp;row=46&amp;col=4&amp;number=40.96182576&amp;sourceID=21","40.96182576")</f>
        <v>40.96182576</v>
      </c>
      <c r="E46" s="4" t="str">
        <f>HYPERLINK("http://141.218.60.56/~jnz1568/getInfo.php?workbook=isotopes.xlsx&amp;sheet=Isotopes&amp;row=46&amp;col=5&amp;number=2.1e-07&amp;sourceID=21","2.1e-07")</f>
        <v>2.1e-07</v>
      </c>
      <c r="F46" s="4" t="str">
        <f>HYPERLINK("http://141.218.60.56/~jnz1568/getInfo.php?workbook=isotopes.xlsx&amp;sheet=Isotopes&amp;row=46&amp;col=6&amp;number=0.067302&amp;sourceID=21","0.067302")</f>
        <v>0.067302</v>
      </c>
      <c r="G46" s="4" t="str">
        <f>HYPERLINK("http://141.218.60.56/~jnz1568/getInfo.php?workbook=isotopes.xlsx&amp;sheet=Isotopes&amp;row=46&amp;col=7&amp;number=4.4e-05&amp;sourceID=21","4.4e-05")</f>
        <v>4.4e-05</v>
      </c>
    </row>
    <row r="47" spans="1:7">
      <c r="A47" s="3">
        <v>20</v>
      </c>
      <c r="B47" s="3">
        <v>40</v>
      </c>
      <c r="C47" s="3" t="s">
        <v>51</v>
      </c>
      <c r="D47" s="4" t="str">
        <f>HYPERLINK("http://141.218.60.56/~jnz1568/getInfo.php?workbook=isotopes.xlsx&amp;sheet=Isotopes&amp;row=47&amp;col=4&amp;number=39.96259098&amp;sourceID=21","39.96259098")</f>
        <v>39.96259098</v>
      </c>
      <c r="E47" s="4" t="str">
        <f>HYPERLINK("http://141.218.60.56/~jnz1568/getInfo.php?workbook=isotopes.xlsx&amp;sheet=Isotopes&amp;row=47&amp;col=5&amp;number=2.2e-07&amp;sourceID=21","2.2e-07")</f>
        <v>2.2e-07</v>
      </c>
      <c r="F47" s="4" t="str">
        <f>HYPERLINK("http://141.218.60.56/~jnz1568/getInfo.php?workbook=isotopes.xlsx&amp;sheet=Isotopes&amp;row=47&amp;col=6&amp;number=0.96941&amp;sourceID=21","0.96941")</f>
        <v>0.96941</v>
      </c>
      <c r="G47" s="4" t="str">
        <f>HYPERLINK("http://141.218.60.56/~jnz1568/getInfo.php?workbook=isotopes.xlsx&amp;sheet=Isotopes&amp;row=47&amp;col=7&amp;number=0.00156&amp;sourceID=21","0.00156")</f>
        <v>0.00156</v>
      </c>
    </row>
    <row r="48" spans="1:7">
      <c r="A48" s="3">
        <v>20</v>
      </c>
      <c r="B48" s="3">
        <v>42</v>
      </c>
      <c r="C48" s="3" t="s">
        <v>52</v>
      </c>
      <c r="D48" s="4" t="str">
        <f>HYPERLINK("http://141.218.60.56/~jnz1568/getInfo.php?workbook=isotopes.xlsx&amp;sheet=Isotopes&amp;row=48&amp;col=4&amp;number=41.95861801&amp;sourceID=21","41.95861801")</f>
        <v>41.95861801</v>
      </c>
      <c r="E48" s="4" t="str">
        <f>HYPERLINK("http://141.218.60.56/~jnz1568/getInfo.php?workbook=isotopes.xlsx&amp;sheet=Isotopes&amp;row=48&amp;col=5&amp;number=2.7e-07&amp;sourceID=21","2.7e-07")</f>
        <v>2.7e-07</v>
      </c>
      <c r="F48" s="4" t="str">
        <f>HYPERLINK("http://141.218.60.56/~jnz1568/getInfo.php?workbook=isotopes.xlsx&amp;sheet=Isotopes&amp;row=48&amp;col=6&amp;number=0.00647&amp;sourceID=21","0.00647")</f>
        <v>0.00647</v>
      </c>
      <c r="G48" s="4" t="str">
        <f>HYPERLINK("http://141.218.60.56/~jnz1568/getInfo.php?workbook=isotopes.xlsx&amp;sheet=Isotopes&amp;row=48&amp;col=7&amp;number=0.00023&amp;sourceID=21","0.00023")</f>
        <v>0.00023</v>
      </c>
    </row>
    <row r="49" spans="1:7">
      <c r="A49" s="3">
        <v>20</v>
      </c>
      <c r="B49" s="3">
        <v>43</v>
      </c>
      <c r="C49" s="3" t="s">
        <v>53</v>
      </c>
      <c r="D49" s="4" t="str">
        <f>HYPERLINK("http://141.218.60.56/~jnz1568/getInfo.php?workbook=isotopes.xlsx&amp;sheet=Isotopes&amp;row=49&amp;col=4&amp;number=42.9587666&amp;sourceID=21","42.9587666")</f>
        <v>42.9587666</v>
      </c>
      <c r="E49" s="4" t="str">
        <f>HYPERLINK("http://141.218.60.56/~jnz1568/getInfo.php?workbook=isotopes.xlsx&amp;sheet=Isotopes&amp;row=49&amp;col=5&amp;number=3e-07&amp;sourceID=21","3e-07")</f>
        <v>3e-07</v>
      </c>
      <c r="F49" s="4" t="str">
        <f>HYPERLINK("http://141.218.60.56/~jnz1568/getInfo.php?workbook=isotopes.xlsx&amp;sheet=Isotopes&amp;row=49&amp;col=6&amp;number=0.00135&amp;sourceID=21","0.00135")</f>
        <v>0.00135</v>
      </c>
      <c r="G49" s="4" t="str">
        <f>HYPERLINK("http://141.218.60.56/~jnz1568/getInfo.php?workbook=isotopes.xlsx&amp;sheet=Isotopes&amp;row=49&amp;col=7&amp;number=0.0001&amp;sourceID=21","0.0001")</f>
        <v>0.0001</v>
      </c>
    </row>
    <row r="50" spans="1:7">
      <c r="A50" s="3">
        <v>20</v>
      </c>
      <c r="B50" s="3">
        <v>44</v>
      </c>
      <c r="C50" s="3" t="s">
        <v>54</v>
      </c>
      <c r="D50" s="4" t="str">
        <f>HYPERLINK("http://141.218.60.56/~jnz1568/getInfo.php?workbook=isotopes.xlsx&amp;sheet=Isotopes&amp;row=50&amp;col=4&amp;number=43.9554818&amp;sourceID=21","43.9554818")</f>
        <v>43.9554818</v>
      </c>
      <c r="E50" s="4" t="str">
        <f>HYPERLINK("http://141.218.60.56/~jnz1568/getInfo.php?workbook=isotopes.xlsx&amp;sheet=Isotopes&amp;row=50&amp;col=5&amp;number=4e-07&amp;sourceID=21","4e-07")</f>
        <v>4e-07</v>
      </c>
      <c r="F50" s="4" t="str">
        <f>HYPERLINK("http://141.218.60.56/~jnz1568/getInfo.php?workbook=isotopes.xlsx&amp;sheet=Isotopes&amp;row=50&amp;col=6&amp;number=0.02086&amp;sourceID=21","0.02086")</f>
        <v>0.02086</v>
      </c>
      <c r="G50" s="4" t="str">
        <f>HYPERLINK("http://141.218.60.56/~jnz1568/getInfo.php?workbook=isotopes.xlsx&amp;sheet=Isotopes&amp;row=50&amp;col=7&amp;number=0.0011&amp;sourceID=21","0.0011")</f>
        <v>0.0011</v>
      </c>
    </row>
    <row r="51" spans="1:7">
      <c r="A51" s="3">
        <v>20</v>
      </c>
      <c r="B51" s="3">
        <v>46</v>
      </c>
      <c r="C51" s="3" t="s">
        <v>55</v>
      </c>
      <c r="D51" s="4" t="str">
        <f>HYPERLINK("http://141.218.60.56/~jnz1568/getInfo.php?workbook=isotopes.xlsx&amp;sheet=Isotopes&amp;row=51&amp;col=4&amp;number=45.9536926&amp;sourceID=21","45.9536926")</f>
        <v>45.9536926</v>
      </c>
      <c r="E51" s="4" t="str">
        <f>HYPERLINK("http://141.218.60.56/~jnz1568/getInfo.php?workbook=isotopes.xlsx&amp;sheet=Isotopes&amp;row=51&amp;col=5&amp;number=2.4e-06&amp;sourceID=21","2.4e-06")</f>
        <v>2.4e-06</v>
      </c>
      <c r="F51" s="4" t="str">
        <f>HYPERLINK("http://141.218.60.56/~jnz1568/getInfo.php?workbook=isotopes.xlsx&amp;sheet=Isotopes&amp;row=51&amp;col=6&amp;number=4e-05&amp;sourceID=21","4e-05")</f>
        <v>4e-05</v>
      </c>
      <c r="G51" s="4" t="str">
        <f>HYPERLINK("http://141.218.60.56/~jnz1568/getInfo.php?workbook=isotopes.xlsx&amp;sheet=Isotopes&amp;row=51&amp;col=7&amp;number=3e-05&amp;sourceID=21","3e-05")</f>
        <v>3e-05</v>
      </c>
    </row>
    <row r="52" spans="1:7">
      <c r="A52" s="3">
        <v>20</v>
      </c>
      <c r="B52" s="3">
        <v>48</v>
      </c>
      <c r="C52" s="3" t="s">
        <v>56</v>
      </c>
      <c r="D52" s="4" t="str">
        <f>HYPERLINK("http://141.218.60.56/~jnz1568/getInfo.php?workbook=isotopes.xlsx&amp;sheet=Isotopes&amp;row=52&amp;col=4&amp;number=47.952534&amp;sourceID=21","47.952534")</f>
        <v>47.952534</v>
      </c>
      <c r="E52" s="4" t="str">
        <f>HYPERLINK("http://141.218.60.56/~jnz1568/getInfo.php?workbook=isotopes.xlsx&amp;sheet=Isotopes&amp;row=52&amp;col=5&amp;number=4e-06&amp;sourceID=21","4e-06")</f>
        <v>4e-06</v>
      </c>
      <c r="F52" s="4" t="str">
        <f>HYPERLINK("http://141.218.60.56/~jnz1568/getInfo.php?workbook=isotopes.xlsx&amp;sheet=Isotopes&amp;row=52&amp;col=6&amp;number=0.00187&amp;sourceID=21","0.00187")</f>
        <v>0.00187</v>
      </c>
      <c r="G52" s="4" t="str">
        <f>HYPERLINK("http://141.218.60.56/~jnz1568/getInfo.php?workbook=isotopes.xlsx&amp;sheet=Isotopes&amp;row=52&amp;col=7&amp;number=0.00021&amp;sourceID=21","0.00021")</f>
        <v>0.00021</v>
      </c>
    </row>
    <row r="53" spans="1:7">
      <c r="A53" s="3">
        <v>21</v>
      </c>
      <c r="B53" s="3">
        <v>45</v>
      </c>
      <c r="C53" s="3" t="s">
        <v>57</v>
      </c>
      <c r="D53" s="4" t="str">
        <f>HYPERLINK("http://141.218.60.56/~jnz1568/getInfo.php?workbook=isotopes.xlsx&amp;sheet=Isotopes&amp;row=53&amp;col=4&amp;number=44.9559119&amp;sourceID=21","44.9559119")</f>
        <v>44.9559119</v>
      </c>
      <c r="E53" s="4" t="str">
        <f>HYPERLINK("http://141.218.60.56/~jnz1568/getInfo.php?workbook=isotopes.xlsx&amp;sheet=Isotopes&amp;row=53&amp;col=5&amp;number=9e-07&amp;sourceID=21","9e-07")</f>
        <v>9e-07</v>
      </c>
      <c r="F53" s="4" t="str">
        <f>HYPERLINK("http://141.218.60.56/~jnz1568/getInfo.php?workbook=isotopes.xlsx&amp;sheet=Isotopes&amp;row=53&amp;col=6&amp;number=1&amp;sourceID=21","1")</f>
        <v>1</v>
      </c>
      <c r="G53" s="4" t="str">
        <f>HYPERLINK("http://141.218.60.56/~jnz1568/getInfo.php?workbook=isotopes.xlsx&amp;sheet=Isotopes&amp;row=53&amp;col=7&amp;number=&amp;sourceID=21","")</f>
        <v/>
      </c>
    </row>
    <row r="54" spans="1:7">
      <c r="A54" s="3">
        <v>22</v>
      </c>
      <c r="B54" s="3">
        <v>46</v>
      </c>
      <c r="C54" s="3" t="s">
        <v>58</v>
      </c>
      <c r="D54" s="4" t="str">
        <f>HYPERLINK("http://141.218.60.56/~jnz1568/getInfo.php?workbook=isotopes.xlsx&amp;sheet=Isotopes&amp;row=54&amp;col=4&amp;number=45.9526316&amp;sourceID=21","45.9526316")</f>
        <v>45.9526316</v>
      </c>
      <c r="E54" s="4" t="str">
        <f>HYPERLINK("http://141.218.60.56/~jnz1568/getInfo.php?workbook=isotopes.xlsx&amp;sheet=Isotopes&amp;row=54&amp;col=5&amp;number=9e-07&amp;sourceID=21","9e-07")</f>
        <v>9e-07</v>
      </c>
      <c r="F54" s="4" t="str">
        <f>HYPERLINK("http://141.218.60.56/~jnz1568/getInfo.php?workbook=isotopes.xlsx&amp;sheet=Isotopes&amp;row=54&amp;col=6&amp;number=0.0825&amp;sourceID=21","0.0825")</f>
        <v>0.0825</v>
      </c>
      <c r="G54" s="4" t="str">
        <f>HYPERLINK("http://141.218.60.56/~jnz1568/getInfo.php?workbook=isotopes.xlsx&amp;sheet=Isotopes&amp;row=54&amp;col=7&amp;number=0.0003&amp;sourceID=21","0.0003")</f>
        <v>0.0003</v>
      </c>
    </row>
    <row r="55" spans="1:7">
      <c r="A55" s="3">
        <v>22</v>
      </c>
      <c r="B55" s="3">
        <v>47</v>
      </c>
      <c r="C55" s="3" t="s">
        <v>59</v>
      </c>
      <c r="D55" s="4" t="str">
        <f>HYPERLINK("http://141.218.60.56/~jnz1568/getInfo.php?workbook=isotopes.xlsx&amp;sheet=Isotopes&amp;row=55&amp;col=4&amp;number=46.9517631&amp;sourceID=21","46.9517631")</f>
        <v>46.9517631</v>
      </c>
      <c r="E55" s="4" t="str">
        <f>HYPERLINK("http://141.218.60.56/~jnz1568/getInfo.php?workbook=isotopes.xlsx&amp;sheet=Isotopes&amp;row=55&amp;col=5&amp;number=9e-07&amp;sourceID=21","9e-07")</f>
        <v>9e-07</v>
      </c>
      <c r="F55" s="4" t="str">
        <f>HYPERLINK("http://141.218.60.56/~jnz1568/getInfo.php?workbook=isotopes.xlsx&amp;sheet=Isotopes&amp;row=55&amp;col=6&amp;number=0.0744&amp;sourceID=21","0.0744")</f>
        <v>0.0744</v>
      </c>
      <c r="G55" s="4" t="str">
        <f>HYPERLINK("http://141.218.60.56/~jnz1568/getInfo.php?workbook=isotopes.xlsx&amp;sheet=Isotopes&amp;row=55&amp;col=7&amp;number=0.0002&amp;sourceID=21","0.0002")</f>
        <v>0.0002</v>
      </c>
    </row>
    <row r="56" spans="1:7">
      <c r="A56" s="3">
        <v>22</v>
      </c>
      <c r="B56" s="3">
        <v>48</v>
      </c>
      <c r="C56" s="3" t="s">
        <v>60</v>
      </c>
      <c r="D56" s="4" t="str">
        <f>HYPERLINK("http://141.218.60.56/~jnz1568/getInfo.php?workbook=isotopes.xlsx&amp;sheet=Isotopes&amp;row=56&amp;col=4&amp;number=47.9479463&amp;sourceID=21","47.9479463")</f>
        <v>47.9479463</v>
      </c>
      <c r="E56" s="4" t="str">
        <f>HYPERLINK("http://141.218.60.56/~jnz1568/getInfo.php?workbook=isotopes.xlsx&amp;sheet=Isotopes&amp;row=56&amp;col=5&amp;number=9e-07&amp;sourceID=21","9e-07")</f>
        <v>9e-07</v>
      </c>
      <c r="F56" s="4" t="str">
        <f>HYPERLINK("http://141.218.60.56/~jnz1568/getInfo.php?workbook=isotopes.xlsx&amp;sheet=Isotopes&amp;row=56&amp;col=6&amp;number=0.7372&amp;sourceID=21","0.7372")</f>
        <v>0.7372</v>
      </c>
      <c r="G56" s="4" t="str">
        <f>HYPERLINK("http://141.218.60.56/~jnz1568/getInfo.php?workbook=isotopes.xlsx&amp;sheet=Isotopes&amp;row=56&amp;col=7&amp;number=0.0003&amp;sourceID=21","0.0003")</f>
        <v>0.0003</v>
      </c>
    </row>
    <row r="57" spans="1:7">
      <c r="A57" s="3">
        <v>22</v>
      </c>
      <c r="B57" s="3">
        <v>49</v>
      </c>
      <c r="C57" s="3" t="s">
        <v>61</v>
      </c>
      <c r="D57" s="4" t="str">
        <f>HYPERLINK("http://141.218.60.56/~jnz1568/getInfo.php?workbook=isotopes.xlsx&amp;sheet=Isotopes&amp;row=57&amp;col=4&amp;number=48.94787&amp;sourceID=21","48.94787")</f>
        <v>48.94787</v>
      </c>
      <c r="E57" s="4" t="str">
        <f>HYPERLINK("http://141.218.60.56/~jnz1568/getInfo.php?workbook=isotopes.xlsx&amp;sheet=Isotopes&amp;row=57&amp;col=5&amp;number=9e-07&amp;sourceID=21","9e-07")</f>
        <v>9e-07</v>
      </c>
      <c r="F57" s="4" t="str">
        <f>HYPERLINK("http://141.218.60.56/~jnz1568/getInfo.php?workbook=isotopes.xlsx&amp;sheet=Isotopes&amp;row=57&amp;col=6&amp;number=0.0541&amp;sourceID=21","0.0541")</f>
        <v>0.0541</v>
      </c>
      <c r="G57" s="4" t="str">
        <f>HYPERLINK("http://141.218.60.56/~jnz1568/getInfo.php?workbook=isotopes.xlsx&amp;sheet=Isotopes&amp;row=57&amp;col=7&amp;number=0.0002&amp;sourceID=21","0.0002")</f>
        <v>0.0002</v>
      </c>
    </row>
    <row r="58" spans="1:7">
      <c r="A58" s="3">
        <v>22</v>
      </c>
      <c r="B58" s="3">
        <v>50</v>
      </c>
      <c r="C58" s="3" t="s">
        <v>62</v>
      </c>
      <c r="D58" s="4" t="str">
        <f>HYPERLINK("http://141.218.60.56/~jnz1568/getInfo.php?workbook=isotopes.xlsx&amp;sheet=Isotopes&amp;row=58&amp;col=4&amp;number=49.9447912&amp;sourceID=21","49.9447912")</f>
        <v>49.9447912</v>
      </c>
      <c r="E58" s="4" t="str">
        <f>HYPERLINK("http://141.218.60.56/~jnz1568/getInfo.php?workbook=isotopes.xlsx&amp;sheet=Isotopes&amp;row=58&amp;col=5&amp;number=9e-07&amp;sourceID=21","9e-07")</f>
        <v>9e-07</v>
      </c>
      <c r="F58" s="4" t="str">
        <f>HYPERLINK("http://141.218.60.56/~jnz1568/getInfo.php?workbook=isotopes.xlsx&amp;sheet=Isotopes&amp;row=58&amp;col=6&amp;number=0.0518&amp;sourceID=21","0.0518")</f>
        <v>0.0518</v>
      </c>
      <c r="G58" s="4" t="str">
        <f>HYPERLINK("http://141.218.60.56/~jnz1568/getInfo.php?workbook=isotopes.xlsx&amp;sheet=Isotopes&amp;row=58&amp;col=7&amp;number=0.0002&amp;sourceID=21","0.0002")</f>
        <v>0.0002</v>
      </c>
    </row>
    <row r="59" spans="1:7">
      <c r="A59" s="3">
        <v>23</v>
      </c>
      <c r="B59" s="3">
        <v>50</v>
      </c>
      <c r="C59" s="3" t="s">
        <v>63</v>
      </c>
      <c r="D59" s="4" t="str">
        <f>HYPERLINK("http://141.218.60.56/~jnz1568/getInfo.php?workbook=isotopes.xlsx&amp;sheet=Isotopes&amp;row=59&amp;col=4&amp;number=49.9471585&amp;sourceID=21","49.9471585")</f>
        <v>49.9471585</v>
      </c>
      <c r="E59" s="4" t="str">
        <f>HYPERLINK("http://141.218.60.56/~jnz1568/getInfo.php?workbook=isotopes.xlsx&amp;sheet=Isotopes&amp;row=59&amp;col=5&amp;number=1.1e-06&amp;sourceID=21","1.1e-06")</f>
        <v>1.1e-06</v>
      </c>
      <c r="F59" s="4" t="str">
        <f>HYPERLINK("http://141.218.60.56/~jnz1568/getInfo.php?workbook=isotopes.xlsx&amp;sheet=Isotopes&amp;row=59&amp;col=6&amp;number=0.0025&amp;sourceID=21","0.0025")</f>
        <v>0.0025</v>
      </c>
      <c r="G59" s="4" t="str">
        <f>HYPERLINK("http://141.218.60.56/~jnz1568/getInfo.php?workbook=isotopes.xlsx&amp;sheet=Isotopes&amp;row=59&amp;col=7&amp;number=4e-05&amp;sourceID=21","4e-05")</f>
        <v>4e-05</v>
      </c>
    </row>
    <row r="60" spans="1:7">
      <c r="A60" s="3">
        <v>23</v>
      </c>
      <c r="B60" s="3">
        <v>51</v>
      </c>
      <c r="C60" s="3" t="s">
        <v>64</v>
      </c>
      <c r="D60" s="4" t="str">
        <f>HYPERLINK("http://141.218.60.56/~jnz1568/getInfo.php?workbook=isotopes.xlsx&amp;sheet=Isotopes&amp;row=60&amp;col=4&amp;number=50.9439595&amp;sourceID=21","50.9439595")</f>
        <v>50.9439595</v>
      </c>
      <c r="E60" s="4" t="str">
        <f>HYPERLINK("http://141.218.60.56/~jnz1568/getInfo.php?workbook=isotopes.xlsx&amp;sheet=Isotopes&amp;row=60&amp;col=5&amp;number=1.1e-06&amp;sourceID=21","1.1e-06")</f>
        <v>1.1e-06</v>
      </c>
      <c r="F60" s="4" t="str">
        <f>HYPERLINK("http://141.218.60.56/~jnz1568/getInfo.php?workbook=isotopes.xlsx&amp;sheet=Isotopes&amp;row=60&amp;col=6&amp;number=0.9975&amp;sourceID=21","0.9975")</f>
        <v>0.9975</v>
      </c>
      <c r="G60" s="4" t="str">
        <f>HYPERLINK("http://141.218.60.56/~jnz1568/getInfo.php?workbook=isotopes.xlsx&amp;sheet=Isotopes&amp;row=60&amp;col=7&amp;number=4e-05&amp;sourceID=21","4e-05")</f>
        <v>4e-05</v>
      </c>
    </row>
    <row r="61" spans="1:7">
      <c r="A61" s="3">
        <v>24</v>
      </c>
      <c r="B61" s="3">
        <v>50</v>
      </c>
      <c r="C61" s="3" t="s">
        <v>65</v>
      </c>
      <c r="D61" s="4" t="str">
        <f>HYPERLINK("http://141.218.60.56/~jnz1568/getInfo.php?workbook=isotopes.xlsx&amp;sheet=Isotopes&amp;row=61&amp;col=4&amp;number=49.9460442&amp;sourceID=21","49.9460442")</f>
        <v>49.9460442</v>
      </c>
      <c r="E61" s="4" t="str">
        <f>HYPERLINK("http://141.218.60.56/~jnz1568/getInfo.php?workbook=isotopes.xlsx&amp;sheet=Isotopes&amp;row=61&amp;col=5&amp;number=1.1e-06&amp;sourceID=21","1.1e-06")</f>
        <v>1.1e-06</v>
      </c>
      <c r="F61" s="4" t="str">
        <f>HYPERLINK("http://141.218.60.56/~jnz1568/getInfo.php?workbook=isotopes.xlsx&amp;sheet=Isotopes&amp;row=61&amp;col=6&amp;number=0.04345&amp;sourceID=21","0.04345")</f>
        <v>0.04345</v>
      </c>
      <c r="G61" s="4" t="str">
        <f>HYPERLINK("http://141.218.60.56/~jnz1568/getInfo.php?workbook=isotopes.xlsx&amp;sheet=Isotopes&amp;row=61&amp;col=7&amp;number=0.00013&amp;sourceID=21","0.00013")</f>
        <v>0.00013</v>
      </c>
    </row>
    <row r="62" spans="1:7">
      <c r="A62" s="3">
        <v>24</v>
      </c>
      <c r="B62" s="3">
        <v>52</v>
      </c>
      <c r="C62" s="3" t="s">
        <v>66</v>
      </c>
      <c r="D62" s="4" t="str">
        <f>HYPERLINK("http://141.218.60.56/~jnz1568/getInfo.php?workbook=isotopes.xlsx&amp;sheet=Isotopes&amp;row=62&amp;col=4&amp;number=51.9405075&amp;sourceID=21","51.9405075")</f>
        <v>51.9405075</v>
      </c>
      <c r="E62" s="4" t="str">
        <f>HYPERLINK("http://141.218.60.56/~jnz1568/getInfo.php?workbook=isotopes.xlsx&amp;sheet=Isotopes&amp;row=62&amp;col=5&amp;number=8e-07&amp;sourceID=21","8e-07")</f>
        <v>8e-07</v>
      </c>
      <c r="F62" s="4" t="str">
        <f>HYPERLINK("http://141.218.60.56/~jnz1568/getInfo.php?workbook=isotopes.xlsx&amp;sheet=Isotopes&amp;row=62&amp;col=6&amp;number=0.83789&amp;sourceID=21","0.83789")</f>
        <v>0.83789</v>
      </c>
      <c r="G62" s="4" t="str">
        <f>HYPERLINK("http://141.218.60.56/~jnz1568/getInfo.php?workbook=isotopes.xlsx&amp;sheet=Isotopes&amp;row=62&amp;col=7&amp;number=0.00018&amp;sourceID=21","0.00018")</f>
        <v>0.00018</v>
      </c>
    </row>
    <row r="63" spans="1:7">
      <c r="A63" s="3">
        <v>24</v>
      </c>
      <c r="B63" s="3">
        <v>53</v>
      </c>
      <c r="C63" s="3" t="s">
        <v>67</v>
      </c>
      <c r="D63" s="4" t="str">
        <f>HYPERLINK("http://141.218.60.56/~jnz1568/getInfo.php?workbook=isotopes.xlsx&amp;sheet=Isotopes&amp;row=63&amp;col=4&amp;number=52.9406494&amp;sourceID=21","52.9406494")</f>
        <v>52.9406494</v>
      </c>
      <c r="E63" s="4" t="str">
        <f>HYPERLINK("http://141.218.60.56/~jnz1568/getInfo.php?workbook=isotopes.xlsx&amp;sheet=Isotopes&amp;row=63&amp;col=5&amp;number=8e-07&amp;sourceID=21","8e-07")</f>
        <v>8e-07</v>
      </c>
      <c r="F63" s="4" t="str">
        <f>HYPERLINK("http://141.218.60.56/~jnz1568/getInfo.php?workbook=isotopes.xlsx&amp;sheet=Isotopes&amp;row=63&amp;col=6&amp;number=0.09501&amp;sourceID=21","0.09501")</f>
        <v>0.09501</v>
      </c>
      <c r="G63" s="4" t="str">
        <f>HYPERLINK("http://141.218.60.56/~jnz1568/getInfo.php?workbook=isotopes.xlsx&amp;sheet=Isotopes&amp;row=63&amp;col=7&amp;number=0.00017&amp;sourceID=21","0.00017")</f>
        <v>0.00017</v>
      </c>
    </row>
    <row r="64" spans="1:7">
      <c r="A64" s="3">
        <v>24</v>
      </c>
      <c r="B64" s="3">
        <v>54</v>
      </c>
      <c r="C64" s="3" t="s">
        <v>68</v>
      </c>
      <c r="D64" s="4" t="str">
        <f>HYPERLINK("http://141.218.60.56/~jnz1568/getInfo.php?workbook=isotopes.xlsx&amp;sheet=Isotopes&amp;row=64&amp;col=4&amp;number=53.9388804&amp;sourceID=21","53.9388804")</f>
        <v>53.9388804</v>
      </c>
      <c r="E64" s="4" t="str">
        <f>HYPERLINK("http://141.218.60.56/~jnz1568/getInfo.php?workbook=isotopes.xlsx&amp;sheet=Isotopes&amp;row=64&amp;col=5&amp;number=8e-07&amp;sourceID=21","8e-07")</f>
        <v>8e-07</v>
      </c>
      <c r="F64" s="4" t="str">
        <f>HYPERLINK("http://141.218.60.56/~jnz1568/getInfo.php?workbook=isotopes.xlsx&amp;sheet=Isotopes&amp;row=64&amp;col=6&amp;number=0.02365&amp;sourceID=21","0.02365")</f>
        <v>0.02365</v>
      </c>
      <c r="G64" s="4" t="str">
        <f>HYPERLINK("http://141.218.60.56/~jnz1568/getInfo.php?workbook=isotopes.xlsx&amp;sheet=Isotopes&amp;row=64&amp;col=7&amp;number=7e-05&amp;sourceID=21","7e-05")</f>
        <v>7e-05</v>
      </c>
    </row>
    <row r="65" spans="1:7">
      <c r="A65" s="3">
        <v>25</v>
      </c>
      <c r="B65" s="3">
        <v>55</v>
      </c>
      <c r="C65" s="3" t="s">
        <v>69</v>
      </c>
      <c r="D65" s="4" t="str">
        <f>HYPERLINK("http://141.218.60.56/~jnz1568/getInfo.php?workbook=isotopes.xlsx&amp;sheet=Isotopes&amp;row=65&amp;col=4&amp;number=54.9380451&amp;sourceID=21","54.9380451")</f>
        <v>54.9380451</v>
      </c>
      <c r="E65" s="4" t="str">
        <f>HYPERLINK("http://141.218.60.56/~jnz1568/getInfo.php?workbook=isotopes.xlsx&amp;sheet=Isotopes&amp;row=65&amp;col=5&amp;number=7e-07&amp;sourceID=21","7e-07")</f>
        <v>7e-07</v>
      </c>
      <c r="F65" s="4" t="str">
        <f>HYPERLINK("http://141.218.60.56/~jnz1568/getInfo.php?workbook=isotopes.xlsx&amp;sheet=Isotopes&amp;row=65&amp;col=6&amp;number=1&amp;sourceID=21","1")</f>
        <v>1</v>
      </c>
      <c r="G65" s="4" t="str">
        <f>HYPERLINK("http://141.218.60.56/~jnz1568/getInfo.php?workbook=isotopes.xlsx&amp;sheet=Isotopes&amp;row=65&amp;col=7&amp;number=&amp;sourceID=21","")</f>
        <v/>
      </c>
    </row>
    <row r="66" spans="1:7">
      <c r="A66" s="3">
        <v>26</v>
      </c>
      <c r="B66" s="3">
        <v>54</v>
      </c>
      <c r="C66" s="3" t="s">
        <v>70</v>
      </c>
      <c r="D66" s="4" t="str">
        <f>HYPERLINK("http://141.218.60.56/~jnz1568/getInfo.php?workbook=isotopes.xlsx&amp;sheet=Isotopes&amp;row=66&amp;col=4&amp;number=53.9396105&amp;sourceID=21","53.9396105")</f>
        <v>53.9396105</v>
      </c>
      <c r="E66" s="4" t="str">
        <f>HYPERLINK("http://141.218.60.56/~jnz1568/getInfo.php?workbook=isotopes.xlsx&amp;sheet=Isotopes&amp;row=66&amp;col=5&amp;number=7e-07&amp;sourceID=21","7e-07")</f>
        <v>7e-07</v>
      </c>
      <c r="F66" s="4" t="str">
        <f>HYPERLINK("http://141.218.60.56/~jnz1568/getInfo.php?workbook=isotopes.xlsx&amp;sheet=Isotopes&amp;row=66&amp;col=6&amp;number=0.05845&amp;sourceID=21","0.05845")</f>
        <v>0.05845</v>
      </c>
      <c r="G66" s="4" t="str">
        <f>HYPERLINK("http://141.218.60.56/~jnz1568/getInfo.php?workbook=isotopes.xlsx&amp;sheet=Isotopes&amp;row=66&amp;col=7&amp;number=0.00035&amp;sourceID=21","0.00035")</f>
        <v>0.00035</v>
      </c>
    </row>
    <row r="67" spans="1:7">
      <c r="A67" s="3">
        <v>26</v>
      </c>
      <c r="B67" s="3">
        <v>56</v>
      </c>
      <c r="C67" s="3" t="s">
        <v>71</v>
      </c>
      <c r="D67" s="4" t="str">
        <f>HYPERLINK("http://141.218.60.56/~jnz1568/getInfo.php?workbook=isotopes.xlsx&amp;sheet=Isotopes&amp;row=67&amp;col=4&amp;number=55.9349375&amp;sourceID=21","55.9349375")</f>
        <v>55.9349375</v>
      </c>
      <c r="E67" s="4" t="str">
        <f>HYPERLINK("http://141.218.60.56/~jnz1568/getInfo.php?workbook=isotopes.xlsx&amp;sheet=Isotopes&amp;row=67&amp;col=5&amp;number=7e-07&amp;sourceID=21","7e-07")</f>
        <v>7e-07</v>
      </c>
      <c r="F67" s="4" t="str">
        <f>HYPERLINK("http://141.218.60.56/~jnz1568/getInfo.php?workbook=isotopes.xlsx&amp;sheet=Isotopes&amp;row=67&amp;col=6&amp;number=0.91754&amp;sourceID=21","0.91754")</f>
        <v>0.91754</v>
      </c>
      <c r="G67" s="4" t="str">
        <f>HYPERLINK("http://141.218.60.56/~jnz1568/getInfo.php?workbook=isotopes.xlsx&amp;sheet=Isotopes&amp;row=67&amp;col=7&amp;number=0.00036&amp;sourceID=21","0.00036")</f>
        <v>0.00036</v>
      </c>
    </row>
    <row r="68" spans="1:7">
      <c r="A68" s="3">
        <v>26</v>
      </c>
      <c r="B68" s="3">
        <v>57</v>
      </c>
      <c r="C68" s="3" t="s">
        <v>72</v>
      </c>
      <c r="D68" s="4" t="str">
        <f>HYPERLINK("http://141.218.60.56/~jnz1568/getInfo.php?workbook=isotopes.xlsx&amp;sheet=Isotopes&amp;row=68&amp;col=4&amp;number=56.935394&amp;sourceID=21","56.935394")</f>
        <v>56.935394</v>
      </c>
      <c r="E68" s="4" t="str">
        <f>HYPERLINK("http://141.218.60.56/~jnz1568/getInfo.php?workbook=isotopes.xlsx&amp;sheet=Isotopes&amp;row=68&amp;col=5&amp;number=7e-07&amp;sourceID=21","7e-07")</f>
        <v>7e-07</v>
      </c>
      <c r="F68" s="4" t="str">
        <f>HYPERLINK("http://141.218.60.56/~jnz1568/getInfo.php?workbook=isotopes.xlsx&amp;sheet=Isotopes&amp;row=68&amp;col=6&amp;number=0.02119&amp;sourceID=21","0.02119")</f>
        <v>0.02119</v>
      </c>
      <c r="G68" s="4" t="str">
        <f>HYPERLINK("http://141.218.60.56/~jnz1568/getInfo.php?workbook=isotopes.xlsx&amp;sheet=Isotopes&amp;row=68&amp;col=7&amp;number=0.0001&amp;sourceID=21","0.0001")</f>
        <v>0.0001</v>
      </c>
    </row>
    <row r="69" spans="1:7">
      <c r="A69" s="3">
        <v>26</v>
      </c>
      <c r="B69" s="3">
        <v>58</v>
      </c>
      <c r="C69" s="3" t="s">
        <v>73</v>
      </c>
      <c r="D69" s="4" t="str">
        <f>HYPERLINK("http://141.218.60.56/~jnz1568/getInfo.php?workbook=isotopes.xlsx&amp;sheet=Isotopes&amp;row=69&amp;col=4&amp;number=57.9332756&amp;sourceID=21","57.9332756")</f>
        <v>57.9332756</v>
      </c>
      <c r="E69" s="4" t="str">
        <f>HYPERLINK("http://141.218.60.56/~jnz1568/getInfo.php?workbook=isotopes.xlsx&amp;sheet=Isotopes&amp;row=69&amp;col=5&amp;number=8e-07&amp;sourceID=21","8e-07")</f>
        <v>8e-07</v>
      </c>
      <c r="F69" s="4" t="str">
        <f>HYPERLINK("http://141.218.60.56/~jnz1568/getInfo.php?workbook=isotopes.xlsx&amp;sheet=Isotopes&amp;row=69&amp;col=6&amp;number=0.00282&amp;sourceID=21","0.00282")</f>
        <v>0.00282</v>
      </c>
      <c r="G69" s="4" t="str">
        <f>HYPERLINK("http://141.218.60.56/~jnz1568/getInfo.php?workbook=isotopes.xlsx&amp;sheet=Isotopes&amp;row=69&amp;col=7&amp;number=4e-05&amp;sourceID=21","4e-05")</f>
        <v>4e-05</v>
      </c>
    </row>
    <row r="70" spans="1:7">
      <c r="A70" s="3">
        <v>27</v>
      </c>
      <c r="B70" s="3">
        <v>59</v>
      </c>
      <c r="C70" s="3" t="s">
        <v>74</v>
      </c>
      <c r="D70" s="4" t="str">
        <f>HYPERLINK("http://141.218.60.56/~jnz1568/getInfo.php?workbook=isotopes.xlsx&amp;sheet=Isotopes&amp;row=70&amp;col=4&amp;number=58.933195&amp;sourceID=21","58.933195")</f>
        <v>58.933195</v>
      </c>
      <c r="E70" s="4" t="str">
        <f>HYPERLINK("http://141.218.60.56/~jnz1568/getInfo.php?workbook=isotopes.xlsx&amp;sheet=Isotopes&amp;row=70&amp;col=5&amp;number=7e-07&amp;sourceID=21","7e-07")</f>
        <v>7e-07</v>
      </c>
      <c r="F70" s="4" t="str">
        <f>HYPERLINK("http://141.218.60.56/~jnz1568/getInfo.php?workbook=isotopes.xlsx&amp;sheet=Isotopes&amp;row=70&amp;col=6&amp;number=1&amp;sourceID=21","1")</f>
        <v>1</v>
      </c>
      <c r="G70" s="4" t="str">
        <f>HYPERLINK("http://141.218.60.56/~jnz1568/getInfo.php?workbook=isotopes.xlsx&amp;sheet=Isotopes&amp;row=70&amp;col=7&amp;number=&amp;sourceID=21","")</f>
        <v/>
      </c>
    </row>
    <row r="71" spans="1:7">
      <c r="A71" s="3">
        <v>28</v>
      </c>
      <c r="B71" s="3">
        <v>58</v>
      </c>
      <c r="C71" s="3" t="s">
        <v>75</v>
      </c>
      <c r="D71" s="4" t="str">
        <f>HYPERLINK("http://141.218.60.56/~jnz1568/getInfo.php?workbook=isotopes.xlsx&amp;sheet=Isotopes&amp;row=71&amp;col=4&amp;number=57.9353429&amp;sourceID=21","57.9353429")</f>
        <v>57.9353429</v>
      </c>
      <c r="E71" s="4" t="str">
        <f>HYPERLINK("http://141.218.60.56/~jnz1568/getInfo.php?workbook=isotopes.xlsx&amp;sheet=Isotopes&amp;row=71&amp;col=5&amp;number=7e-07&amp;sourceID=21","7e-07")</f>
        <v>7e-07</v>
      </c>
      <c r="F71" s="4" t="str">
        <f>HYPERLINK("http://141.218.60.56/~jnz1568/getInfo.php?workbook=isotopes.xlsx&amp;sheet=Isotopes&amp;row=71&amp;col=6&amp;number=0.680769&amp;sourceID=21","0.680769")</f>
        <v>0.680769</v>
      </c>
      <c r="G71" s="4" t="str">
        <f>HYPERLINK("http://141.218.60.56/~jnz1568/getInfo.php?workbook=isotopes.xlsx&amp;sheet=Isotopes&amp;row=71&amp;col=7&amp;number=8.9e-05&amp;sourceID=21","8.9e-05")</f>
        <v>8.9e-05</v>
      </c>
    </row>
    <row r="72" spans="1:7">
      <c r="A72" s="3">
        <v>28</v>
      </c>
      <c r="B72" s="3">
        <v>60</v>
      </c>
      <c r="C72" s="3" t="s">
        <v>76</v>
      </c>
      <c r="D72" s="4" t="str">
        <f>HYPERLINK("http://141.218.60.56/~jnz1568/getInfo.php?workbook=isotopes.xlsx&amp;sheet=Isotopes&amp;row=72&amp;col=4&amp;number=59.9307864&amp;sourceID=21","59.9307864")</f>
        <v>59.9307864</v>
      </c>
      <c r="E72" s="4" t="str">
        <f>HYPERLINK("http://141.218.60.56/~jnz1568/getInfo.php?workbook=isotopes.xlsx&amp;sheet=Isotopes&amp;row=72&amp;col=5&amp;number=7e-07&amp;sourceID=21","7e-07")</f>
        <v>7e-07</v>
      </c>
      <c r="F72" s="4" t="str">
        <f>HYPERLINK("http://141.218.60.56/~jnz1568/getInfo.php?workbook=isotopes.xlsx&amp;sheet=Isotopes&amp;row=72&amp;col=6&amp;number=0.262231&amp;sourceID=21","0.262231")</f>
        <v>0.262231</v>
      </c>
      <c r="G72" s="4" t="str">
        <f>HYPERLINK("http://141.218.60.56/~jnz1568/getInfo.php?workbook=isotopes.xlsx&amp;sheet=Isotopes&amp;row=72&amp;col=7&amp;number=7.7e-05&amp;sourceID=21","7.7e-05")</f>
        <v>7.7e-05</v>
      </c>
    </row>
    <row r="73" spans="1:7">
      <c r="A73" s="3">
        <v>28</v>
      </c>
      <c r="B73" s="3">
        <v>61</v>
      </c>
      <c r="C73" s="3" t="s">
        <v>77</v>
      </c>
      <c r="D73" s="4" t="str">
        <f>HYPERLINK("http://141.218.60.56/~jnz1568/getInfo.php?workbook=isotopes.xlsx&amp;sheet=Isotopes&amp;row=73&amp;col=4&amp;number=60.931056&amp;sourceID=21","60.931056")</f>
        <v>60.931056</v>
      </c>
      <c r="E73" s="4" t="str">
        <f>HYPERLINK("http://141.218.60.56/~jnz1568/getInfo.php?workbook=isotopes.xlsx&amp;sheet=Isotopes&amp;row=73&amp;col=5&amp;number=7e-07&amp;sourceID=21","7e-07")</f>
        <v>7e-07</v>
      </c>
      <c r="F73" s="4" t="str">
        <f>HYPERLINK("http://141.218.60.56/~jnz1568/getInfo.php?workbook=isotopes.xlsx&amp;sheet=Isotopes&amp;row=73&amp;col=6&amp;number=0.011399&amp;sourceID=21","0.011399")</f>
        <v>0.011399</v>
      </c>
      <c r="G73" s="4" t="str">
        <f>HYPERLINK("http://141.218.60.56/~jnz1568/getInfo.php?workbook=isotopes.xlsx&amp;sheet=Isotopes&amp;row=73&amp;col=7&amp;number=6e-06&amp;sourceID=21","6e-06")</f>
        <v>6e-06</v>
      </c>
    </row>
    <row r="74" spans="1:7">
      <c r="A74" s="3">
        <v>28</v>
      </c>
      <c r="B74" s="3">
        <v>62</v>
      </c>
      <c r="C74" s="3" t="s">
        <v>78</v>
      </c>
      <c r="D74" s="4" t="str">
        <f>HYPERLINK("http://141.218.60.56/~jnz1568/getInfo.php?workbook=isotopes.xlsx&amp;sheet=Isotopes&amp;row=74&amp;col=4&amp;number=61.9283451&amp;sourceID=21","61.9283451")</f>
        <v>61.9283451</v>
      </c>
      <c r="E74" s="4" t="str">
        <f>HYPERLINK("http://141.218.60.56/~jnz1568/getInfo.php?workbook=isotopes.xlsx&amp;sheet=Isotopes&amp;row=74&amp;col=5&amp;number=6e-07&amp;sourceID=21","6e-07")</f>
        <v>6e-07</v>
      </c>
      <c r="F74" s="4" t="str">
        <f>HYPERLINK("http://141.218.60.56/~jnz1568/getInfo.php?workbook=isotopes.xlsx&amp;sheet=Isotopes&amp;row=74&amp;col=6&amp;number=0.036345&amp;sourceID=21","0.036345")</f>
        <v>0.036345</v>
      </c>
      <c r="G74" s="4" t="str">
        <f>HYPERLINK("http://141.218.60.56/~jnz1568/getInfo.php?workbook=isotopes.xlsx&amp;sheet=Isotopes&amp;row=74&amp;col=7&amp;number=1.7e-05&amp;sourceID=21","1.7e-05")</f>
        <v>1.7e-05</v>
      </c>
    </row>
    <row r="75" spans="1:7">
      <c r="A75" s="3">
        <v>28</v>
      </c>
      <c r="B75" s="3">
        <v>64</v>
      </c>
      <c r="C75" s="3" t="s">
        <v>79</v>
      </c>
      <c r="D75" s="4" t="str">
        <f>HYPERLINK("http://141.218.60.56/~jnz1568/getInfo.php?workbook=isotopes.xlsx&amp;sheet=Isotopes&amp;row=75&amp;col=4&amp;number=63.927966&amp;sourceID=21","63.927966")</f>
        <v>63.927966</v>
      </c>
      <c r="E75" s="4" t="str">
        <f>HYPERLINK("http://141.218.60.56/~jnz1568/getInfo.php?workbook=isotopes.xlsx&amp;sheet=Isotopes&amp;row=75&amp;col=5&amp;number=7e-07&amp;sourceID=21","7e-07")</f>
        <v>7e-07</v>
      </c>
      <c r="F75" s="4" t="str">
        <f>HYPERLINK("http://141.218.60.56/~jnz1568/getInfo.php?workbook=isotopes.xlsx&amp;sheet=Isotopes&amp;row=75&amp;col=6&amp;number=0.009256&amp;sourceID=21","0.009256")</f>
        <v>0.009256</v>
      </c>
      <c r="G75" s="4" t="str">
        <f>HYPERLINK("http://141.218.60.56/~jnz1568/getInfo.php?workbook=isotopes.xlsx&amp;sheet=Isotopes&amp;row=75&amp;col=7&amp;number=9e-06&amp;sourceID=21","9e-06")</f>
        <v>9e-06</v>
      </c>
    </row>
    <row r="76" spans="1:7">
      <c r="A76" s="3">
        <v>29</v>
      </c>
      <c r="B76" s="3">
        <v>63</v>
      </c>
      <c r="C76" s="3" t="s">
        <v>80</v>
      </c>
      <c r="D76" s="4" t="str">
        <f>HYPERLINK("http://141.218.60.56/~jnz1568/getInfo.php?workbook=isotopes.xlsx&amp;sheet=Isotopes&amp;row=76&amp;col=4&amp;number=62.9295975&amp;sourceID=21","62.9295975")</f>
        <v>62.9295975</v>
      </c>
      <c r="E76" s="4" t="str">
        <f>HYPERLINK("http://141.218.60.56/~jnz1568/getInfo.php?workbook=isotopes.xlsx&amp;sheet=Isotopes&amp;row=76&amp;col=5&amp;number=6e-07&amp;sourceID=21","6e-07")</f>
        <v>6e-07</v>
      </c>
      <c r="F76" s="4" t="str">
        <f>HYPERLINK("http://141.218.60.56/~jnz1568/getInfo.php?workbook=isotopes.xlsx&amp;sheet=Isotopes&amp;row=76&amp;col=6&amp;number=0.6915&amp;sourceID=21","0.6915")</f>
        <v>0.6915</v>
      </c>
      <c r="G76" s="4" t="str">
        <f>HYPERLINK("http://141.218.60.56/~jnz1568/getInfo.php?workbook=isotopes.xlsx&amp;sheet=Isotopes&amp;row=76&amp;col=7&amp;number=0.0015&amp;sourceID=21","0.0015")</f>
        <v>0.0015</v>
      </c>
    </row>
    <row r="77" spans="1:7">
      <c r="A77" s="3">
        <v>29</v>
      </c>
      <c r="B77" s="3">
        <v>65</v>
      </c>
      <c r="C77" s="3" t="s">
        <v>81</v>
      </c>
      <c r="D77" s="4" t="str">
        <f>HYPERLINK("http://141.218.60.56/~jnz1568/getInfo.php?workbook=isotopes.xlsx&amp;sheet=Isotopes&amp;row=77&amp;col=4&amp;number=64.9277895&amp;sourceID=21","64.9277895")</f>
        <v>64.9277895</v>
      </c>
      <c r="E77" s="4" t="str">
        <f>HYPERLINK("http://141.218.60.56/~jnz1568/getInfo.php?workbook=isotopes.xlsx&amp;sheet=Isotopes&amp;row=77&amp;col=5&amp;number=7e-07&amp;sourceID=21","7e-07")</f>
        <v>7e-07</v>
      </c>
      <c r="F77" s="4" t="str">
        <f>HYPERLINK("http://141.218.60.56/~jnz1568/getInfo.php?workbook=isotopes.xlsx&amp;sheet=Isotopes&amp;row=77&amp;col=6&amp;number=0.3085&amp;sourceID=21","0.3085")</f>
        <v>0.3085</v>
      </c>
      <c r="G77" s="4" t="str">
        <f>HYPERLINK("http://141.218.60.56/~jnz1568/getInfo.php?workbook=isotopes.xlsx&amp;sheet=Isotopes&amp;row=77&amp;col=7&amp;number=0.0015&amp;sourceID=21","0.0015")</f>
        <v>0.0015</v>
      </c>
    </row>
    <row r="78" spans="1:7">
      <c r="A78" s="3">
        <v>30</v>
      </c>
      <c r="B78" s="3">
        <v>64</v>
      </c>
      <c r="C78" s="3" t="s">
        <v>82</v>
      </c>
      <c r="D78" s="4" t="str">
        <f>HYPERLINK("http://141.218.60.56/~jnz1568/getInfo.php?workbook=isotopes.xlsx&amp;sheet=Isotopes&amp;row=78&amp;col=4&amp;number=63.9291422&amp;sourceID=21","63.9291422")</f>
        <v>63.9291422</v>
      </c>
      <c r="E78" s="4" t="str">
        <f>HYPERLINK("http://141.218.60.56/~jnz1568/getInfo.php?workbook=isotopes.xlsx&amp;sheet=Isotopes&amp;row=78&amp;col=5&amp;number=7e-07&amp;sourceID=21","7e-07")</f>
        <v>7e-07</v>
      </c>
      <c r="F78" s="4" t="str">
        <f>HYPERLINK("http://141.218.60.56/~jnz1568/getInfo.php?workbook=isotopes.xlsx&amp;sheet=Isotopes&amp;row=78&amp;col=6&amp;number=0.48268&amp;sourceID=21","0.48268")</f>
        <v>0.48268</v>
      </c>
      <c r="G78" s="4" t="str">
        <f>HYPERLINK("http://141.218.60.56/~jnz1568/getInfo.php?workbook=isotopes.xlsx&amp;sheet=Isotopes&amp;row=78&amp;col=7&amp;number=0.00321&amp;sourceID=21","0.00321")</f>
        <v>0.00321</v>
      </c>
    </row>
    <row r="79" spans="1:7">
      <c r="A79" s="3">
        <v>30</v>
      </c>
      <c r="B79" s="3">
        <v>66</v>
      </c>
      <c r="C79" s="3" t="s">
        <v>83</v>
      </c>
      <c r="D79" s="4" t="str">
        <f>HYPERLINK("http://141.218.60.56/~jnz1568/getInfo.php?workbook=isotopes.xlsx&amp;sheet=Isotopes&amp;row=79&amp;col=4&amp;number=65.9260334&amp;sourceID=21","65.9260334")</f>
        <v>65.9260334</v>
      </c>
      <c r="E79" s="4" t="str">
        <f>HYPERLINK("http://141.218.60.56/~jnz1568/getInfo.php?workbook=isotopes.xlsx&amp;sheet=Isotopes&amp;row=79&amp;col=5&amp;number=1e-06&amp;sourceID=21","1e-06")</f>
        <v>1e-06</v>
      </c>
      <c r="F79" s="4" t="str">
        <f>HYPERLINK("http://141.218.60.56/~jnz1568/getInfo.php?workbook=isotopes.xlsx&amp;sheet=Isotopes&amp;row=79&amp;col=6&amp;number=0.27975&amp;sourceID=21","0.27975")</f>
        <v>0.27975</v>
      </c>
      <c r="G79" s="4" t="str">
        <f>HYPERLINK("http://141.218.60.56/~jnz1568/getInfo.php?workbook=isotopes.xlsx&amp;sheet=Isotopes&amp;row=79&amp;col=7&amp;number=0.00077&amp;sourceID=21","0.00077")</f>
        <v>0.00077</v>
      </c>
    </row>
    <row r="80" spans="1:7">
      <c r="A80" s="3">
        <v>30</v>
      </c>
      <c r="B80" s="3">
        <v>67</v>
      </c>
      <c r="C80" s="3" t="s">
        <v>84</v>
      </c>
      <c r="D80" s="4" t="str">
        <f>HYPERLINK("http://141.218.60.56/~jnz1568/getInfo.php?workbook=isotopes.xlsx&amp;sheet=Isotopes&amp;row=80&amp;col=4&amp;number=66.9271273&amp;sourceID=21","66.9271273")</f>
        <v>66.9271273</v>
      </c>
      <c r="E80" s="4" t="str">
        <f>HYPERLINK("http://141.218.60.56/~jnz1568/getInfo.php?workbook=isotopes.xlsx&amp;sheet=Isotopes&amp;row=80&amp;col=5&amp;number=1e-06&amp;sourceID=21","1e-06")</f>
        <v>1e-06</v>
      </c>
      <c r="F80" s="4" t="str">
        <f>HYPERLINK("http://141.218.60.56/~jnz1568/getInfo.php?workbook=isotopes.xlsx&amp;sheet=Isotopes&amp;row=80&amp;col=6&amp;number=0.04102&amp;sourceID=21","0.04102")</f>
        <v>0.04102</v>
      </c>
      <c r="G80" s="4" t="str">
        <f>HYPERLINK("http://141.218.60.56/~jnz1568/getInfo.php?workbook=isotopes.xlsx&amp;sheet=Isotopes&amp;row=80&amp;col=7&amp;number=0.00021&amp;sourceID=21","0.00021")</f>
        <v>0.00021</v>
      </c>
    </row>
    <row r="81" spans="1:7">
      <c r="A81" s="3">
        <v>30</v>
      </c>
      <c r="B81" s="3">
        <v>68</v>
      </c>
      <c r="C81" s="3" t="s">
        <v>85</v>
      </c>
      <c r="D81" s="4" t="str">
        <f>HYPERLINK("http://141.218.60.56/~jnz1568/getInfo.php?workbook=isotopes.xlsx&amp;sheet=Isotopes&amp;row=81&amp;col=4&amp;number=67.9248442&amp;sourceID=21","67.9248442")</f>
        <v>67.9248442</v>
      </c>
      <c r="E81" s="4" t="str">
        <f>HYPERLINK("http://141.218.60.56/~jnz1568/getInfo.php?workbook=isotopes.xlsx&amp;sheet=Isotopes&amp;row=81&amp;col=5&amp;number=1e-06&amp;sourceID=21","1e-06")</f>
        <v>1e-06</v>
      </c>
      <c r="F81" s="4" t="str">
        <f>HYPERLINK("http://141.218.60.56/~jnz1568/getInfo.php?workbook=isotopes.xlsx&amp;sheet=Isotopes&amp;row=81&amp;col=6&amp;number=0.19024&amp;sourceID=21","0.19024")</f>
        <v>0.19024</v>
      </c>
      <c r="G81" s="4" t="str">
        <f>HYPERLINK("http://141.218.60.56/~jnz1568/getInfo.php?workbook=isotopes.xlsx&amp;sheet=Isotopes&amp;row=81&amp;col=7&amp;number=0.00123&amp;sourceID=21","0.00123")</f>
        <v>0.00123</v>
      </c>
    </row>
    <row r="82" spans="1:7">
      <c r="A82" s="3">
        <v>30</v>
      </c>
      <c r="B82" s="3">
        <v>70</v>
      </c>
      <c r="C82" s="3" t="s">
        <v>86</v>
      </c>
      <c r="D82" s="4" t="str">
        <f>HYPERLINK("http://141.218.60.56/~jnz1568/getInfo.php?workbook=isotopes.xlsx&amp;sheet=Isotopes&amp;row=82&amp;col=4&amp;number=69.9253193&amp;sourceID=21","69.9253193")</f>
        <v>69.9253193</v>
      </c>
      <c r="E82" s="4" t="str">
        <f>HYPERLINK("http://141.218.60.56/~jnz1568/getInfo.php?workbook=isotopes.xlsx&amp;sheet=Isotopes&amp;row=82&amp;col=5&amp;number=2.1e-06&amp;sourceID=21","2.1e-06")</f>
        <v>2.1e-06</v>
      </c>
      <c r="F82" s="4" t="str">
        <f>HYPERLINK("http://141.218.60.56/~jnz1568/getInfo.php?workbook=isotopes.xlsx&amp;sheet=Isotopes&amp;row=82&amp;col=6&amp;number=0.00631&amp;sourceID=21","0.00631")</f>
        <v>0.00631</v>
      </c>
      <c r="G82" s="4" t="str">
        <f>HYPERLINK("http://141.218.60.56/~jnz1568/getInfo.php?workbook=isotopes.xlsx&amp;sheet=Isotopes&amp;row=82&amp;col=7&amp;number=9e-05&amp;sourceID=21","9e-05")</f>
        <v>9e-05</v>
      </c>
    </row>
    <row r="83" spans="1:7">
      <c r="A83" s="3">
        <v>31</v>
      </c>
      <c r="B83" s="3">
        <v>69</v>
      </c>
      <c r="C83" s="3" t="s">
        <v>87</v>
      </c>
      <c r="D83" s="4" t="str">
        <f>HYPERLINK("http://141.218.60.56/~jnz1568/getInfo.php?workbook=isotopes.xlsx&amp;sheet=Isotopes&amp;row=83&amp;col=4&amp;number=68.9255736&amp;sourceID=21","68.9255736")</f>
        <v>68.9255736</v>
      </c>
      <c r="E83" s="4" t="str">
        <f>HYPERLINK("http://141.218.60.56/~jnz1568/getInfo.php?workbook=isotopes.xlsx&amp;sheet=Isotopes&amp;row=83&amp;col=5&amp;number=1.3e-06&amp;sourceID=21","1.3e-06")</f>
        <v>1.3e-06</v>
      </c>
      <c r="F83" s="4" t="str">
        <f>HYPERLINK("http://141.218.60.56/~jnz1568/getInfo.php?workbook=isotopes.xlsx&amp;sheet=Isotopes&amp;row=83&amp;col=6&amp;number=0.60108&amp;sourceID=21","0.60108")</f>
        <v>0.60108</v>
      </c>
      <c r="G83" s="4" t="str">
        <f>HYPERLINK("http://141.218.60.56/~jnz1568/getInfo.php?workbook=isotopes.xlsx&amp;sheet=Isotopes&amp;row=83&amp;col=7&amp;number=9e-05&amp;sourceID=21","9e-05")</f>
        <v>9e-05</v>
      </c>
    </row>
    <row r="84" spans="1:7">
      <c r="A84" s="3">
        <v>31</v>
      </c>
      <c r="B84" s="3">
        <v>71</v>
      </c>
      <c r="C84" s="3" t="s">
        <v>88</v>
      </c>
      <c r="D84" s="4" t="str">
        <f>HYPERLINK("http://141.218.60.56/~jnz1568/getInfo.php?workbook=isotopes.xlsx&amp;sheet=Isotopes&amp;row=84&amp;col=4&amp;number=70.9247013&amp;sourceID=21","70.9247013")</f>
        <v>70.9247013</v>
      </c>
      <c r="E84" s="4" t="str">
        <f>HYPERLINK("http://141.218.60.56/~jnz1568/getInfo.php?workbook=isotopes.xlsx&amp;sheet=Isotopes&amp;row=84&amp;col=5&amp;number=1.1e-06&amp;sourceID=21","1.1e-06")</f>
        <v>1.1e-06</v>
      </c>
      <c r="F84" s="4" t="str">
        <f>HYPERLINK("http://141.218.60.56/~jnz1568/getInfo.php?workbook=isotopes.xlsx&amp;sheet=Isotopes&amp;row=84&amp;col=6&amp;number=0.39892&amp;sourceID=21","0.39892")</f>
        <v>0.39892</v>
      </c>
      <c r="G84" s="4" t="str">
        <f>HYPERLINK("http://141.218.60.56/~jnz1568/getInfo.php?workbook=isotopes.xlsx&amp;sheet=Isotopes&amp;row=84&amp;col=7&amp;number=9e-05&amp;sourceID=21","9e-05")</f>
        <v>9e-05</v>
      </c>
    </row>
    <row r="85" spans="1:7">
      <c r="A85" s="3">
        <v>32</v>
      </c>
      <c r="B85" s="3">
        <v>70</v>
      </c>
      <c r="C85" s="3" t="s">
        <v>89</v>
      </c>
      <c r="D85" s="4" t="str">
        <f>HYPERLINK("http://141.218.60.56/~jnz1568/getInfo.php?workbook=isotopes.xlsx&amp;sheet=Isotopes&amp;row=85&amp;col=4&amp;number=69.9242474&amp;sourceID=21","69.9242474")</f>
        <v>69.9242474</v>
      </c>
      <c r="E85" s="4" t="str">
        <f>HYPERLINK("http://141.218.60.56/~jnz1568/getInfo.php?workbook=isotopes.xlsx&amp;sheet=Isotopes&amp;row=85&amp;col=5&amp;number=1.1e-06&amp;sourceID=21","1.1e-06")</f>
        <v>1.1e-06</v>
      </c>
      <c r="F85" s="4" t="str">
        <f>HYPERLINK("http://141.218.60.56/~jnz1568/getInfo.php?workbook=isotopes.xlsx&amp;sheet=Isotopes&amp;row=85&amp;col=6&amp;number=0.2038&amp;sourceID=21","0.2038")</f>
        <v>0.2038</v>
      </c>
      <c r="G85" s="4" t="str">
        <f>HYPERLINK("http://141.218.60.56/~jnz1568/getInfo.php?workbook=isotopes.xlsx&amp;sheet=Isotopes&amp;row=85&amp;col=7&amp;number=0.0018&amp;sourceID=21","0.0018")</f>
        <v>0.0018</v>
      </c>
    </row>
    <row r="86" spans="1:7">
      <c r="A86" s="3">
        <v>32</v>
      </c>
      <c r="B86" s="3">
        <v>72</v>
      </c>
      <c r="C86" s="3" t="s">
        <v>90</v>
      </c>
      <c r="D86" s="4" t="str">
        <f>HYPERLINK("http://141.218.60.56/~jnz1568/getInfo.php?workbook=isotopes.xlsx&amp;sheet=Isotopes&amp;row=86&amp;col=4&amp;number=71.9220758&amp;sourceID=21","71.9220758")</f>
        <v>71.9220758</v>
      </c>
      <c r="E86" s="4" t="str">
        <f>HYPERLINK("http://141.218.60.56/~jnz1568/getInfo.php?workbook=isotopes.xlsx&amp;sheet=Isotopes&amp;row=86&amp;col=5&amp;number=1.8e-06&amp;sourceID=21","1.8e-06")</f>
        <v>1.8e-06</v>
      </c>
      <c r="F86" s="4" t="str">
        <f>HYPERLINK("http://141.218.60.56/~jnz1568/getInfo.php?workbook=isotopes.xlsx&amp;sheet=Isotopes&amp;row=86&amp;col=6&amp;number=0.2731&amp;sourceID=21","0.2731")</f>
        <v>0.2731</v>
      </c>
      <c r="G86" s="4" t="str">
        <f>HYPERLINK("http://141.218.60.56/~jnz1568/getInfo.php?workbook=isotopes.xlsx&amp;sheet=Isotopes&amp;row=86&amp;col=7&amp;number=0.0026&amp;sourceID=21","0.0026")</f>
        <v>0.0026</v>
      </c>
    </row>
    <row r="87" spans="1:7">
      <c r="A87" s="3">
        <v>32</v>
      </c>
      <c r="B87" s="3">
        <v>73</v>
      </c>
      <c r="C87" s="3" t="s">
        <v>91</v>
      </c>
      <c r="D87" s="4" t="str">
        <f>HYPERLINK("http://141.218.60.56/~jnz1568/getInfo.php?workbook=isotopes.xlsx&amp;sheet=Isotopes&amp;row=87&amp;col=4&amp;number=72.9234589&amp;sourceID=21","72.9234589")</f>
        <v>72.9234589</v>
      </c>
      <c r="E87" s="4" t="str">
        <f>HYPERLINK("http://141.218.60.56/~jnz1568/getInfo.php?workbook=isotopes.xlsx&amp;sheet=Isotopes&amp;row=87&amp;col=5&amp;number=1.8e-06&amp;sourceID=21","1.8e-06")</f>
        <v>1.8e-06</v>
      </c>
      <c r="F87" s="4" t="str">
        <f>HYPERLINK("http://141.218.60.56/~jnz1568/getInfo.php?workbook=isotopes.xlsx&amp;sheet=Isotopes&amp;row=87&amp;col=6&amp;number=0.0776&amp;sourceID=21","0.0776")</f>
        <v>0.0776</v>
      </c>
      <c r="G87" s="4" t="str">
        <f>HYPERLINK("http://141.218.60.56/~jnz1568/getInfo.php?workbook=isotopes.xlsx&amp;sheet=Isotopes&amp;row=87&amp;col=7&amp;number=0.0008&amp;sourceID=21","0.0008")</f>
        <v>0.0008</v>
      </c>
    </row>
    <row r="88" spans="1:7">
      <c r="A88" s="3">
        <v>32</v>
      </c>
      <c r="B88" s="3">
        <v>74</v>
      </c>
      <c r="C88" s="3" t="s">
        <v>92</v>
      </c>
      <c r="D88" s="4" t="str">
        <f>HYPERLINK("http://141.218.60.56/~jnz1568/getInfo.php?workbook=isotopes.xlsx&amp;sheet=Isotopes&amp;row=88&amp;col=4&amp;number=73.9211778&amp;sourceID=21","73.9211778")</f>
        <v>73.9211778</v>
      </c>
      <c r="E88" s="4" t="str">
        <f>HYPERLINK("http://141.218.60.56/~jnz1568/getInfo.php?workbook=isotopes.xlsx&amp;sheet=Isotopes&amp;row=88&amp;col=5&amp;number=1.8e-06&amp;sourceID=21","1.8e-06")</f>
        <v>1.8e-06</v>
      </c>
      <c r="F88" s="4" t="str">
        <f>HYPERLINK("http://141.218.60.56/~jnz1568/getInfo.php?workbook=isotopes.xlsx&amp;sheet=Isotopes&amp;row=88&amp;col=6&amp;number=0.3672&amp;sourceID=21","0.3672")</f>
        <v>0.3672</v>
      </c>
      <c r="G88" s="4" t="str">
        <f>HYPERLINK("http://141.218.60.56/~jnz1568/getInfo.php?workbook=isotopes.xlsx&amp;sheet=Isotopes&amp;row=88&amp;col=7&amp;number=0.0015&amp;sourceID=21","0.0015")</f>
        <v>0.0015</v>
      </c>
    </row>
    <row r="89" spans="1:7">
      <c r="A89" s="3">
        <v>32</v>
      </c>
      <c r="B89" s="3">
        <v>76</v>
      </c>
      <c r="C89" s="3" t="s">
        <v>93</v>
      </c>
      <c r="D89" s="4" t="str">
        <f>HYPERLINK("http://141.218.60.56/~jnz1568/getInfo.php?workbook=isotopes.xlsx&amp;sheet=Isotopes&amp;row=89&amp;col=4&amp;number=75.9214026&amp;sourceID=21","75.9214026")</f>
        <v>75.9214026</v>
      </c>
      <c r="E89" s="4" t="str">
        <f>HYPERLINK("http://141.218.60.56/~jnz1568/getInfo.php?workbook=isotopes.xlsx&amp;sheet=Isotopes&amp;row=89&amp;col=5&amp;number=1.8e-06&amp;sourceID=21","1.8e-06")</f>
        <v>1.8e-06</v>
      </c>
      <c r="F89" s="4" t="str">
        <f>HYPERLINK("http://141.218.60.56/~jnz1568/getInfo.php?workbook=isotopes.xlsx&amp;sheet=Isotopes&amp;row=89&amp;col=6&amp;number=0.0783&amp;sourceID=21","0.0783")</f>
        <v>0.0783</v>
      </c>
      <c r="G89" s="4" t="str">
        <f>HYPERLINK("http://141.218.60.56/~jnz1568/getInfo.php?workbook=isotopes.xlsx&amp;sheet=Isotopes&amp;row=89&amp;col=7&amp;number=0.0007&amp;sourceID=21","0.0007")</f>
        <v>0.0007</v>
      </c>
    </row>
    <row r="90" spans="1:7">
      <c r="A90" s="3">
        <v>33</v>
      </c>
      <c r="B90" s="3">
        <v>75</v>
      </c>
      <c r="C90" s="3" t="s">
        <v>94</v>
      </c>
      <c r="D90" s="4" t="str">
        <f>HYPERLINK("http://141.218.60.56/~jnz1568/getInfo.php?workbook=isotopes.xlsx&amp;sheet=Isotopes&amp;row=90&amp;col=4&amp;number=74.9215965&amp;sourceID=21","74.9215965")</f>
        <v>74.9215965</v>
      </c>
      <c r="E90" s="4" t="str">
        <f>HYPERLINK("http://141.218.60.56/~jnz1568/getInfo.php?workbook=isotopes.xlsx&amp;sheet=Isotopes&amp;row=90&amp;col=5&amp;number=2e-06&amp;sourceID=21","2e-06")</f>
        <v>2e-06</v>
      </c>
      <c r="F90" s="4" t="str">
        <f>HYPERLINK("http://141.218.60.56/~jnz1568/getInfo.php?workbook=isotopes.xlsx&amp;sheet=Isotopes&amp;row=90&amp;col=6&amp;number=1&amp;sourceID=21","1")</f>
        <v>1</v>
      </c>
      <c r="G90" s="4" t="str">
        <f>HYPERLINK("http://141.218.60.56/~jnz1568/getInfo.php?workbook=isotopes.xlsx&amp;sheet=Isotopes&amp;row=90&amp;col=7&amp;number=&amp;sourceID=21","")</f>
        <v/>
      </c>
    </row>
    <row r="91" spans="1:7">
      <c r="A91" s="3">
        <v>34</v>
      </c>
      <c r="B91" s="3">
        <v>74</v>
      </c>
      <c r="C91" s="3" t="s">
        <v>95</v>
      </c>
      <c r="D91" s="4" t="str">
        <f>HYPERLINK("http://141.218.60.56/~jnz1568/getInfo.php?workbook=isotopes.xlsx&amp;sheet=Isotopes&amp;row=91&amp;col=4&amp;number=73.9224764&amp;sourceID=21","73.9224764")</f>
        <v>73.9224764</v>
      </c>
      <c r="E91" s="4" t="str">
        <f>HYPERLINK("http://141.218.60.56/~jnz1568/getInfo.php?workbook=isotopes.xlsx&amp;sheet=Isotopes&amp;row=91&amp;col=5&amp;number=1.8e-06&amp;sourceID=21","1.8e-06")</f>
        <v>1.8e-06</v>
      </c>
      <c r="F91" s="4" t="str">
        <f>HYPERLINK("http://141.218.60.56/~jnz1568/getInfo.php?workbook=isotopes.xlsx&amp;sheet=Isotopes&amp;row=91&amp;col=6&amp;number=0.0089&amp;sourceID=21","0.0089")</f>
        <v>0.0089</v>
      </c>
      <c r="G91" s="4" t="str">
        <f>HYPERLINK("http://141.218.60.56/~jnz1568/getInfo.php?workbook=isotopes.xlsx&amp;sheet=Isotopes&amp;row=91&amp;col=7&amp;number=0.0004&amp;sourceID=21","0.0004")</f>
        <v>0.0004</v>
      </c>
    </row>
    <row r="92" spans="1:7">
      <c r="A92" s="3">
        <v>34</v>
      </c>
      <c r="B92" s="3">
        <v>76</v>
      </c>
      <c r="C92" s="3" t="s">
        <v>96</v>
      </c>
      <c r="D92" s="4" t="str">
        <f>HYPERLINK("http://141.218.60.56/~jnz1568/getInfo.php?workbook=isotopes.xlsx&amp;sheet=Isotopes&amp;row=92&amp;col=4&amp;number=75.9192136&amp;sourceID=21","75.9192136")</f>
        <v>75.9192136</v>
      </c>
      <c r="E92" s="4" t="str">
        <f>HYPERLINK("http://141.218.60.56/~jnz1568/getInfo.php?workbook=isotopes.xlsx&amp;sheet=Isotopes&amp;row=92&amp;col=5&amp;number=1.8e-06&amp;sourceID=21","1.8e-06")</f>
        <v>1.8e-06</v>
      </c>
      <c r="F92" s="4" t="str">
        <f>HYPERLINK("http://141.218.60.56/~jnz1568/getInfo.php?workbook=isotopes.xlsx&amp;sheet=Isotopes&amp;row=92&amp;col=6&amp;number=0.0937&amp;sourceID=21","0.0937")</f>
        <v>0.0937</v>
      </c>
      <c r="G92" s="4" t="str">
        <f>HYPERLINK("http://141.218.60.56/~jnz1568/getInfo.php?workbook=isotopes.xlsx&amp;sheet=Isotopes&amp;row=92&amp;col=7&amp;number=0.0029&amp;sourceID=21","0.0029")</f>
        <v>0.0029</v>
      </c>
    </row>
    <row r="93" spans="1:7">
      <c r="A93" s="3">
        <v>34</v>
      </c>
      <c r="B93" s="3">
        <v>77</v>
      </c>
      <c r="C93" s="3" t="s">
        <v>97</v>
      </c>
      <c r="D93" s="4" t="str">
        <f>HYPERLINK("http://141.218.60.56/~jnz1568/getInfo.php?workbook=isotopes.xlsx&amp;sheet=Isotopes&amp;row=93&amp;col=4&amp;number=76.919914&amp;sourceID=21","76.919914")</f>
        <v>76.919914</v>
      </c>
      <c r="E93" s="4" t="str">
        <f>HYPERLINK("http://141.218.60.56/~jnz1568/getInfo.php?workbook=isotopes.xlsx&amp;sheet=Isotopes&amp;row=93&amp;col=5&amp;number=1.8e-06&amp;sourceID=21","1.8e-06")</f>
        <v>1.8e-06</v>
      </c>
      <c r="F93" s="4" t="str">
        <f>HYPERLINK("http://141.218.60.56/~jnz1568/getInfo.php?workbook=isotopes.xlsx&amp;sheet=Isotopes&amp;row=93&amp;col=6&amp;number=0.0763&amp;sourceID=21","0.0763")</f>
        <v>0.0763</v>
      </c>
      <c r="G93" s="4" t="str">
        <f>HYPERLINK("http://141.218.60.56/~jnz1568/getInfo.php?workbook=isotopes.xlsx&amp;sheet=Isotopes&amp;row=93&amp;col=7&amp;number=0.0016&amp;sourceID=21","0.0016")</f>
        <v>0.0016</v>
      </c>
    </row>
    <row r="94" spans="1:7">
      <c r="A94" s="3">
        <v>34</v>
      </c>
      <c r="B94" s="3">
        <v>78</v>
      </c>
      <c r="C94" s="3" t="s">
        <v>98</v>
      </c>
      <c r="D94" s="4" t="str">
        <f>HYPERLINK("http://141.218.60.56/~jnz1568/getInfo.php?workbook=isotopes.xlsx&amp;sheet=Isotopes&amp;row=94&amp;col=4&amp;number=77.9173091&amp;sourceID=21","77.9173091")</f>
        <v>77.9173091</v>
      </c>
      <c r="E94" s="4" t="str">
        <f>HYPERLINK("http://141.218.60.56/~jnz1568/getInfo.php?workbook=isotopes.xlsx&amp;sheet=Isotopes&amp;row=94&amp;col=5&amp;number=1.8e-06&amp;sourceID=21","1.8e-06")</f>
        <v>1.8e-06</v>
      </c>
      <c r="F94" s="4" t="str">
        <f>HYPERLINK("http://141.218.60.56/~jnz1568/getInfo.php?workbook=isotopes.xlsx&amp;sheet=Isotopes&amp;row=94&amp;col=6&amp;number=0.2377&amp;sourceID=21","0.2377")</f>
        <v>0.2377</v>
      </c>
      <c r="G94" s="4" t="str">
        <f>HYPERLINK("http://141.218.60.56/~jnz1568/getInfo.php?workbook=isotopes.xlsx&amp;sheet=Isotopes&amp;row=94&amp;col=7&amp;number=0.0028&amp;sourceID=21","0.0028")</f>
        <v>0.0028</v>
      </c>
    </row>
    <row r="95" spans="1:7">
      <c r="A95" s="3">
        <v>34</v>
      </c>
      <c r="B95" s="3">
        <v>80</v>
      </c>
      <c r="C95" s="3" t="s">
        <v>99</v>
      </c>
      <c r="D95" s="4" t="str">
        <f>HYPERLINK("http://141.218.60.56/~jnz1568/getInfo.php?workbook=isotopes.xlsx&amp;sheet=Isotopes&amp;row=95&amp;col=4&amp;number=79.9165213&amp;sourceID=21","79.9165213")</f>
        <v>79.9165213</v>
      </c>
      <c r="E95" s="4" t="str">
        <f>HYPERLINK("http://141.218.60.56/~jnz1568/getInfo.php?workbook=isotopes.xlsx&amp;sheet=Isotopes&amp;row=95&amp;col=5&amp;number=2.1e-06&amp;sourceID=21","2.1e-06")</f>
        <v>2.1e-06</v>
      </c>
      <c r="F95" s="4" t="str">
        <f>HYPERLINK("http://141.218.60.56/~jnz1568/getInfo.php?workbook=isotopes.xlsx&amp;sheet=Isotopes&amp;row=95&amp;col=6&amp;number=0.4961&amp;sourceID=21","0.4961")</f>
        <v>0.4961</v>
      </c>
      <c r="G95" s="4" t="str">
        <f>HYPERLINK("http://141.218.60.56/~jnz1568/getInfo.php?workbook=isotopes.xlsx&amp;sheet=Isotopes&amp;row=95&amp;col=7&amp;number=0.0041&amp;sourceID=21","0.0041")</f>
        <v>0.0041</v>
      </c>
    </row>
    <row r="96" spans="1:7">
      <c r="A96" s="3">
        <v>34</v>
      </c>
      <c r="B96" s="3">
        <v>82</v>
      </c>
      <c r="C96" s="3" t="s">
        <v>100</v>
      </c>
      <c r="D96" s="4" t="str">
        <f>HYPERLINK("http://141.218.60.56/~jnz1568/getInfo.php?workbook=isotopes.xlsx&amp;sheet=Isotopes&amp;row=96&amp;col=4&amp;number=81.9166994&amp;sourceID=21","81.9166994")</f>
        <v>81.9166994</v>
      </c>
      <c r="E96" s="4" t="str">
        <f>HYPERLINK("http://141.218.60.56/~jnz1568/getInfo.php?workbook=isotopes.xlsx&amp;sheet=Isotopes&amp;row=96&amp;col=5&amp;number=2.2e-06&amp;sourceID=21","2.2e-06")</f>
        <v>2.2e-06</v>
      </c>
      <c r="F96" s="4" t="str">
        <f>HYPERLINK("http://141.218.60.56/~jnz1568/getInfo.php?workbook=isotopes.xlsx&amp;sheet=Isotopes&amp;row=96&amp;col=6&amp;number=0.0873&amp;sourceID=21","0.0873")</f>
        <v>0.0873</v>
      </c>
      <c r="G96" s="4" t="str">
        <f>HYPERLINK("http://141.218.60.56/~jnz1568/getInfo.php?workbook=isotopes.xlsx&amp;sheet=Isotopes&amp;row=96&amp;col=7&amp;number=0.0022&amp;sourceID=21","0.0022")</f>
        <v>0.0022</v>
      </c>
    </row>
    <row r="97" spans="1:7">
      <c r="A97" s="3">
        <v>35</v>
      </c>
      <c r="B97" s="3">
        <v>79</v>
      </c>
      <c r="C97" s="3" t="s">
        <v>101</v>
      </c>
      <c r="D97" s="4" t="str">
        <f>HYPERLINK("http://141.218.60.56/~jnz1568/getInfo.php?workbook=isotopes.xlsx&amp;sheet=Isotopes&amp;row=97&amp;col=4&amp;number=78.9183371&amp;sourceID=21","78.9183371")</f>
        <v>78.9183371</v>
      </c>
      <c r="E97" s="4" t="str">
        <f>HYPERLINK("http://141.218.60.56/~jnz1568/getInfo.php?workbook=isotopes.xlsx&amp;sheet=Isotopes&amp;row=97&amp;col=5&amp;number=2.2e-06&amp;sourceID=21","2.2e-06")</f>
        <v>2.2e-06</v>
      </c>
      <c r="F97" s="4" t="str">
        <f>HYPERLINK("http://141.218.60.56/~jnz1568/getInfo.php?workbook=isotopes.xlsx&amp;sheet=Isotopes&amp;row=97&amp;col=6&amp;number=0.5069&amp;sourceID=21","0.5069")</f>
        <v>0.5069</v>
      </c>
      <c r="G97" s="4" t="str">
        <f>HYPERLINK("http://141.218.60.56/~jnz1568/getInfo.php?workbook=isotopes.xlsx&amp;sheet=Isotopes&amp;row=97&amp;col=7&amp;number=0.0007&amp;sourceID=21","0.0007")</f>
        <v>0.0007</v>
      </c>
    </row>
    <row r="98" spans="1:7">
      <c r="A98" s="3">
        <v>35</v>
      </c>
      <c r="B98" s="3">
        <v>81</v>
      </c>
      <c r="C98" s="3" t="s">
        <v>102</v>
      </c>
      <c r="D98" s="4" t="str">
        <f>HYPERLINK("http://141.218.60.56/~jnz1568/getInfo.php?workbook=isotopes.xlsx&amp;sheet=Isotopes&amp;row=98&amp;col=4&amp;number=80.9162906&amp;sourceID=21","80.9162906")</f>
        <v>80.9162906</v>
      </c>
      <c r="E98" s="4" t="str">
        <f>HYPERLINK("http://141.218.60.56/~jnz1568/getInfo.php?workbook=isotopes.xlsx&amp;sheet=Isotopes&amp;row=98&amp;col=5&amp;number=2.1e-06&amp;sourceID=21","2.1e-06")</f>
        <v>2.1e-06</v>
      </c>
      <c r="F98" s="4" t="str">
        <f>HYPERLINK("http://141.218.60.56/~jnz1568/getInfo.php?workbook=isotopes.xlsx&amp;sheet=Isotopes&amp;row=98&amp;col=6&amp;number=0.4931&amp;sourceID=21","0.4931")</f>
        <v>0.4931</v>
      </c>
      <c r="G98" s="4" t="str">
        <f>HYPERLINK("http://141.218.60.56/~jnz1568/getInfo.php?workbook=isotopes.xlsx&amp;sheet=Isotopes&amp;row=98&amp;col=7&amp;number=0.0007&amp;sourceID=21","0.0007")</f>
        <v>0.0007</v>
      </c>
    </row>
    <row r="99" spans="1:7">
      <c r="A99" s="3">
        <v>36</v>
      </c>
      <c r="B99" s="3">
        <v>78</v>
      </c>
      <c r="C99" s="3" t="s">
        <v>103</v>
      </c>
      <c r="D99" s="4" t="str">
        <f>HYPERLINK("http://141.218.60.56/~jnz1568/getInfo.php?workbook=isotopes.xlsx&amp;sheet=Isotopes&amp;row=99&amp;col=4&amp;number=77.9203648&amp;sourceID=21","77.9203648")</f>
        <v>77.9203648</v>
      </c>
      <c r="E99" s="4" t="str">
        <f>HYPERLINK("http://141.218.60.56/~jnz1568/getInfo.php?workbook=isotopes.xlsx&amp;sheet=Isotopes&amp;row=99&amp;col=5&amp;number=1.2e-06&amp;sourceID=21","1.2e-06")</f>
        <v>1.2e-06</v>
      </c>
      <c r="F99" s="4" t="str">
        <f>HYPERLINK("http://141.218.60.56/~jnz1568/getInfo.php?workbook=isotopes.xlsx&amp;sheet=Isotopes&amp;row=99&amp;col=6&amp;number=0.00355&amp;sourceID=21","0.00355")</f>
        <v>0.00355</v>
      </c>
      <c r="G99" s="4" t="str">
        <f>HYPERLINK("http://141.218.60.56/~jnz1568/getInfo.php?workbook=isotopes.xlsx&amp;sheet=Isotopes&amp;row=99&amp;col=7&amp;number=3e-05&amp;sourceID=21","3e-05")</f>
        <v>3e-05</v>
      </c>
    </row>
    <row r="100" spans="1:7">
      <c r="A100" s="3">
        <v>36</v>
      </c>
      <c r="B100" s="3">
        <v>80</v>
      </c>
      <c r="C100" s="3" t="s">
        <v>104</v>
      </c>
      <c r="D100" s="4" t="str">
        <f>HYPERLINK("http://141.218.60.56/~jnz1568/getInfo.php?workbook=isotopes.xlsx&amp;sheet=Isotopes&amp;row=100&amp;col=4&amp;number=79.916379&amp;sourceID=21","79.916379")</f>
        <v>79.916379</v>
      </c>
      <c r="E100" s="4" t="str">
        <f>HYPERLINK("http://141.218.60.56/~jnz1568/getInfo.php?workbook=isotopes.xlsx&amp;sheet=Isotopes&amp;row=100&amp;col=5&amp;number=1.6e-06&amp;sourceID=21","1.6e-06")</f>
        <v>1.6e-06</v>
      </c>
      <c r="F100" s="4" t="str">
        <f>HYPERLINK("http://141.218.60.56/~jnz1568/getInfo.php?workbook=isotopes.xlsx&amp;sheet=Isotopes&amp;row=100&amp;col=6&amp;number=0.02286&amp;sourceID=21","0.02286")</f>
        <v>0.02286</v>
      </c>
      <c r="G100" s="4" t="str">
        <f>HYPERLINK("http://141.218.60.56/~jnz1568/getInfo.php?workbook=isotopes.xlsx&amp;sheet=Isotopes&amp;row=100&amp;col=7&amp;number=0.0001&amp;sourceID=21","0.0001")</f>
        <v>0.0001</v>
      </c>
    </row>
    <row r="101" spans="1:7">
      <c r="A101" s="3">
        <v>36</v>
      </c>
      <c r="B101" s="3">
        <v>82</v>
      </c>
      <c r="C101" s="3" t="s">
        <v>105</v>
      </c>
      <c r="D101" s="4" t="str">
        <f>HYPERLINK("http://141.218.60.56/~jnz1568/getInfo.php?workbook=isotopes.xlsx&amp;sheet=Isotopes&amp;row=101&amp;col=4&amp;number=81.9134836&amp;sourceID=21","81.9134836")</f>
        <v>81.9134836</v>
      </c>
      <c r="E101" s="4" t="str">
        <f>HYPERLINK("http://141.218.60.56/~jnz1568/getInfo.php?workbook=isotopes.xlsx&amp;sheet=Isotopes&amp;row=101&amp;col=5&amp;number=1.9e-06&amp;sourceID=21","1.9e-06")</f>
        <v>1.9e-06</v>
      </c>
      <c r="F101" s="4" t="str">
        <f>HYPERLINK("http://141.218.60.56/~jnz1568/getInfo.php?workbook=isotopes.xlsx&amp;sheet=Isotopes&amp;row=101&amp;col=6&amp;number=0.11593&amp;sourceID=21","0.11593")</f>
        <v>0.11593</v>
      </c>
      <c r="G101" s="4" t="str">
        <f>HYPERLINK("http://141.218.60.56/~jnz1568/getInfo.php?workbook=isotopes.xlsx&amp;sheet=Isotopes&amp;row=101&amp;col=7&amp;number=0.00031&amp;sourceID=21","0.00031")</f>
        <v>0.00031</v>
      </c>
    </row>
    <row r="102" spans="1:7">
      <c r="A102" s="3">
        <v>36</v>
      </c>
      <c r="B102" s="3">
        <v>83</v>
      </c>
      <c r="C102" s="3" t="s">
        <v>106</v>
      </c>
      <c r="D102" s="4" t="str">
        <f>HYPERLINK("http://141.218.60.56/~jnz1568/getInfo.php?workbook=isotopes.xlsx&amp;sheet=Isotopes&amp;row=102&amp;col=4&amp;number=82.914136&amp;sourceID=21","82.914136")</f>
        <v>82.914136</v>
      </c>
      <c r="E102" s="4" t="str">
        <f>HYPERLINK("http://141.218.60.56/~jnz1568/getInfo.php?workbook=isotopes.xlsx&amp;sheet=Isotopes&amp;row=102&amp;col=5&amp;number=3e-06&amp;sourceID=21","3e-06")</f>
        <v>3e-06</v>
      </c>
      <c r="F102" s="4" t="str">
        <f>HYPERLINK("http://141.218.60.56/~jnz1568/getInfo.php?workbook=isotopes.xlsx&amp;sheet=Isotopes&amp;row=102&amp;col=6&amp;number=0.115&amp;sourceID=21","0.115")</f>
        <v>0.115</v>
      </c>
      <c r="G102" s="4" t="str">
        <f>HYPERLINK("http://141.218.60.56/~jnz1568/getInfo.php?workbook=isotopes.xlsx&amp;sheet=Isotopes&amp;row=102&amp;col=7&amp;number=0.00019&amp;sourceID=21","0.00019")</f>
        <v>0.00019</v>
      </c>
    </row>
    <row r="103" spans="1:7">
      <c r="A103" s="3">
        <v>36</v>
      </c>
      <c r="B103" s="3">
        <v>84</v>
      </c>
      <c r="C103" s="3" t="s">
        <v>107</v>
      </c>
      <c r="D103" s="4" t="str">
        <f>HYPERLINK("http://141.218.60.56/~jnz1568/getInfo.php?workbook=isotopes.xlsx&amp;sheet=Isotopes&amp;row=103&amp;col=4&amp;number=83.911507&amp;sourceID=21","83.911507")</f>
        <v>83.911507</v>
      </c>
      <c r="E103" s="4" t="str">
        <f>HYPERLINK("http://141.218.60.56/~jnz1568/getInfo.php?workbook=isotopes.xlsx&amp;sheet=Isotopes&amp;row=103&amp;col=5&amp;number=3e-06&amp;sourceID=21","3e-06")</f>
        <v>3e-06</v>
      </c>
      <c r="F103" s="4" t="str">
        <f>HYPERLINK("http://141.218.60.56/~jnz1568/getInfo.php?workbook=isotopes.xlsx&amp;sheet=Isotopes&amp;row=103&amp;col=6&amp;number=0.56987&amp;sourceID=21","0.56987")</f>
        <v>0.56987</v>
      </c>
      <c r="G103" s="4" t="str">
        <f>HYPERLINK("http://141.218.60.56/~jnz1568/getInfo.php?workbook=isotopes.xlsx&amp;sheet=Isotopes&amp;row=103&amp;col=7&amp;number=0.00015&amp;sourceID=21","0.00015")</f>
        <v>0.00015</v>
      </c>
    </row>
    <row r="104" spans="1:7">
      <c r="A104" s="3">
        <v>36</v>
      </c>
      <c r="B104" s="3">
        <v>86</v>
      </c>
      <c r="C104" s="3" t="s">
        <v>108</v>
      </c>
      <c r="D104" s="4" t="str">
        <f>HYPERLINK("http://141.218.60.56/~jnz1568/getInfo.php?workbook=isotopes.xlsx&amp;sheet=Isotopes&amp;row=104&amp;col=4&amp;number=85.91061073&amp;sourceID=21","85.91061073")</f>
        <v>85.91061073</v>
      </c>
      <c r="E104" s="4" t="str">
        <f>HYPERLINK("http://141.218.60.56/~jnz1568/getInfo.php?workbook=isotopes.xlsx&amp;sheet=Isotopes&amp;row=104&amp;col=5&amp;number=1.1e-07&amp;sourceID=21","1.1e-07")</f>
        <v>1.1e-07</v>
      </c>
      <c r="F104" s="4" t="str">
        <f>HYPERLINK("http://141.218.60.56/~jnz1568/getInfo.php?workbook=isotopes.xlsx&amp;sheet=Isotopes&amp;row=104&amp;col=6&amp;number=0.17279&amp;sourceID=21","0.17279")</f>
        <v>0.17279</v>
      </c>
      <c r="G104" s="4" t="str">
        <f>HYPERLINK("http://141.218.60.56/~jnz1568/getInfo.php?workbook=isotopes.xlsx&amp;sheet=Isotopes&amp;row=104&amp;col=7&amp;number=0.00041&amp;sourceID=21","0.00041")</f>
        <v>0.00041</v>
      </c>
    </row>
    <row r="105" spans="1:7">
      <c r="A105" s="3">
        <v>37</v>
      </c>
      <c r="B105" s="3">
        <v>85</v>
      </c>
      <c r="C105" s="3" t="s">
        <v>109</v>
      </c>
      <c r="D105" s="4" t="str">
        <f>HYPERLINK("http://141.218.60.56/~jnz1568/getInfo.php?workbook=isotopes.xlsx&amp;sheet=Isotopes&amp;row=105&amp;col=4&amp;number=84.911789738&amp;sourceID=21","84.911789738")</f>
        <v>84.911789738</v>
      </c>
      <c r="E105" s="4" t="str">
        <f>HYPERLINK("http://141.218.60.56/~jnz1568/getInfo.php?workbook=isotopes.xlsx&amp;sheet=Isotopes&amp;row=105&amp;col=5&amp;number=1.2e-08&amp;sourceID=21","1.2e-08")</f>
        <v>1.2e-08</v>
      </c>
      <c r="F105" s="4" t="str">
        <f>HYPERLINK("http://141.218.60.56/~jnz1568/getInfo.php?workbook=isotopes.xlsx&amp;sheet=Isotopes&amp;row=105&amp;col=6&amp;number=0.7217&amp;sourceID=21","0.7217")</f>
        <v>0.7217</v>
      </c>
      <c r="G105" s="4" t="str">
        <f>HYPERLINK("http://141.218.60.56/~jnz1568/getInfo.php?workbook=isotopes.xlsx&amp;sheet=Isotopes&amp;row=105&amp;col=7&amp;number=0.0002&amp;sourceID=21","0.0002")</f>
        <v>0.0002</v>
      </c>
    </row>
    <row r="106" spans="1:7">
      <c r="A106" s="3">
        <v>37</v>
      </c>
      <c r="B106" s="3">
        <v>87</v>
      </c>
      <c r="C106" s="3" t="s">
        <v>110</v>
      </c>
      <c r="D106" s="4" t="str">
        <f>HYPERLINK("http://141.218.60.56/~jnz1568/getInfo.php?workbook=isotopes.xlsx&amp;sheet=Isotopes&amp;row=106&amp;col=4&amp;number=86.909180527&amp;sourceID=21","86.909180527")</f>
        <v>86.909180527</v>
      </c>
      <c r="E106" s="4" t="str">
        <f>HYPERLINK("http://141.218.60.56/~jnz1568/getInfo.php?workbook=isotopes.xlsx&amp;sheet=Isotopes&amp;row=106&amp;col=5&amp;number=1.3e-08&amp;sourceID=21","1.3e-08")</f>
        <v>1.3e-08</v>
      </c>
      <c r="F106" s="4" t="str">
        <f>HYPERLINK("http://141.218.60.56/~jnz1568/getInfo.php?workbook=isotopes.xlsx&amp;sheet=Isotopes&amp;row=106&amp;col=6&amp;number=0.2783&amp;sourceID=21","0.2783")</f>
        <v>0.2783</v>
      </c>
      <c r="G106" s="4" t="str">
        <f>HYPERLINK("http://141.218.60.56/~jnz1568/getInfo.php?workbook=isotopes.xlsx&amp;sheet=Isotopes&amp;row=106&amp;col=7&amp;number=0.0002&amp;sourceID=21","0.0002")</f>
        <v>0.0002</v>
      </c>
    </row>
    <row r="107" spans="1:7">
      <c r="A107" s="3">
        <v>38</v>
      </c>
      <c r="B107" s="3">
        <v>84</v>
      </c>
      <c r="C107" s="3" t="s">
        <v>111</v>
      </c>
      <c r="D107" s="4" t="str">
        <f>HYPERLINK("http://141.218.60.56/~jnz1568/getInfo.php?workbook=isotopes.xlsx&amp;sheet=Isotopes&amp;row=107&amp;col=4&amp;number=83.913425&amp;sourceID=21","83.913425")</f>
        <v>83.913425</v>
      </c>
      <c r="E107" s="4" t="str">
        <f>HYPERLINK("http://141.218.60.56/~jnz1568/getInfo.php?workbook=isotopes.xlsx&amp;sheet=Isotopes&amp;row=107&amp;col=5&amp;number=3e-06&amp;sourceID=21","3e-06")</f>
        <v>3e-06</v>
      </c>
      <c r="F107" s="4" t="str">
        <f>HYPERLINK("http://141.218.60.56/~jnz1568/getInfo.php?workbook=isotopes.xlsx&amp;sheet=Isotopes&amp;row=107&amp;col=6&amp;number=0.0056&amp;sourceID=21","0.0056")</f>
        <v>0.0056</v>
      </c>
      <c r="G107" s="4" t="str">
        <f>HYPERLINK("http://141.218.60.56/~jnz1568/getInfo.php?workbook=isotopes.xlsx&amp;sheet=Isotopes&amp;row=107&amp;col=7&amp;number=0.0001&amp;sourceID=21","0.0001")</f>
        <v>0.0001</v>
      </c>
    </row>
    <row r="108" spans="1:7">
      <c r="A108" s="3">
        <v>38</v>
      </c>
      <c r="B108" s="3">
        <v>86</v>
      </c>
      <c r="C108" s="3" t="s">
        <v>112</v>
      </c>
      <c r="D108" s="4" t="str">
        <f>HYPERLINK("http://141.218.60.56/~jnz1568/getInfo.php?workbook=isotopes.xlsx&amp;sheet=Isotopes&amp;row=108&amp;col=4&amp;number=85.9092602&amp;sourceID=21","85.9092602")</f>
        <v>85.9092602</v>
      </c>
      <c r="E108" s="4" t="str">
        <f>HYPERLINK("http://141.218.60.56/~jnz1568/getInfo.php?workbook=isotopes.xlsx&amp;sheet=Isotopes&amp;row=108&amp;col=5&amp;number=1.2e-06&amp;sourceID=21","1.2e-06")</f>
        <v>1.2e-06</v>
      </c>
      <c r="F108" s="4" t="str">
        <f>HYPERLINK("http://141.218.60.56/~jnz1568/getInfo.php?workbook=isotopes.xlsx&amp;sheet=Isotopes&amp;row=108&amp;col=6&amp;number=0.0986&amp;sourceID=21","0.0986")</f>
        <v>0.0986</v>
      </c>
      <c r="G108" s="4" t="str">
        <f>HYPERLINK("http://141.218.60.56/~jnz1568/getInfo.php?workbook=isotopes.xlsx&amp;sheet=Isotopes&amp;row=108&amp;col=7&amp;number=0.0001&amp;sourceID=21","0.0001")</f>
        <v>0.0001</v>
      </c>
    </row>
    <row r="109" spans="1:7">
      <c r="A109" s="3">
        <v>38</v>
      </c>
      <c r="B109" s="3">
        <v>87</v>
      </c>
      <c r="C109" s="3" t="s">
        <v>113</v>
      </c>
      <c r="D109" s="4" t="str">
        <f>HYPERLINK("http://141.218.60.56/~jnz1568/getInfo.php?workbook=isotopes.xlsx&amp;sheet=Isotopes&amp;row=109&amp;col=4&amp;number=86.9088771&amp;sourceID=21","86.9088771")</f>
        <v>86.9088771</v>
      </c>
      <c r="E109" s="4" t="str">
        <f>HYPERLINK("http://141.218.60.56/~jnz1568/getInfo.php?workbook=isotopes.xlsx&amp;sheet=Isotopes&amp;row=109&amp;col=5&amp;number=1.2e-06&amp;sourceID=21","1.2e-06")</f>
        <v>1.2e-06</v>
      </c>
      <c r="F109" s="4" t="str">
        <f>HYPERLINK("http://141.218.60.56/~jnz1568/getInfo.php?workbook=isotopes.xlsx&amp;sheet=Isotopes&amp;row=109&amp;col=6&amp;number=0.07&amp;sourceID=21","0.07")</f>
        <v>0.07</v>
      </c>
      <c r="G109" s="4" t="str">
        <f>HYPERLINK("http://141.218.60.56/~jnz1568/getInfo.php?workbook=isotopes.xlsx&amp;sheet=Isotopes&amp;row=109&amp;col=7&amp;number=0.0001&amp;sourceID=21","0.0001")</f>
        <v>0.0001</v>
      </c>
    </row>
    <row r="110" spans="1:7">
      <c r="A110" s="3">
        <v>38</v>
      </c>
      <c r="B110" s="3">
        <v>88</v>
      </c>
      <c r="C110" s="3" t="s">
        <v>114</v>
      </c>
      <c r="D110" s="4" t="str">
        <f>HYPERLINK("http://141.218.60.56/~jnz1568/getInfo.php?workbook=isotopes.xlsx&amp;sheet=Isotopes&amp;row=110&amp;col=4&amp;number=87.9056121&amp;sourceID=21","87.9056121")</f>
        <v>87.9056121</v>
      </c>
      <c r="E110" s="4" t="str">
        <f>HYPERLINK("http://141.218.60.56/~jnz1568/getInfo.php?workbook=isotopes.xlsx&amp;sheet=Isotopes&amp;row=110&amp;col=5&amp;number=1.2e-06&amp;sourceID=21","1.2e-06")</f>
        <v>1.2e-06</v>
      </c>
      <c r="F110" s="4" t="str">
        <f>HYPERLINK("http://141.218.60.56/~jnz1568/getInfo.php?workbook=isotopes.xlsx&amp;sheet=Isotopes&amp;row=110&amp;col=6&amp;number=0.8258&amp;sourceID=21","0.8258")</f>
        <v>0.8258</v>
      </c>
      <c r="G110" s="4" t="str">
        <f>HYPERLINK("http://141.218.60.56/~jnz1568/getInfo.php?workbook=isotopes.xlsx&amp;sheet=Isotopes&amp;row=110&amp;col=7&amp;number=0.0001&amp;sourceID=21","0.0001")</f>
        <v>0.0001</v>
      </c>
    </row>
    <row r="111" spans="1:7">
      <c r="A111" s="3">
        <v>39</v>
      </c>
      <c r="B111" s="3">
        <v>89</v>
      </c>
      <c r="C111" s="3" t="s">
        <v>115</v>
      </c>
      <c r="D111" s="4" t="str">
        <f>HYPERLINK("http://141.218.60.56/~jnz1568/getInfo.php?workbook=isotopes.xlsx&amp;sheet=Isotopes&amp;row=111&amp;col=4&amp;number=88.9058483&amp;sourceID=21","88.9058483")</f>
        <v>88.9058483</v>
      </c>
      <c r="E111" s="4" t="str">
        <f>HYPERLINK("http://141.218.60.56/~jnz1568/getInfo.php?workbook=isotopes.xlsx&amp;sheet=Isotopes&amp;row=111&amp;col=5&amp;number=2.7e-06&amp;sourceID=21","2.7e-06")</f>
        <v>2.7e-06</v>
      </c>
      <c r="F111" s="4" t="str">
        <f>HYPERLINK("http://141.218.60.56/~jnz1568/getInfo.php?workbook=isotopes.xlsx&amp;sheet=Isotopes&amp;row=111&amp;col=6&amp;number=1&amp;sourceID=21","1")</f>
        <v>1</v>
      </c>
      <c r="G111" s="4" t="str">
        <f>HYPERLINK("http://141.218.60.56/~jnz1568/getInfo.php?workbook=isotopes.xlsx&amp;sheet=Isotopes&amp;row=111&amp;col=7&amp;number=&amp;sourceID=21","")</f>
        <v/>
      </c>
    </row>
    <row r="112" spans="1:7">
      <c r="A112" s="3">
        <v>40</v>
      </c>
      <c r="B112" s="3">
        <v>90</v>
      </c>
      <c r="C112" s="3" t="s">
        <v>116</v>
      </c>
      <c r="D112" s="4" t="str">
        <f>HYPERLINK("http://141.218.60.56/~jnz1568/getInfo.php?workbook=isotopes.xlsx&amp;sheet=Isotopes&amp;row=112&amp;col=4&amp;number=89.9047044&amp;sourceID=21","89.9047044")</f>
        <v>89.9047044</v>
      </c>
      <c r="E112" s="4" t="str">
        <f>HYPERLINK("http://141.218.60.56/~jnz1568/getInfo.php?workbook=isotopes.xlsx&amp;sheet=Isotopes&amp;row=112&amp;col=5&amp;number=2.5e-06&amp;sourceID=21","2.5e-06")</f>
        <v>2.5e-06</v>
      </c>
      <c r="F112" s="4" t="str">
        <f>HYPERLINK("http://141.218.60.56/~jnz1568/getInfo.php?workbook=isotopes.xlsx&amp;sheet=Isotopes&amp;row=112&amp;col=6&amp;number=0.5145&amp;sourceID=21","0.5145")</f>
        <v>0.5145</v>
      </c>
      <c r="G112" s="4" t="str">
        <f>HYPERLINK("http://141.218.60.56/~jnz1568/getInfo.php?workbook=isotopes.xlsx&amp;sheet=Isotopes&amp;row=112&amp;col=7&amp;number=0.004&amp;sourceID=21","0.004")</f>
        <v>0.004</v>
      </c>
    </row>
    <row r="113" spans="1:7">
      <c r="A113" s="3">
        <v>40</v>
      </c>
      <c r="B113" s="3">
        <v>91</v>
      </c>
      <c r="C113" s="3" t="s">
        <v>117</v>
      </c>
      <c r="D113" s="4" t="str">
        <f>HYPERLINK("http://141.218.60.56/~jnz1568/getInfo.php?workbook=isotopes.xlsx&amp;sheet=Isotopes&amp;row=113&amp;col=4&amp;number=90.9056458&amp;sourceID=21","90.9056458")</f>
        <v>90.9056458</v>
      </c>
      <c r="E113" s="4" t="str">
        <f>HYPERLINK("http://141.218.60.56/~jnz1568/getInfo.php?workbook=isotopes.xlsx&amp;sheet=Isotopes&amp;row=113&amp;col=5&amp;number=2.5e-06&amp;sourceID=21","2.5e-06")</f>
        <v>2.5e-06</v>
      </c>
      <c r="F113" s="4" t="str">
        <f>HYPERLINK("http://141.218.60.56/~jnz1568/getInfo.php?workbook=isotopes.xlsx&amp;sheet=Isotopes&amp;row=113&amp;col=6&amp;number=0.1122&amp;sourceID=21","0.1122")</f>
        <v>0.1122</v>
      </c>
      <c r="G113" s="4" t="str">
        <f>HYPERLINK("http://141.218.60.56/~jnz1568/getInfo.php?workbook=isotopes.xlsx&amp;sheet=Isotopes&amp;row=113&amp;col=7&amp;number=0.0005&amp;sourceID=21","0.0005")</f>
        <v>0.0005</v>
      </c>
    </row>
    <row r="114" spans="1:7">
      <c r="A114" s="3">
        <v>40</v>
      </c>
      <c r="B114" s="3">
        <v>92</v>
      </c>
      <c r="C114" s="3" t="s">
        <v>118</v>
      </c>
      <c r="D114" s="4" t="str">
        <f>HYPERLINK("http://141.218.60.56/~jnz1568/getInfo.php?workbook=isotopes.xlsx&amp;sheet=Isotopes&amp;row=114&amp;col=4&amp;number=91.9050408&amp;sourceID=21","91.9050408")</f>
        <v>91.9050408</v>
      </c>
      <c r="E114" s="4" t="str">
        <f>HYPERLINK("http://141.218.60.56/~jnz1568/getInfo.php?workbook=isotopes.xlsx&amp;sheet=Isotopes&amp;row=114&amp;col=5&amp;number=2.5e-06&amp;sourceID=21","2.5e-06")</f>
        <v>2.5e-06</v>
      </c>
      <c r="F114" s="4" t="str">
        <f>HYPERLINK("http://141.218.60.56/~jnz1568/getInfo.php?workbook=isotopes.xlsx&amp;sheet=Isotopes&amp;row=114&amp;col=6&amp;number=0.1715&amp;sourceID=21","0.1715")</f>
        <v>0.1715</v>
      </c>
      <c r="G114" s="4" t="str">
        <f>HYPERLINK("http://141.218.60.56/~jnz1568/getInfo.php?workbook=isotopes.xlsx&amp;sheet=Isotopes&amp;row=114&amp;col=7&amp;number=0.0008&amp;sourceID=21","0.0008")</f>
        <v>0.0008</v>
      </c>
    </row>
    <row r="115" spans="1:7">
      <c r="A115" s="3">
        <v>40</v>
      </c>
      <c r="B115" s="3">
        <v>94</v>
      </c>
      <c r="C115" s="3" t="s">
        <v>119</v>
      </c>
      <c r="D115" s="4" t="str">
        <f>HYPERLINK("http://141.218.60.56/~jnz1568/getInfo.php?workbook=isotopes.xlsx&amp;sheet=Isotopes&amp;row=115&amp;col=4&amp;number=93.9063152&amp;sourceID=21","93.9063152")</f>
        <v>93.9063152</v>
      </c>
      <c r="E115" s="4" t="str">
        <f>HYPERLINK("http://141.218.60.56/~jnz1568/getInfo.php?workbook=isotopes.xlsx&amp;sheet=Isotopes&amp;row=115&amp;col=5&amp;number=2.6e-06&amp;sourceID=21","2.6e-06")</f>
        <v>2.6e-06</v>
      </c>
      <c r="F115" s="4" t="str">
        <f>HYPERLINK("http://141.218.60.56/~jnz1568/getInfo.php?workbook=isotopes.xlsx&amp;sheet=Isotopes&amp;row=115&amp;col=6&amp;number=0.1738&amp;sourceID=21","0.1738")</f>
        <v>0.1738</v>
      </c>
      <c r="G115" s="4" t="str">
        <f>HYPERLINK("http://141.218.60.56/~jnz1568/getInfo.php?workbook=isotopes.xlsx&amp;sheet=Isotopes&amp;row=115&amp;col=7&amp;number=0.0028&amp;sourceID=21","0.0028")</f>
        <v>0.0028</v>
      </c>
    </row>
    <row r="116" spans="1:7">
      <c r="A116" s="3">
        <v>40</v>
      </c>
      <c r="B116" s="3">
        <v>96</v>
      </c>
      <c r="C116" s="3" t="s">
        <v>120</v>
      </c>
      <c r="D116" s="4" t="str">
        <f>HYPERLINK("http://141.218.60.56/~jnz1568/getInfo.php?workbook=isotopes.xlsx&amp;sheet=Isotopes&amp;row=116&amp;col=4&amp;number=95.9082734&amp;sourceID=21","95.9082734")</f>
        <v>95.9082734</v>
      </c>
      <c r="E116" s="4" t="str">
        <f>HYPERLINK("http://141.218.60.56/~jnz1568/getInfo.php?workbook=isotopes.xlsx&amp;sheet=Isotopes&amp;row=116&amp;col=5&amp;number=3e-06&amp;sourceID=21","3e-06")</f>
        <v>3e-06</v>
      </c>
      <c r="F116" s="4" t="str">
        <f>HYPERLINK("http://141.218.60.56/~jnz1568/getInfo.php?workbook=isotopes.xlsx&amp;sheet=Isotopes&amp;row=116&amp;col=6&amp;number=0.028&amp;sourceID=21","0.028")</f>
        <v>0.028</v>
      </c>
      <c r="G116" s="4" t="str">
        <f>HYPERLINK("http://141.218.60.56/~jnz1568/getInfo.php?workbook=isotopes.xlsx&amp;sheet=Isotopes&amp;row=116&amp;col=7&amp;number=0.0009&amp;sourceID=21","0.0009")</f>
        <v>0.0009</v>
      </c>
    </row>
    <row r="117" spans="1:7">
      <c r="A117" s="3">
        <v>41</v>
      </c>
      <c r="B117" s="3">
        <v>93</v>
      </c>
      <c r="C117" s="3" t="s">
        <v>121</v>
      </c>
      <c r="D117" s="4" t="str">
        <f>HYPERLINK("http://141.218.60.56/~jnz1568/getInfo.php?workbook=isotopes.xlsx&amp;sheet=Isotopes&amp;row=117&amp;col=4&amp;number=92.9063781&amp;sourceID=21","92.9063781")</f>
        <v>92.9063781</v>
      </c>
      <c r="E117" s="4" t="str">
        <f>HYPERLINK("http://141.218.60.56/~jnz1568/getInfo.php?workbook=isotopes.xlsx&amp;sheet=Isotopes&amp;row=117&amp;col=5&amp;number=2.6e-06&amp;sourceID=21","2.6e-06")</f>
        <v>2.6e-06</v>
      </c>
      <c r="F117" s="4" t="str">
        <f>HYPERLINK("http://141.218.60.56/~jnz1568/getInfo.php?workbook=isotopes.xlsx&amp;sheet=Isotopes&amp;row=117&amp;col=6&amp;number=1&amp;sourceID=21","1")</f>
        <v>1</v>
      </c>
      <c r="G117" s="4" t="str">
        <f>HYPERLINK("http://141.218.60.56/~jnz1568/getInfo.php?workbook=isotopes.xlsx&amp;sheet=Isotopes&amp;row=117&amp;col=7&amp;number=&amp;sourceID=21","")</f>
        <v/>
      </c>
    </row>
    <row r="118" spans="1:7">
      <c r="A118" s="3">
        <v>42</v>
      </c>
      <c r="B118" s="3">
        <v>92</v>
      </c>
      <c r="C118" s="3" t="s">
        <v>122</v>
      </c>
      <c r="D118" s="4" t="str">
        <f>HYPERLINK("http://141.218.60.56/~jnz1568/getInfo.php?workbook=isotopes.xlsx&amp;sheet=Isotopes&amp;row=118&amp;col=4&amp;number=91.906811&amp;sourceID=21","91.906811")</f>
        <v>91.906811</v>
      </c>
      <c r="E118" s="4" t="str">
        <f>HYPERLINK("http://141.218.60.56/~jnz1568/getInfo.php?workbook=isotopes.xlsx&amp;sheet=Isotopes&amp;row=118&amp;col=5&amp;number=4e-06&amp;sourceID=21","4e-06")</f>
        <v>4e-06</v>
      </c>
      <c r="F118" s="4" t="str">
        <f>HYPERLINK("http://141.218.60.56/~jnz1568/getInfo.php?workbook=isotopes.xlsx&amp;sheet=Isotopes&amp;row=118&amp;col=6&amp;number=0.1477&amp;sourceID=21","0.1477")</f>
        <v>0.1477</v>
      </c>
      <c r="G118" s="4" t="str">
        <f>HYPERLINK("http://141.218.60.56/~jnz1568/getInfo.php?workbook=isotopes.xlsx&amp;sheet=Isotopes&amp;row=118&amp;col=7&amp;number=0.0031&amp;sourceID=21","0.0031")</f>
        <v>0.0031</v>
      </c>
    </row>
    <row r="119" spans="1:7">
      <c r="A119" s="3">
        <v>42</v>
      </c>
      <c r="B119" s="3">
        <v>94</v>
      </c>
      <c r="C119" s="3" t="s">
        <v>123</v>
      </c>
      <c r="D119" s="4" t="str">
        <f>HYPERLINK("http://141.218.60.56/~jnz1568/getInfo.php?workbook=isotopes.xlsx&amp;sheet=Isotopes&amp;row=119&amp;col=4&amp;number=93.9050883&amp;sourceID=21","93.9050883")</f>
        <v>93.9050883</v>
      </c>
      <c r="E119" s="4" t="str">
        <f>HYPERLINK("http://141.218.60.56/~jnz1568/getInfo.php?workbook=isotopes.xlsx&amp;sheet=Isotopes&amp;row=119&amp;col=5&amp;number=2.1e-06&amp;sourceID=21","2.1e-06")</f>
        <v>2.1e-06</v>
      </c>
      <c r="F119" s="4" t="str">
        <f>HYPERLINK("http://141.218.60.56/~jnz1568/getInfo.php?workbook=isotopes.xlsx&amp;sheet=Isotopes&amp;row=119&amp;col=6&amp;number=0.0923&amp;sourceID=21","0.0923")</f>
        <v>0.0923</v>
      </c>
      <c r="G119" s="4" t="str">
        <f>HYPERLINK("http://141.218.60.56/~jnz1568/getInfo.php?workbook=isotopes.xlsx&amp;sheet=Isotopes&amp;row=119&amp;col=7&amp;number=0.001&amp;sourceID=21","0.001")</f>
        <v>0.001</v>
      </c>
    </row>
    <row r="120" spans="1:7">
      <c r="A120" s="3">
        <v>42</v>
      </c>
      <c r="B120" s="3">
        <v>95</v>
      </c>
      <c r="C120" s="3" t="s">
        <v>124</v>
      </c>
      <c r="D120" s="4" t="str">
        <f>HYPERLINK("http://141.218.60.56/~jnz1568/getInfo.php?workbook=isotopes.xlsx&amp;sheet=Isotopes&amp;row=120&amp;col=4&amp;number=94.9058421&amp;sourceID=21","94.9058421")</f>
        <v>94.9058421</v>
      </c>
      <c r="E120" s="4" t="str">
        <f>HYPERLINK("http://141.218.60.56/~jnz1568/getInfo.php?workbook=isotopes.xlsx&amp;sheet=Isotopes&amp;row=120&amp;col=5&amp;number=2.1e-06&amp;sourceID=21","2.1e-06")</f>
        <v>2.1e-06</v>
      </c>
      <c r="F120" s="4" t="str">
        <f>HYPERLINK("http://141.218.60.56/~jnz1568/getInfo.php?workbook=isotopes.xlsx&amp;sheet=Isotopes&amp;row=120&amp;col=6&amp;number=0.159&amp;sourceID=21","0.159")</f>
        <v>0.159</v>
      </c>
      <c r="G120" s="4" t="str">
        <f>HYPERLINK("http://141.218.60.56/~jnz1568/getInfo.php?workbook=isotopes.xlsx&amp;sheet=Isotopes&amp;row=120&amp;col=7&amp;number=0.0009&amp;sourceID=21","0.0009")</f>
        <v>0.0009</v>
      </c>
    </row>
    <row r="121" spans="1:7">
      <c r="A121" s="3">
        <v>42</v>
      </c>
      <c r="B121" s="3">
        <v>96</v>
      </c>
      <c r="C121" s="3" t="s">
        <v>125</v>
      </c>
      <c r="D121" s="4" t="str">
        <f>HYPERLINK("http://141.218.60.56/~jnz1568/getInfo.php?workbook=isotopes.xlsx&amp;sheet=Isotopes&amp;row=121&amp;col=4&amp;number=95.9046795&amp;sourceID=21","95.9046795")</f>
        <v>95.9046795</v>
      </c>
      <c r="E121" s="4" t="str">
        <f>HYPERLINK("http://141.218.60.56/~jnz1568/getInfo.php?workbook=isotopes.xlsx&amp;sheet=Isotopes&amp;row=121&amp;col=5&amp;number=2.1e-06&amp;sourceID=21","2.1e-06")</f>
        <v>2.1e-06</v>
      </c>
      <c r="F121" s="4" t="str">
        <f>HYPERLINK("http://141.218.60.56/~jnz1568/getInfo.php?workbook=isotopes.xlsx&amp;sheet=Isotopes&amp;row=121&amp;col=6&amp;number=0.1668&amp;sourceID=21","0.1668")</f>
        <v>0.1668</v>
      </c>
      <c r="G121" s="4" t="str">
        <f>HYPERLINK("http://141.218.60.56/~jnz1568/getInfo.php?workbook=isotopes.xlsx&amp;sheet=Isotopes&amp;row=121&amp;col=7&amp;number=0.0001&amp;sourceID=21","0.0001")</f>
        <v>0.0001</v>
      </c>
    </row>
    <row r="122" spans="1:7">
      <c r="A122" s="3">
        <v>42</v>
      </c>
      <c r="B122" s="3">
        <v>97</v>
      </c>
      <c r="C122" s="3" t="s">
        <v>126</v>
      </c>
      <c r="D122" s="4" t="str">
        <f>HYPERLINK("http://141.218.60.56/~jnz1568/getInfo.php?workbook=isotopes.xlsx&amp;sheet=Isotopes&amp;row=122&amp;col=4&amp;number=96.9060215&amp;sourceID=21","96.9060215")</f>
        <v>96.9060215</v>
      </c>
      <c r="E122" s="4" t="str">
        <f>HYPERLINK("http://141.218.60.56/~jnz1568/getInfo.php?workbook=isotopes.xlsx&amp;sheet=Isotopes&amp;row=122&amp;col=5&amp;number=2.1e-06&amp;sourceID=21","2.1e-06")</f>
        <v>2.1e-06</v>
      </c>
      <c r="F122" s="4" t="str">
        <f>HYPERLINK("http://141.218.60.56/~jnz1568/getInfo.php?workbook=isotopes.xlsx&amp;sheet=Isotopes&amp;row=122&amp;col=6&amp;number=0.0956&amp;sourceID=21","0.0956")</f>
        <v>0.0956</v>
      </c>
      <c r="G122" s="4" t="str">
        <f>HYPERLINK("http://141.218.60.56/~jnz1568/getInfo.php?workbook=isotopes.xlsx&amp;sheet=Isotopes&amp;row=122&amp;col=7&amp;number=0.0005&amp;sourceID=21","0.0005")</f>
        <v>0.0005</v>
      </c>
    </row>
    <row r="123" spans="1:7">
      <c r="A123" s="3">
        <v>42</v>
      </c>
      <c r="B123" s="3">
        <v>98</v>
      </c>
      <c r="C123" s="3" t="s">
        <v>127</v>
      </c>
      <c r="D123" s="4" t="str">
        <f>HYPERLINK("http://141.218.60.56/~jnz1568/getInfo.php?workbook=isotopes.xlsx&amp;sheet=Isotopes&amp;row=123&amp;col=4&amp;number=97.9054082&amp;sourceID=21","97.9054082")</f>
        <v>97.9054082</v>
      </c>
      <c r="E123" s="4" t="str">
        <f>HYPERLINK("http://141.218.60.56/~jnz1568/getInfo.php?workbook=isotopes.xlsx&amp;sheet=Isotopes&amp;row=123&amp;col=5&amp;number=2.1e-06&amp;sourceID=21","2.1e-06")</f>
        <v>2.1e-06</v>
      </c>
      <c r="F123" s="4" t="str">
        <f>HYPERLINK("http://141.218.60.56/~jnz1568/getInfo.php?workbook=isotopes.xlsx&amp;sheet=Isotopes&amp;row=123&amp;col=6&amp;number=0.2419&amp;sourceID=21","0.2419")</f>
        <v>0.2419</v>
      </c>
      <c r="G123" s="4" t="str">
        <f>HYPERLINK("http://141.218.60.56/~jnz1568/getInfo.php?workbook=isotopes.xlsx&amp;sheet=Isotopes&amp;row=123&amp;col=7&amp;number=0.0026&amp;sourceID=21","0.0026")</f>
        <v>0.0026</v>
      </c>
    </row>
    <row r="124" spans="1:7">
      <c r="A124" s="3">
        <v>42</v>
      </c>
      <c r="B124" s="3">
        <v>100</v>
      </c>
      <c r="C124" s="3" t="s">
        <v>128</v>
      </c>
      <c r="D124" s="4" t="str">
        <f>HYPERLINK("http://141.218.60.56/~jnz1568/getInfo.php?workbook=isotopes.xlsx&amp;sheet=Isotopes&amp;row=124&amp;col=4&amp;number=99.907477&amp;sourceID=21","99.907477")</f>
        <v>99.907477</v>
      </c>
      <c r="E124" s="4" t="str">
        <f>HYPERLINK("http://141.218.60.56/~jnz1568/getInfo.php?workbook=isotopes.xlsx&amp;sheet=Isotopes&amp;row=124&amp;col=5&amp;number=6e-06&amp;sourceID=21","6e-06")</f>
        <v>6e-06</v>
      </c>
      <c r="F124" s="4" t="str">
        <f>HYPERLINK("http://141.218.60.56/~jnz1568/getInfo.php?workbook=isotopes.xlsx&amp;sheet=Isotopes&amp;row=124&amp;col=6&amp;number=0.0967&amp;sourceID=21","0.0967")</f>
        <v>0.0967</v>
      </c>
      <c r="G124" s="4" t="str">
        <f>HYPERLINK("http://141.218.60.56/~jnz1568/getInfo.php?workbook=isotopes.xlsx&amp;sheet=Isotopes&amp;row=124&amp;col=7&amp;number=0.002&amp;sourceID=21","0.002")</f>
        <v>0.002</v>
      </c>
    </row>
    <row r="125" spans="1:7">
      <c r="A125" s="3">
        <v>43</v>
      </c>
      <c r="B125" s="3">
        <v>97</v>
      </c>
      <c r="C125" s="3" t="s">
        <v>129</v>
      </c>
      <c r="D125" s="4" t="str">
        <f>HYPERLINK("http://141.218.60.56/~jnz1568/getInfo.php?workbook=isotopes.xlsx&amp;sheet=Isotopes&amp;row=125&amp;col=4&amp;number=96.906365&amp;sourceID=21","96.906365")</f>
        <v>96.906365</v>
      </c>
      <c r="E125" s="4" t="str">
        <f>HYPERLINK("http://141.218.60.56/~jnz1568/getInfo.php?workbook=isotopes.xlsx&amp;sheet=Isotopes&amp;row=125&amp;col=5&amp;number=5e-06&amp;sourceID=21","5e-06")</f>
        <v>5e-06</v>
      </c>
      <c r="F125" s="4" t="str">
        <f>HYPERLINK("http://141.218.60.56/~jnz1568/getInfo.php?workbook=isotopes.xlsx&amp;sheet=Isotopes&amp;row=125&amp;col=6&amp;number=&amp;sourceID=21","")</f>
        <v/>
      </c>
      <c r="G125" s="4" t="str">
        <f>HYPERLINK("http://141.218.60.56/~jnz1568/getInfo.php?workbook=isotopes.xlsx&amp;sheet=Isotopes&amp;row=125&amp;col=7&amp;number=&amp;sourceID=21","")</f>
        <v/>
      </c>
    </row>
    <row r="126" spans="1:7">
      <c r="A126" s="3">
        <v>43</v>
      </c>
      <c r="B126" s="3">
        <v>98</v>
      </c>
      <c r="C126" s="3" t="s">
        <v>130</v>
      </c>
      <c r="D126" s="4" t="str">
        <f>HYPERLINK("http://141.218.60.56/~jnz1568/getInfo.php?workbook=isotopes.xlsx&amp;sheet=Isotopes&amp;row=126&amp;col=4&amp;number=97.907216&amp;sourceID=21","97.907216")</f>
        <v>97.907216</v>
      </c>
      <c r="E126" s="4" t="str">
        <f>HYPERLINK("http://141.218.60.56/~jnz1568/getInfo.php?workbook=isotopes.xlsx&amp;sheet=Isotopes&amp;row=126&amp;col=5&amp;number=4e-06&amp;sourceID=21","4e-06")</f>
        <v>4e-06</v>
      </c>
      <c r="F126" s="4" t="str">
        <f>HYPERLINK("http://141.218.60.56/~jnz1568/getInfo.php?workbook=isotopes.xlsx&amp;sheet=Isotopes&amp;row=126&amp;col=6&amp;number=&amp;sourceID=21","")</f>
        <v/>
      </c>
      <c r="G126" s="4" t="str">
        <f>HYPERLINK("http://141.218.60.56/~jnz1568/getInfo.php?workbook=isotopes.xlsx&amp;sheet=Isotopes&amp;row=126&amp;col=7&amp;number=&amp;sourceID=21","")</f>
        <v/>
      </c>
    </row>
    <row r="127" spans="1:7">
      <c r="A127" s="3">
        <v>43</v>
      </c>
      <c r="B127" s="3">
        <v>99</v>
      </c>
      <c r="C127" s="3" t="s">
        <v>131</v>
      </c>
      <c r="D127" s="4" t="str">
        <f>HYPERLINK("http://141.218.60.56/~jnz1568/getInfo.php?workbook=isotopes.xlsx&amp;sheet=Isotopes&amp;row=127&amp;col=4&amp;number=98.9062547&amp;sourceID=21","98.9062547")</f>
        <v>98.9062547</v>
      </c>
      <c r="E127" s="4" t="str">
        <f>HYPERLINK("http://141.218.60.56/~jnz1568/getInfo.php?workbook=isotopes.xlsx&amp;sheet=Isotopes&amp;row=127&amp;col=5&amp;number=2.1e-06&amp;sourceID=21","2.1e-06")</f>
        <v>2.1e-06</v>
      </c>
      <c r="F127" s="4" t="str">
        <f>HYPERLINK("http://141.218.60.56/~jnz1568/getInfo.php?workbook=isotopes.xlsx&amp;sheet=Isotopes&amp;row=127&amp;col=6&amp;number=&amp;sourceID=21","")</f>
        <v/>
      </c>
      <c r="G127" s="4" t="str">
        <f>HYPERLINK("http://141.218.60.56/~jnz1568/getInfo.php?workbook=isotopes.xlsx&amp;sheet=Isotopes&amp;row=127&amp;col=7&amp;number=&amp;sourceID=21","")</f>
        <v/>
      </c>
    </row>
    <row r="128" spans="1:7">
      <c r="A128" s="3">
        <v>44</v>
      </c>
      <c r="B128" s="3">
        <v>96</v>
      </c>
      <c r="C128" s="3" t="s">
        <v>132</v>
      </c>
      <c r="D128" s="4" t="str">
        <f>HYPERLINK("http://141.218.60.56/~jnz1568/getInfo.php?workbook=isotopes.xlsx&amp;sheet=Isotopes&amp;row=128&amp;col=4&amp;number=95.907598&amp;sourceID=21","95.907598")</f>
        <v>95.907598</v>
      </c>
      <c r="E128" s="4" t="str">
        <f>HYPERLINK("http://141.218.60.56/~jnz1568/getInfo.php?workbook=isotopes.xlsx&amp;sheet=Isotopes&amp;row=128&amp;col=5&amp;number=8e-06&amp;sourceID=21","8e-06")</f>
        <v>8e-06</v>
      </c>
      <c r="F128" s="4" t="str">
        <f>HYPERLINK("http://141.218.60.56/~jnz1568/getInfo.php?workbook=isotopes.xlsx&amp;sheet=Isotopes&amp;row=128&amp;col=6&amp;number=0.0554&amp;sourceID=21","0.0554")</f>
        <v>0.0554</v>
      </c>
      <c r="G128" s="4" t="str">
        <f>HYPERLINK("http://141.218.60.56/~jnz1568/getInfo.php?workbook=isotopes.xlsx&amp;sheet=Isotopes&amp;row=128&amp;col=7&amp;number=0.0014&amp;sourceID=21","0.0014")</f>
        <v>0.0014</v>
      </c>
    </row>
    <row r="129" spans="1:7">
      <c r="A129" s="3">
        <v>44</v>
      </c>
      <c r="B129" s="3">
        <v>98</v>
      </c>
      <c r="C129" s="3" t="s">
        <v>133</v>
      </c>
      <c r="D129" s="4" t="str">
        <f>HYPERLINK("http://141.218.60.56/~jnz1568/getInfo.php?workbook=isotopes.xlsx&amp;sheet=Isotopes&amp;row=129&amp;col=4&amp;number=97.905287&amp;sourceID=21","97.905287")</f>
        <v>97.905287</v>
      </c>
      <c r="E129" s="4" t="str">
        <f>HYPERLINK("http://141.218.60.56/~jnz1568/getInfo.php?workbook=isotopes.xlsx&amp;sheet=Isotopes&amp;row=129&amp;col=5&amp;number=7e-06&amp;sourceID=21","7e-06")</f>
        <v>7e-06</v>
      </c>
      <c r="F129" s="4" t="str">
        <f>HYPERLINK("http://141.218.60.56/~jnz1568/getInfo.php?workbook=isotopes.xlsx&amp;sheet=Isotopes&amp;row=129&amp;col=6&amp;number=0.0187&amp;sourceID=21","0.0187")</f>
        <v>0.0187</v>
      </c>
      <c r="G129" s="4" t="str">
        <f>HYPERLINK("http://141.218.60.56/~jnz1568/getInfo.php?workbook=isotopes.xlsx&amp;sheet=Isotopes&amp;row=129&amp;col=7&amp;number=0.0003&amp;sourceID=21","0.0003")</f>
        <v>0.0003</v>
      </c>
    </row>
    <row r="130" spans="1:7">
      <c r="A130" s="3">
        <v>44</v>
      </c>
      <c r="B130" s="3">
        <v>99</v>
      </c>
      <c r="C130" s="3" t="s">
        <v>134</v>
      </c>
      <c r="D130" s="4" t="str">
        <f>HYPERLINK("http://141.218.60.56/~jnz1568/getInfo.php?workbook=isotopes.xlsx&amp;sheet=Isotopes&amp;row=130&amp;col=4&amp;number=98.9059393&amp;sourceID=21","98.9059393")</f>
        <v>98.9059393</v>
      </c>
      <c r="E130" s="4" t="str">
        <f>HYPERLINK("http://141.218.60.56/~jnz1568/getInfo.php?workbook=isotopes.xlsx&amp;sheet=Isotopes&amp;row=130&amp;col=5&amp;number=2.2e-06&amp;sourceID=21","2.2e-06")</f>
        <v>2.2e-06</v>
      </c>
      <c r="F130" s="4" t="str">
        <f>HYPERLINK("http://141.218.60.56/~jnz1568/getInfo.php?workbook=isotopes.xlsx&amp;sheet=Isotopes&amp;row=130&amp;col=6&amp;number=0.1276&amp;sourceID=21","0.1276")</f>
        <v>0.1276</v>
      </c>
      <c r="G130" s="4" t="str">
        <f>HYPERLINK("http://141.218.60.56/~jnz1568/getInfo.php?workbook=isotopes.xlsx&amp;sheet=Isotopes&amp;row=130&amp;col=7&amp;number=0.0014&amp;sourceID=21","0.0014")</f>
        <v>0.0014</v>
      </c>
    </row>
    <row r="131" spans="1:7">
      <c r="A131" s="3">
        <v>44</v>
      </c>
      <c r="B131" s="3">
        <v>100</v>
      </c>
      <c r="C131" s="3" t="s">
        <v>135</v>
      </c>
      <c r="D131" s="4" t="str">
        <f>HYPERLINK("http://141.218.60.56/~jnz1568/getInfo.php?workbook=isotopes.xlsx&amp;sheet=Isotopes&amp;row=131&amp;col=4&amp;number=99.9042195&amp;sourceID=21","99.9042195")</f>
        <v>99.9042195</v>
      </c>
      <c r="E131" s="4" t="str">
        <f>HYPERLINK("http://141.218.60.56/~jnz1568/getInfo.php?workbook=isotopes.xlsx&amp;sheet=Isotopes&amp;row=131&amp;col=5&amp;number=2.2e-06&amp;sourceID=21","2.2e-06")</f>
        <v>2.2e-06</v>
      </c>
      <c r="F131" s="4" t="str">
        <f>HYPERLINK("http://141.218.60.56/~jnz1568/getInfo.php?workbook=isotopes.xlsx&amp;sheet=Isotopes&amp;row=131&amp;col=6&amp;number=0.126&amp;sourceID=21","0.126")</f>
        <v>0.126</v>
      </c>
      <c r="G131" s="4" t="str">
        <f>HYPERLINK("http://141.218.60.56/~jnz1568/getInfo.php?workbook=isotopes.xlsx&amp;sheet=Isotopes&amp;row=131&amp;col=7&amp;number=0.0007&amp;sourceID=21","0.0007")</f>
        <v>0.0007</v>
      </c>
    </row>
    <row r="132" spans="1:7">
      <c r="A132" s="3">
        <v>44</v>
      </c>
      <c r="B132" s="3">
        <v>101</v>
      </c>
      <c r="C132" s="3" t="s">
        <v>136</v>
      </c>
      <c r="D132" s="4" t="str">
        <f>HYPERLINK("http://141.218.60.56/~jnz1568/getInfo.php?workbook=isotopes.xlsx&amp;sheet=Isotopes&amp;row=132&amp;col=4&amp;number=100.9055821&amp;sourceID=21","100.9055821")</f>
        <v>100.9055821</v>
      </c>
      <c r="E132" s="4" t="str">
        <f>HYPERLINK("http://141.218.60.56/~jnz1568/getInfo.php?workbook=isotopes.xlsx&amp;sheet=Isotopes&amp;row=132&amp;col=5&amp;number=2.2e-06&amp;sourceID=21","2.2e-06")</f>
        <v>2.2e-06</v>
      </c>
      <c r="F132" s="4" t="str">
        <f>HYPERLINK("http://141.218.60.56/~jnz1568/getInfo.php?workbook=isotopes.xlsx&amp;sheet=Isotopes&amp;row=132&amp;col=6&amp;number=0.1706&amp;sourceID=21","0.1706")</f>
        <v>0.1706</v>
      </c>
      <c r="G132" s="4" t="str">
        <f>HYPERLINK("http://141.218.60.56/~jnz1568/getInfo.php?workbook=isotopes.xlsx&amp;sheet=Isotopes&amp;row=132&amp;col=7&amp;number=0.0002&amp;sourceID=21","0.0002")</f>
        <v>0.0002</v>
      </c>
    </row>
    <row r="133" spans="1:7">
      <c r="A133" s="3">
        <v>44</v>
      </c>
      <c r="B133" s="3">
        <v>102</v>
      </c>
      <c r="C133" s="3" t="s">
        <v>137</v>
      </c>
      <c r="D133" s="4" t="str">
        <f>HYPERLINK("http://141.218.60.56/~jnz1568/getInfo.php?workbook=isotopes.xlsx&amp;sheet=Isotopes&amp;row=133&amp;col=4&amp;number=101.9043493&amp;sourceID=21","101.9043493")</f>
        <v>101.9043493</v>
      </c>
      <c r="E133" s="4" t="str">
        <f>HYPERLINK("http://141.218.60.56/~jnz1568/getInfo.php?workbook=isotopes.xlsx&amp;sheet=Isotopes&amp;row=133&amp;col=5&amp;number=2.2e-06&amp;sourceID=21","2.2e-06")</f>
        <v>2.2e-06</v>
      </c>
      <c r="F133" s="4" t="str">
        <f>HYPERLINK("http://141.218.60.56/~jnz1568/getInfo.php?workbook=isotopes.xlsx&amp;sheet=Isotopes&amp;row=133&amp;col=6&amp;number=0.3155&amp;sourceID=21","0.3155")</f>
        <v>0.3155</v>
      </c>
      <c r="G133" s="4" t="str">
        <f>HYPERLINK("http://141.218.60.56/~jnz1568/getInfo.php?workbook=isotopes.xlsx&amp;sheet=Isotopes&amp;row=133&amp;col=7&amp;number=0.0014&amp;sourceID=21","0.0014")</f>
        <v>0.0014</v>
      </c>
    </row>
    <row r="134" spans="1:7">
      <c r="A134" s="3">
        <v>44</v>
      </c>
      <c r="B134" s="3">
        <v>104</v>
      </c>
      <c r="C134" s="3" t="s">
        <v>138</v>
      </c>
      <c r="D134" s="4" t="str">
        <f>HYPERLINK("http://141.218.60.56/~jnz1568/getInfo.php?workbook=isotopes.xlsx&amp;sheet=Isotopes&amp;row=134&amp;col=4&amp;number=103.905433&amp;sourceID=21","103.905433")</f>
        <v>103.905433</v>
      </c>
      <c r="E134" s="4" t="str">
        <f>HYPERLINK("http://141.218.60.56/~jnz1568/getInfo.php?workbook=isotopes.xlsx&amp;sheet=Isotopes&amp;row=134&amp;col=5&amp;number=3e-06&amp;sourceID=21","3e-06")</f>
        <v>3e-06</v>
      </c>
      <c r="F134" s="4" t="str">
        <f>HYPERLINK("http://141.218.60.56/~jnz1568/getInfo.php?workbook=isotopes.xlsx&amp;sheet=Isotopes&amp;row=134&amp;col=6&amp;number=0.1862&amp;sourceID=21","0.1862")</f>
        <v>0.1862</v>
      </c>
      <c r="G134" s="4" t="str">
        <f>HYPERLINK("http://141.218.60.56/~jnz1568/getInfo.php?workbook=isotopes.xlsx&amp;sheet=Isotopes&amp;row=134&amp;col=7&amp;number=0.0027&amp;sourceID=21","0.0027")</f>
        <v>0.0027</v>
      </c>
    </row>
    <row r="135" spans="1:7">
      <c r="A135" s="3">
        <v>45</v>
      </c>
      <c r="B135" s="3">
        <v>103</v>
      </c>
      <c r="C135" s="3" t="s">
        <v>139</v>
      </c>
      <c r="D135" s="4" t="str">
        <f>HYPERLINK("http://141.218.60.56/~jnz1568/getInfo.php?workbook=isotopes.xlsx&amp;sheet=Isotopes&amp;row=135&amp;col=4&amp;number=102.905504&amp;sourceID=21","102.905504")</f>
        <v>102.905504</v>
      </c>
      <c r="E135" s="4" t="str">
        <f>HYPERLINK("http://141.218.60.56/~jnz1568/getInfo.php?workbook=isotopes.xlsx&amp;sheet=Isotopes&amp;row=135&amp;col=5&amp;number=3e-06&amp;sourceID=21","3e-06")</f>
        <v>3e-06</v>
      </c>
      <c r="F135" s="4" t="str">
        <f>HYPERLINK("http://141.218.60.56/~jnz1568/getInfo.php?workbook=isotopes.xlsx&amp;sheet=Isotopes&amp;row=135&amp;col=6&amp;number=1&amp;sourceID=21","1")</f>
        <v>1</v>
      </c>
      <c r="G135" s="4" t="str">
        <f>HYPERLINK("http://141.218.60.56/~jnz1568/getInfo.php?workbook=isotopes.xlsx&amp;sheet=Isotopes&amp;row=135&amp;col=7&amp;number=&amp;sourceID=21","")</f>
        <v/>
      </c>
    </row>
    <row r="136" spans="1:7">
      <c r="A136" s="3">
        <v>46</v>
      </c>
      <c r="B136" s="3">
        <v>102</v>
      </c>
      <c r="C136" s="3" t="s">
        <v>140</v>
      </c>
      <c r="D136" s="4" t="str">
        <f>HYPERLINK("http://141.218.60.56/~jnz1568/getInfo.php?workbook=isotopes.xlsx&amp;sheet=Isotopes&amp;row=136&amp;col=4&amp;number=101.905609&amp;sourceID=21","101.905609")</f>
        <v>101.905609</v>
      </c>
      <c r="E136" s="4" t="str">
        <f>HYPERLINK("http://141.218.60.56/~jnz1568/getInfo.php?workbook=isotopes.xlsx&amp;sheet=Isotopes&amp;row=136&amp;col=5&amp;number=3e-06&amp;sourceID=21","3e-06")</f>
        <v>3e-06</v>
      </c>
      <c r="F136" s="4" t="str">
        <f>HYPERLINK("http://141.218.60.56/~jnz1568/getInfo.php?workbook=isotopes.xlsx&amp;sheet=Isotopes&amp;row=136&amp;col=6&amp;number=0.0102&amp;sourceID=21","0.0102")</f>
        <v>0.0102</v>
      </c>
      <c r="G136" s="4" t="str">
        <f>HYPERLINK("http://141.218.60.56/~jnz1568/getInfo.php?workbook=isotopes.xlsx&amp;sheet=Isotopes&amp;row=136&amp;col=7&amp;number=0.0001&amp;sourceID=21","0.0001")</f>
        <v>0.0001</v>
      </c>
    </row>
    <row r="137" spans="1:7">
      <c r="A137" s="3">
        <v>46</v>
      </c>
      <c r="B137" s="3">
        <v>104</v>
      </c>
      <c r="C137" s="3" t="s">
        <v>141</v>
      </c>
      <c r="D137" s="4" t="str">
        <f>HYPERLINK("http://141.218.60.56/~jnz1568/getInfo.php?workbook=isotopes.xlsx&amp;sheet=Isotopes&amp;row=137&amp;col=4&amp;number=103.904036&amp;sourceID=21","103.904036")</f>
        <v>103.904036</v>
      </c>
      <c r="E137" s="4" t="str">
        <f>HYPERLINK("http://141.218.60.56/~jnz1568/getInfo.php?workbook=isotopes.xlsx&amp;sheet=Isotopes&amp;row=137&amp;col=5&amp;number=4e-06&amp;sourceID=21","4e-06")</f>
        <v>4e-06</v>
      </c>
      <c r="F137" s="4" t="str">
        <f>HYPERLINK("http://141.218.60.56/~jnz1568/getInfo.php?workbook=isotopes.xlsx&amp;sheet=Isotopes&amp;row=137&amp;col=6&amp;number=0.1114&amp;sourceID=21","0.1114")</f>
        <v>0.1114</v>
      </c>
      <c r="G137" s="4" t="str">
        <f>HYPERLINK("http://141.218.60.56/~jnz1568/getInfo.php?workbook=isotopes.xlsx&amp;sheet=Isotopes&amp;row=137&amp;col=7&amp;number=0.0008&amp;sourceID=21","0.0008")</f>
        <v>0.0008</v>
      </c>
    </row>
    <row r="138" spans="1:7">
      <c r="A138" s="3">
        <v>46</v>
      </c>
      <c r="B138" s="3">
        <v>105</v>
      </c>
      <c r="C138" s="3" t="s">
        <v>142</v>
      </c>
      <c r="D138" s="4" t="str">
        <f>HYPERLINK("http://141.218.60.56/~jnz1568/getInfo.php?workbook=isotopes.xlsx&amp;sheet=Isotopes&amp;row=138&amp;col=4&amp;number=104.905085&amp;sourceID=21","104.905085")</f>
        <v>104.905085</v>
      </c>
      <c r="E138" s="4" t="str">
        <f>HYPERLINK("http://141.218.60.56/~jnz1568/getInfo.php?workbook=isotopes.xlsx&amp;sheet=Isotopes&amp;row=138&amp;col=5&amp;number=4e-06&amp;sourceID=21","4e-06")</f>
        <v>4e-06</v>
      </c>
      <c r="F138" s="4" t="str">
        <f>HYPERLINK("http://141.218.60.56/~jnz1568/getInfo.php?workbook=isotopes.xlsx&amp;sheet=Isotopes&amp;row=138&amp;col=6&amp;number=0.2233&amp;sourceID=21","0.2233")</f>
        <v>0.2233</v>
      </c>
      <c r="G138" s="4" t="str">
        <f>HYPERLINK("http://141.218.60.56/~jnz1568/getInfo.php?workbook=isotopes.xlsx&amp;sheet=Isotopes&amp;row=138&amp;col=7&amp;number=0.0008&amp;sourceID=21","0.0008")</f>
        <v>0.0008</v>
      </c>
    </row>
    <row r="139" spans="1:7">
      <c r="A139" s="3">
        <v>46</v>
      </c>
      <c r="B139" s="3">
        <v>106</v>
      </c>
      <c r="C139" s="3" t="s">
        <v>143</v>
      </c>
      <c r="D139" s="4" t="str">
        <f>HYPERLINK("http://141.218.60.56/~jnz1568/getInfo.php?workbook=isotopes.xlsx&amp;sheet=Isotopes&amp;row=139&amp;col=4&amp;number=105.903486&amp;sourceID=21","105.903486")</f>
        <v>105.903486</v>
      </c>
      <c r="E139" s="4" t="str">
        <f>HYPERLINK("http://141.218.60.56/~jnz1568/getInfo.php?workbook=isotopes.xlsx&amp;sheet=Isotopes&amp;row=139&amp;col=5&amp;number=4e-06&amp;sourceID=21","4e-06")</f>
        <v>4e-06</v>
      </c>
      <c r="F139" s="4" t="str">
        <f>HYPERLINK("http://141.218.60.56/~jnz1568/getInfo.php?workbook=isotopes.xlsx&amp;sheet=Isotopes&amp;row=139&amp;col=6&amp;number=0.2733&amp;sourceID=21","0.2733")</f>
        <v>0.2733</v>
      </c>
      <c r="G139" s="4" t="str">
        <f>HYPERLINK("http://141.218.60.56/~jnz1568/getInfo.php?workbook=isotopes.xlsx&amp;sheet=Isotopes&amp;row=139&amp;col=7&amp;number=0.0003&amp;sourceID=21","0.0003")</f>
        <v>0.0003</v>
      </c>
    </row>
    <row r="140" spans="1:7">
      <c r="A140" s="3">
        <v>46</v>
      </c>
      <c r="B140" s="3">
        <v>108</v>
      </c>
      <c r="C140" s="3" t="s">
        <v>144</v>
      </c>
      <c r="D140" s="4" t="str">
        <f>HYPERLINK("http://141.218.60.56/~jnz1568/getInfo.php?workbook=isotopes.xlsx&amp;sheet=Isotopes&amp;row=140&amp;col=4&amp;number=107.903892&amp;sourceID=21","107.903892")</f>
        <v>107.903892</v>
      </c>
      <c r="E140" s="4" t="str">
        <f>HYPERLINK("http://141.218.60.56/~jnz1568/getInfo.php?workbook=isotopes.xlsx&amp;sheet=Isotopes&amp;row=140&amp;col=5&amp;number=4e-06&amp;sourceID=21","4e-06")</f>
        <v>4e-06</v>
      </c>
      <c r="F140" s="4" t="str">
        <f>HYPERLINK("http://141.218.60.56/~jnz1568/getInfo.php?workbook=isotopes.xlsx&amp;sheet=Isotopes&amp;row=140&amp;col=6&amp;number=0.2646&amp;sourceID=21","0.2646")</f>
        <v>0.2646</v>
      </c>
      <c r="G140" s="4" t="str">
        <f>HYPERLINK("http://141.218.60.56/~jnz1568/getInfo.php?workbook=isotopes.xlsx&amp;sheet=Isotopes&amp;row=140&amp;col=7&amp;number=0.0009&amp;sourceID=21","0.0009")</f>
        <v>0.0009</v>
      </c>
    </row>
    <row r="141" spans="1:7">
      <c r="A141" s="3">
        <v>46</v>
      </c>
      <c r="B141" s="3">
        <v>110</v>
      </c>
      <c r="C141" s="3" t="s">
        <v>145</v>
      </c>
      <c r="D141" s="4" t="str">
        <f>HYPERLINK("http://141.218.60.56/~jnz1568/getInfo.php?workbook=isotopes.xlsx&amp;sheet=Isotopes&amp;row=141&amp;col=4&amp;number=109.905153&amp;sourceID=21","109.905153")</f>
        <v>109.905153</v>
      </c>
      <c r="E141" s="4" t="str">
        <f>HYPERLINK("http://141.218.60.56/~jnz1568/getInfo.php?workbook=isotopes.xlsx&amp;sheet=Isotopes&amp;row=141&amp;col=5&amp;number=1.2e-05&amp;sourceID=21","1.2e-05")</f>
        <v>1.2e-05</v>
      </c>
      <c r="F141" s="4" t="str">
        <f>HYPERLINK("http://141.218.60.56/~jnz1568/getInfo.php?workbook=isotopes.xlsx&amp;sheet=Isotopes&amp;row=141&amp;col=6&amp;number=0.1172&amp;sourceID=21","0.1172")</f>
        <v>0.1172</v>
      </c>
      <c r="G141" s="4" t="str">
        <f>HYPERLINK("http://141.218.60.56/~jnz1568/getInfo.php?workbook=isotopes.xlsx&amp;sheet=Isotopes&amp;row=141&amp;col=7&amp;number=0.0009&amp;sourceID=21","0.0009")</f>
        <v>0.0009</v>
      </c>
    </row>
    <row r="142" spans="1:7">
      <c r="A142" s="3">
        <v>47</v>
      </c>
      <c r="B142" s="3">
        <v>107</v>
      </c>
      <c r="C142" s="3" t="s">
        <v>146</v>
      </c>
      <c r="D142" s="4" t="str">
        <f>HYPERLINK("http://141.218.60.56/~jnz1568/getInfo.php?workbook=isotopes.xlsx&amp;sheet=Isotopes&amp;row=142&amp;col=4&amp;number=106.905097&amp;sourceID=21","106.905097")</f>
        <v>106.905097</v>
      </c>
      <c r="E142" s="4" t="str">
        <f>HYPERLINK("http://141.218.60.56/~jnz1568/getInfo.php?workbook=isotopes.xlsx&amp;sheet=Isotopes&amp;row=142&amp;col=5&amp;number=5e-06&amp;sourceID=21","5e-06")</f>
        <v>5e-06</v>
      </c>
      <c r="F142" s="4" t="str">
        <f>HYPERLINK("http://141.218.60.56/~jnz1568/getInfo.php?workbook=isotopes.xlsx&amp;sheet=Isotopes&amp;row=142&amp;col=6&amp;number=0.51839&amp;sourceID=21","0.51839")</f>
        <v>0.51839</v>
      </c>
      <c r="G142" s="4" t="str">
        <f>HYPERLINK("http://141.218.60.56/~jnz1568/getInfo.php?workbook=isotopes.xlsx&amp;sheet=Isotopes&amp;row=142&amp;col=7&amp;number=8e-05&amp;sourceID=21","8e-05")</f>
        <v>8e-05</v>
      </c>
    </row>
    <row r="143" spans="1:7">
      <c r="A143" s="3">
        <v>47</v>
      </c>
      <c r="B143" s="3">
        <v>109</v>
      </c>
      <c r="C143" s="3" t="s">
        <v>147</v>
      </c>
      <c r="D143" s="4" t="str">
        <f>HYPERLINK("http://141.218.60.56/~jnz1568/getInfo.php?workbook=isotopes.xlsx&amp;sheet=Isotopes&amp;row=143&amp;col=4&amp;number=108.904752&amp;sourceID=21","108.904752")</f>
        <v>108.904752</v>
      </c>
      <c r="E143" s="4" t="str">
        <f>HYPERLINK("http://141.218.60.56/~jnz1568/getInfo.php?workbook=isotopes.xlsx&amp;sheet=Isotopes&amp;row=143&amp;col=5&amp;number=3e-06&amp;sourceID=21","3e-06")</f>
        <v>3e-06</v>
      </c>
      <c r="F143" s="4" t="str">
        <f>HYPERLINK("http://141.218.60.56/~jnz1568/getInfo.php?workbook=isotopes.xlsx&amp;sheet=Isotopes&amp;row=143&amp;col=6&amp;number=0.48161&amp;sourceID=21","0.48161")</f>
        <v>0.48161</v>
      </c>
      <c r="G143" s="4" t="str">
        <f>HYPERLINK("http://141.218.60.56/~jnz1568/getInfo.php?workbook=isotopes.xlsx&amp;sheet=Isotopes&amp;row=143&amp;col=7&amp;number=8e-05&amp;sourceID=21","8e-05")</f>
        <v>8e-05</v>
      </c>
    </row>
    <row r="144" spans="1:7">
      <c r="A144" s="3">
        <v>48</v>
      </c>
      <c r="B144" s="3">
        <v>106</v>
      </c>
      <c r="C144" s="3" t="s">
        <v>148</v>
      </c>
      <c r="D144" s="4" t="str">
        <f>HYPERLINK("http://141.218.60.56/~jnz1568/getInfo.php?workbook=isotopes.xlsx&amp;sheet=Isotopes&amp;row=144&amp;col=4&amp;number=105.906459&amp;sourceID=21","105.906459")</f>
        <v>105.906459</v>
      </c>
      <c r="E144" s="4" t="str">
        <f>HYPERLINK("http://141.218.60.56/~jnz1568/getInfo.php?workbook=isotopes.xlsx&amp;sheet=Isotopes&amp;row=144&amp;col=5&amp;number=6e-06&amp;sourceID=21","6e-06")</f>
        <v>6e-06</v>
      </c>
      <c r="F144" s="4" t="str">
        <f>HYPERLINK("http://141.218.60.56/~jnz1568/getInfo.php?workbook=isotopes.xlsx&amp;sheet=Isotopes&amp;row=144&amp;col=6&amp;number=0.0125&amp;sourceID=21","0.0125")</f>
        <v>0.0125</v>
      </c>
      <c r="G144" s="4" t="str">
        <f>HYPERLINK("http://141.218.60.56/~jnz1568/getInfo.php?workbook=isotopes.xlsx&amp;sheet=Isotopes&amp;row=144&amp;col=7&amp;number=0.0006&amp;sourceID=21","0.0006")</f>
        <v>0.0006</v>
      </c>
    </row>
    <row r="145" spans="1:7">
      <c r="A145" s="3">
        <v>48</v>
      </c>
      <c r="B145" s="3">
        <v>108</v>
      </c>
      <c r="C145" s="3" t="s">
        <v>149</v>
      </c>
      <c r="D145" s="4" t="str">
        <f>HYPERLINK("http://141.218.60.56/~jnz1568/getInfo.php?workbook=isotopes.xlsx&amp;sheet=Isotopes&amp;row=145&amp;col=4&amp;number=107.904184&amp;sourceID=21","107.904184")</f>
        <v>107.904184</v>
      </c>
      <c r="E145" s="4" t="str">
        <f>HYPERLINK("http://141.218.60.56/~jnz1568/getInfo.php?workbook=isotopes.xlsx&amp;sheet=Isotopes&amp;row=145&amp;col=5&amp;number=6e-06&amp;sourceID=21","6e-06")</f>
        <v>6e-06</v>
      </c>
      <c r="F145" s="4" t="str">
        <f>HYPERLINK("http://141.218.60.56/~jnz1568/getInfo.php?workbook=isotopes.xlsx&amp;sheet=Isotopes&amp;row=145&amp;col=6&amp;number=0.0089&amp;sourceID=21","0.0089")</f>
        <v>0.0089</v>
      </c>
      <c r="G145" s="4" t="str">
        <f>HYPERLINK("http://141.218.60.56/~jnz1568/getInfo.php?workbook=isotopes.xlsx&amp;sheet=Isotopes&amp;row=145&amp;col=7&amp;number=0.0003&amp;sourceID=21","0.0003")</f>
        <v>0.0003</v>
      </c>
    </row>
    <row r="146" spans="1:7">
      <c r="A146" s="3">
        <v>48</v>
      </c>
      <c r="B146" s="3">
        <v>110</v>
      </c>
      <c r="C146" s="3" t="s">
        <v>150</v>
      </c>
      <c r="D146" s="4" t="str">
        <f>HYPERLINK("http://141.218.60.56/~jnz1568/getInfo.php?workbook=isotopes.xlsx&amp;sheet=Isotopes&amp;row=146&amp;col=4&amp;number=109.9030021&amp;sourceID=21","109.9030021")</f>
        <v>109.9030021</v>
      </c>
      <c r="E146" s="4" t="str">
        <f>HYPERLINK("http://141.218.60.56/~jnz1568/getInfo.php?workbook=isotopes.xlsx&amp;sheet=Isotopes&amp;row=146&amp;col=5&amp;number=2.9e-06&amp;sourceID=21","2.9e-06")</f>
        <v>2.9e-06</v>
      </c>
      <c r="F146" s="4" t="str">
        <f>HYPERLINK("http://141.218.60.56/~jnz1568/getInfo.php?workbook=isotopes.xlsx&amp;sheet=Isotopes&amp;row=146&amp;col=6&amp;number=0.1249&amp;sourceID=21","0.1249")</f>
        <v>0.1249</v>
      </c>
      <c r="G146" s="4" t="str">
        <f>HYPERLINK("http://141.218.60.56/~jnz1568/getInfo.php?workbook=isotopes.xlsx&amp;sheet=Isotopes&amp;row=146&amp;col=7&amp;number=0.0018&amp;sourceID=21","0.0018")</f>
        <v>0.0018</v>
      </c>
    </row>
    <row r="147" spans="1:7">
      <c r="A147" s="3">
        <v>48</v>
      </c>
      <c r="B147" s="3">
        <v>111</v>
      </c>
      <c r="C147" s="3" t="s">
        <v>151</v>
      </c>
      <c r="D147" s="4" t="str">
        <f>HYPERLINK("http://141.218.60.56/~jnz1568/getInfo.php?workbook=isotopes.xlsx&amp;sheet=Isotopes&amp;row=147&amp;col=4&amp;number=110.9041781&amp;sourceID=21","110.9041781")</f>
        <v>110.9041781</v>
      </c>
      <c r="E147" s="4" t="str">
        <f>HYPERLINK("http://141.218.60.56/~jnz1568/getInfo.php?workbook=isotopes.xlsx&amp;sheet=Isotopes&amp;row=147&amp;col=5&amp;number=2.9e-06&amp;sourceID=21","2.9e-06")</f>
        <v>2.9e-06</v>
      </c>
      <c r="F147" s="4" t="str">
        <f>HYPERLINK("http://141.218.60.56/~jnz1568/getInfo.php?workbook=isotopes.xlsx&amp;sheet=Isotopes&amp;row=147&amp;col=6&amp;number=0.128&amp;sourceID=21","0.128")</f>
        <v>0.128</v>
      </c>
      <c r="G147" s="4" t="str">
        <f>HYPERLINK("http://141.218.60.56/~jnz1568/getInfo.php?workbook=isotopes.xlsx&amp;sheet=Isotopes&amp;row=147&amp;col=7&amp;number=0.0012&amp;sourceID=21","0.0012")</f>
        <v>0.0012</v>
      </c>
    </row>
    <row r="148" spans="1:7">
      <c r="A148" s="3">
        <v>48</v>
      </c>
      <c r="B148" s="3">
        <v>112</v>
      </c>
      <c r="C148" s="3" t="s">
        <v>152</v>
      </c>
      <c r="D148" s="4" t="str">
        <f>HYPERLINK("http://141.218.60.56/~jnz1568/getInfo.php?workbook=isotopes.xlsx&amp;sheet=Isotopes&amp;row=148&amp;col=4&amp;number=111.9027578&amp;sourceID=21","111.9027578")</f>
        <v>111.9027578</v>
      </c>
      <c r="E148" s="4" t="str">
        <f>HYPERLINK("http://141.218.60.56/~jnz1568/getInfo.php?workbook=isotopes.xlsx&amp;sheet=Isotopes&amp;row=148&amp;col=5&amp;number=2.9e-06&amp;sourceID=21","2.9e-06")</f>
        <v>2.9e-06</v>
      </c>
      <c r="F148" s="4" t="str">
        <f>HYPERLINK("http://141.218.60.56/~jnz1568/getInfo.php?workbook=isotopes.xlsx&amp;sheet=Isotopes&amp;row=148&amp;col=6&amp;number=0.2413&amp;sourceID=21","0.2413")</f>
        <v>0.2413</v>
      </c>
      <c r="G148" s="4" t="str">
        <f>HYPERLINK("http://141.218.60.56/~jnz1568/getInfo.php?workbook=isotopes.xlsx&amp;sheet=Isotopes&amp;row=148&amp;col=7&amp;number=0.0021&amp;sourceID=21","0.0021")</f>
        <v>0.0021</v>
      </c>
    </row>
    <row r="149" spans="1:7">
      <c r="A149" s="3">
        <v>48</v>
      </c>
      <c r="B149" s="3">
        <v>113</v>
      </c>
      <c r="C149" s="3" t="s">
        <v>153</v>
      </c>
      <c r="D149" s="4" t="str">
        <f>HYPERLINK("http://141.218.60.56/~jnz1568/getInfo.php?workbook=isotopes.xlsx&amp;sheet=Isotopes&amp;row=149&amp;col=4&amp;number=112.9044017&amp;sourceID=21","112.9044017")</f>
        <v>112.9044017</v>
      </c>
      <c r="E149" s="4" t="str">
        <f>HYPERLINK("http://141.218.60.56/~jnz1568/getInfo.php?workbook=isotopes.xlsx&amp;sheet=Isotopes&amp;row=149&amp;col=5&amp;number=2.9e-06&amp;sourceID=21","2.9e-06")</f>
        <v>2.9e-06</v>
      </c>
      <c r="F149" s="4" t="str">
        <f>HYPERLINK("http://141.218.60.56/~jnz1568/getInfo.php?workbook=isotopes.xlsx&amp;sheet=Isotopes&amp;row=149&amp;col=6&amp;number=0.1222&amp;sourceID=21","0.1222")</f>
        <v>0.1222</v>
      </c>
      <c r="G149" s="4" t="str">
        <f>HYPERLINK("http://141.218.60.56/~jnz1568/getInfo.php?workbook=isotopes.xlsx&amp;sheet=Isotopes&amp;row=149&amp;col=7&amp;number=0.0012&amp;sourceID=21","0.0012")</f>
        <v>0.0012</v>
      </c>
    </row>
    <row r="150" spans="1:7">
      <c r="A150" s="3">
        <v>48</v>
      </c>
      <c r="B150" s="3">
        <v>114</v>
      </c>
      <c r="C150" s="3" t="s">
        <v>154</v>
      </c>
      <c r="D150" s="4" t="str">
        <f>HYPERLINK("http://141.218.60.56/~jnz1568/getInfo.php?workbook=isotopes.xlsx&amp;sheet=Isotopes&amp;row=150&amp;col=4&amp;number=113.9033585&amp;sourceID=21","113.9033585")</f>
        <v>113.9033585</v>
      </c>
      <c r="E150" s="4" t="str">
        <f>HYPERLINK("http://141.218.60.56/~jnz1568/getInfo.php?workbook=isotopes.xlsx&amp;sheet=Isotopes&amp;row=150&amp;col=5&amp;number=2.9e-06&amp;sourceID=21","2.9e-06")</f>
        <v>2.9e-06</v>
      </c>
      <c r="F150" s="4" t="str">
        <f>HYPERLINK("http://141.218.60.56/~jnz1568/getInfo.php?workbook=isotopes.xlsx&amp;sheet=Isotopes&amp;row=150&amp;col=6&amp;number=0.2873&amp;sourceID=21","0.2873")</f>
        <v>0.2873</v>
      </c>
      <c r="G150" s="4" t="str">
        <f>HYPERLINK("http://141.218.60.56/~jnz1568/getInfo.php?workbook=isotopes.xlsx&amp;sheet=Isotopes&amp;row=150&amp;col=7&amp;number=0.0042&amp;sourceID=21","0.0042")</f>
        <v>0.0042</v>
      </c>
    </row>
    <row r="151" spans="1:7">
      <c r="A151" s="3">
        <v>48</v>
      </c>
      <c r="B151" s="3">
        <v>116</v>
      </c>
      <c r="C151" s="3" t="s">
        <v>155</v>
      </c>
      <c r="D151" s="4" t="str">
        <f>HYPERLINK("http://141.218.60.56/~jnz1568/getInfo.php?workbook=isotopes.xlsx&amp;sheet=Isotopes&amp;row=151&amp;col=4&amp;number=115.904756&amp;sourceID=21","115.904756")</f>
        <v>115.904756</v>
      </c>
      <c r="E151" s="4" t="str">
        <f>HYPERLINK("http://141.218.60.56/~jnz1568/getInfo.php?workbook=isotopes.xlsx&amp;sheet=Isotopes&amp;row=151&amp;col=5&amp;number=3e-06&amp;sourceID=21","3e-06")</f>
        <v>3e-06</v>
      </c>
      <c r="F151" s="4" t="str">
        <f>HYPERLINK("http://141.218.60.56/~jnz1568/getInfo.php?workbook=isotopes.xlsx&amp;sheet=Isotopes&amp;row=151&amp;col=6&amp;number=0.0749&amp;sourceID=21","0.0749")</f>
        <v>0.0749</v>
      </c>
      <c r="G151" s="4" t="str">
        <f>HYPERLINK("http://141.218.60.56/~jnz1568/getInfo.php?workbook=isotopes.xlsx&amp;sheet=Isotopes&amp;row=151&amp;col=7&amp;number=0.0018&amp;sourceID=21","0.0018")</f>
        <v>0.0018</v>
      </c>
    </row>
    <row r="152" spans="1:7">
      <c r="A152" s="3">
        <v>49</v>
      </c>
      <c r="B152" s="3">
        <v>113</v>
      </c>
      <c r="C152" s="3" t="s">
        <v>156</v>
      </c>
      <c r="D152" s="4" t="str">
        <f>HYPERLINK("http://141.218.60.56/~jnz1568/getInfo.php?workbook=isotopes.xlsx&amp;sheet=Isotopes&amp;row=152&amp;col=4&amp;number=112.904058&amp;sourceID=21","112.904058")</f>
        <v>112.904058</v>
      </c>
      <c r="E152" s="4" t="str">
        <f>HYPERLINK("http://141.218.60.56/~jnz1568/getInfo.php?workbook=isotopes.xlsx&amp;sheet=Isotopes&amp;row=152&amp;col=5&amp;number=3e-06&amp;sourceID=21","3e-06")</f>
        <v>3e-06</v>
      </c>
      <c r="F152" s="4" t="str">
        <f>HYPERLINK("http://141.218.60.56/~jnz1568/getInfo.php?workbook=isotopes.xlsx&amp;sheet=Isotopes&amp;row=152&amp;col=6&amp;number=0.0429&amp;sourceID=21","0.0429")</f>
        <v>0.0429</v>
      </c>
      <c r="G152" s="4" t="str">
        <f>HYPERLINK("http://141.218.60.56/~jnz1568/getInfo.php?workbook=isotopes.xlsx&amp;sheet=Isotopes&amp;row=152&amp;col=7&amp;number=0.0005&amp;sourceID=21","0.0005")</f>
        <v>0.0005</v>
      </c>
    </row>
    <row r="153" spans="1:7">
      <c r="A153" s="3">
        <v>49</v>
      </c>
      <c r="B153" s="3">
        <v>115</v>
      </c>
      <c r="C153" s="3" t="s">
        <v>157</v>
      </c>
      <c r="D153" s="4" t="str">
        <f>HYPERLINK("http://141.218.60.56/~jnz1568/getInfo.php?workbook=isotopes.xlsx&amp;sheet=Isotopes&amp;row=153&amp;col=4&amp;number=114.903878&amp;sourceID=21","114.903878")</f>
        <v>114.903878</v>
      </c>
      <c r="E153" s="4" t="str">
        <f>HYPERLINK("http://141.218.60.56/~jnz1568/getInfo.php?workbook=isotopes.xlsx&amp;sheet=Isotopes&amp;row=153&amp;col=5&amp;number=5e-06&amp;sourceID=21","5e-06")</f>
        <v>5e-06</v>
      </c>
      <c r="F153" s="4" t="str">
        <f>HYPERLINK("http://141.218.60.56/~jnz1568/getInfo.php?workbook=isotopes.xlsx&amp;sheet=Isotopes&amp;row=153&amp;col=6&amp;number=0.9571&amp;sourceID=21","0.9571")</f>
        <v>0.9571</v>
      </c>
      <c r="G153" s="4" t="str">
        <f>HYPERLINK("http://141.218.60.56/~jnz1568/getInfo.php?workbook=isotopes.xlsx&amp;sheet=Isotopes&amp;row=153&amp;col=7&amp;number=0.0005&amp;sourceID=21","0.0005")</f>
        <v>0.0005</v>
      </c>
    </row>
    <row r="154" spans="1:7">
      <c r="A154" s="3">
        <v>50</v>
      </c>
      <c r="B154" s="3">
        <v>112</v>
      </c>
      <c r="C154" s="3" t="s">
        <v>158</v>
      </c>
      <c r="D154" s="4" t="str">
        <f>HYPERLINK("http://141.218.60.56/~jnz1568/getInfo.php?workbook=isotopes.xlsx&amp;sheet=Isotopes&amp;row=154&amp;col=4&amp;number=111.904818&amp;sourceID=21","111.904818")</f>
        <v>111.904818</v>
      </c>
      <c r="E154" s="4" t="str">
        <f>HYPERLINK("http://141.218.60.56/~jnz1568/getInfo.php?workbook=isotopes.xlsx&amp;sheet=Isotopes&amp;row=154&amp;col=5&amp;number=5e-06&amp;sourceID=21","5e-06")</f>
        <v>5e-06</v>
      </c>
      <c r="F154" s="4" t="str">
        <f>HYPERLINK("http://141.218.60.56/~jnz1568/getInfo.php?workbook=isotopes.xlsx&amp;sheet=Isotopes&amp;row=154&amp;col=6&amp;number=0.0097&amp;sourceID=21","0.0097")</f>
        <v>0.0097</v>
      </c>
      <c r="G154" s="4" t="str">
        <f>HYPERLINK("http://141.218.60.56/~jnz1568/getInfo.php?workbook=isotopes.xlsx&amp;sheet=Isotopes&amp;row=154&amp;col=7&amp;number=0.0001&amp;sourceID=21","0.0001")</f>
        <v>0.0001</v>
      </c>
    </row>
    <row r="155" spans="1:7">
      <c r="A155" s="3">
        <v>50</v>
      </c>
      <c r="B155" s="3">
        <v>114</v>
      </c>
      <c r="C155" s="3" t="s">
        <v>159</v>
      </c>
      <c r="D155" s="4" t="str">
        <f>HYPERLINK("http://141.218.60.56/~jnz1568/getInfo.php?workbook=isotopes.xlsx&amp;sheet=Isotopes&amp;row=155&amp;col=4&amp;number=113.902779&amp;sourceID=21","113.902779")</f>
        <v>113.902779</v>
      </c>
      <c r="E155" s="4" t="str">
        <f>HYPERLINK("http://141.218.60.56/~jnz1568/getInfo.php?workbook=isotopes.xlsx&amp;sheet=Isotopes&amp;row=155&amp;col=5&amp;number=3e-06&amp;sourceID=21","3e-06")</f>
        <v>3e-06</v>
      </c>
      <c r="F155" s="4" t="str">
        <f>HYPERLINK("http://141.218.60.56/~jnz1568/getInfo.php?workbook=isotopes.xlsx&amp;sheet=Isotopes&amp;row=155&amp;col=6&amp;number=0.0066&amp;sourceID=21","0.0066")</f>
        <v>0.0066</v>
      </c>
      <c r="G155" s="4" t="str">
        <f>HYPERLINK("http://141.218.60.56/~jnz1568/getInfo.php?workbook=isotopes.xlsx&amp;sheet=Isotopes&amp;row=155&amp;col=7&amp;number=0.0001&amp;sourceID=21","0.0001")</f>
        <v>0.0001</v>
      </c>
    </row>
    <row r="156" spans="1:7">
      <c r="A156" s="3">
        <v>50</v>
      </c>
      <c r="B156" s="3">
        <v>115</v>
      </c>
      <c r="C156" s="3" t="s">
        <v>160</v>
      </c>
      <c r="D156" s="4" t="str">
        <f>HYPERLINK("http://141.218.60.56/~jnz1568/getInfo.php?workbook=isotopes.xlsx&amp;sheet=Isotopes&amp;row=156&amp;col=4&amp;number=114.903342&amp;sourceID=21","114.903342")</f>
        <v>114.903342</v>
      </c>
      <c r="E156" s="4" t="str">
        <f>HYPERLINK("http://141.218.60.56/~jnz1568/getInfo.php?workbook=isotopes.xlsx&amp;sheet=Isotopes&amp;row=156&amp;col=5&amp;number=3e-06&amp;sourceID=21","3e-06")</f>
        <v>3e-06</v>
      </c>
      <c r="F156" s="4" t="str">
        <f>HYPERLINK("http://141.218.60.56/~jnz1568/getInfo.php?workbook=isotopes.xlsx&amp;sheet=Isotopes&amp;row=156&amp;col=6&amp;number=0.0034&amp;sourceID=21","0.0034")</f>
        <v>0.0034</v>
      </c>
      <c r="G156" s="4" t="str">
        <f>HYPERLINK("http://141.218.60.56/~jnz1568/getInfo.php?workbook=isotopes.xlsx&amp;sheet=Isotopes&amp;row=156&amp;col=7&amp;number=0.0001&amp;sourceID=21","0.0001")</f>
        <v>0.0001</v>
      </c>
    </row>
    <row r="157" spans="1:7">
      <c r="A157" s="3">
        <v>50</v>
      </c>
      <c r="B157" s="3">
        <v>116</v>
      </c>
      <c r="C157" s="3" t="s">
        <v>161</v>
      </c>
      <c r="D157" s="4" t="str">
        <f>HYPERLINK("http://141.218.60.56/~jnz1568/getInfo.php?workbook=isotopes.xlsx&amp;sheet=Isotopes&amp;row=157&amp;col=4&amp;number=115.901741&amp;sourceID=21","115.901741")</f>
        <v>115.901741</v>
      </c>
      <c r="E157" s="4" t="str">
        <f>HYPERLINK("http://141.218.60.56/~jnz1568/getInfo.php?workbook=isotopes.xlsx&amp;sheet=Isotopes&amp;row=157&amp;col=5&amp;number=3e-06&amp;sourceID=21","3e-06")</f>
        <v>3e-06</v>
      </c>
      <c r="F157" s="4" t="str">
        <f>HYPERLINK("http://141.218.60.56/~jnz1568/getInfo.php?workbook=isotopes.xlsx&amp;sheet=Isotopes&amp;row=157&amp;col=6&amp;number=0.1454&amp;sourceID=21","0.1454")</f>
        <v>0.1454</v>
      </c>
      <c r="G157" s="4" t="str">
        <f>HYPERLINK("http://141.218.60.56/~jnz1568/getInfo.php?workbook=isotopes.xlsx&amp;sheet=Isotopes&amp;row=157&amp;col=7&amp;number=0.0009&amp;sourceID=21","0.0009")</f>
        <v>0.0009</v>
      </c>
    </row>
    <row r="158" spans="1:7">
      <c r="A158" s="3">
        <v>50</v>
      </c>
      <c r="B158" s="3">
        <v>117</v>
      </c>
      <c r="C158" s="3" t="s">
        <v>162</v>
      </c>
      <c r="D158" s="4" t="str">
        <f>HYPERLINK("http://141.218.60.56/~jnz1568/getInfo.php?workbook=isotopes.xlsx&amp;sheet=Isotopes&amp;row=158&amp;col=4&amp;number=116.902952&amp;sourceID=21","116.902952")</f>
        <v>116.902952</v>
      </c>
      <c r="E158" s="4" t="str">
        <f>HYPERLINK("http://141.218.60.56/~jnz1568/getInfo.php?workbook=isotopes.xlsx&amp;sheet=Isotopes&amp;row=158&amp;col=5&amp;number=3e-06&amp;sourceID=21","3e-06")</f>
        <v>3e-06</v>
      </c>
      <c r="F158" s="4" t="str">
        <f>HYPERLINK("http://141.218.60.56/~jnz1568/getInfo.php?workbook=isotopes.xlsx&amp;sheet=Isotopes&amp;row=158&amp;col=6&amp;number=0.0768&amp;sourceID=21","0.0768")</f>
        <v>0.0768</v>
      </c>
      <c r="G158" s="4" t="str">
        <f>HYPERLINK("http://141.218.60.56/~jnz1568/getInfo.php?workbook=isotopes.xlsx&amp;sheet=Isotopes&amp;row=158&amp;col=7&amp;number=0.0007&amp;sourceID=21","0.0007")</f>
        <v>0.0007</v>
      </c>
    </row>
    <row r="159" spans="1:7">
      <c r="A159" s="3">
        <v>50</v>
      </c>
      <c r="B159" s="3">
        <v>118</v>
      </c>
      <c r="C159" s="3" t="s">
        <v>163</v>
      </c>
      <c r="D159" s="4" t="str">
        <f>HYPERLINK("http://141.218.60.56/~jnz1568/getInfo.php?workbook=isotopes.xlsx&amp;sheet=Isotopes&amp;row=159&amp;col=4&amp;number=117.901603&amp;sourceID=21","117.901603")</f>
        <v>117.901603</v>
      </c>
      <c r="E159" s="4" t="str">
        <f>HYPERLINK("http://141.218.60.56/~jnz1568/getInfo.php?workbook=isotopes.xlsx&amp;sheet=Isotopes&amp;row=159&amp;col=5&amp;number=3e-06&amp;sourceID=21","3e-06")</f>
        <v>3e-06</v>
      </c>
      <c r="F159" s="4" t="str">
        <f>HYPERLINK("http://141.218.60.56/~jnz1568/getInfo.php?workbook=isotopes.xlsx&amp;sheet=Isotopes&amp;row=159&amp;col=6&amp;number=0.2422&amp;sourceID=21","0.2422")</f>
        <v>0.2422</v>
      </c>
      <c r="G159" s="4" t="str">
        <f>HYPERLINK("http://141.218.60.56/~jnz1568/getInfo.php?workbook=isotopes.xlsx&amp;sheet=Isotopes&amp;row=159&amp;col=7&amp;number=0.0009&amp;sourceID=21","0.0009")</f>
        <v>0.0009</v>
      </c>
    </row>
    <row r="160" spans="1:7">
      <c r="A160" s="3">
        <v>50</v>
      </c>
      <c r="B160" s="3">
        <v>119</v>
      </c>
      <c r="C160" s="3" t="s">
        <v>164</v>
      </c>
      <c r="D160" s="4" t="str">
        <f>HYPERLINK("http://141.218.60.56/~jnz1568/getInfo.php?workbook=isotopes.xlsx&amp;sheet=Isotopes&amp;row=160&amp;col=4&amp;number=118.903308&amp;sourceID=21","118.903308")</f>
        <v>118.903308</v>
      </c>
      <c r="E160" s="4" t="str">
        <f>HYPERLINK("http://141.218.60.56/~jnz1568/getInfo.php?workbook=isotopes.xlsx&amp;sheet=Isotopes&amp;row=160&amp;col=5&amp;number=3e-06&amp;sourceID=21","3e-06")</f>
        <v>3e-06</v>
      </c>
      <c r="F160" s="4" t="str">
        <f>HYPERLINK("http://141.218.60.56/~jnz1568/getInfo.php?workbook=isotopes.xlsx&amp;sheet=Isotopes&amp;row=160&amp;col=6&amp;number=0.0859&amp;sourceID=21","0.0859")</f>
        <v>0.0859</v>
      </c>
      <c r="G160" s="4" t="str">
        <f>HYPERLINK("http://141.218.60.56/~jnz1568/getInfo.php?workbook=isotopes.xlsx&amp;sheet=Isotopes&amp;row=160&amp;col=7&amp;number=0.0004&amp;sourceID=21","0.0004")</f>
        <v>0.0004</v>
      </c>
    </row>
    <row r="161" spans="1:7">
      <c r="A161" s="3">
        <v>50</v>
      </c>
      <c r="B161" s="3">
        <v>120</v>
      </c>
      <c r="C161" s="3" t="s">
        <v>165</v>
      </c>
      <c r="D161" s="4" t="str">
        <f>HYPERLINK("http://141.218.60.56/~jnz1568/getInfo.php?workbook=isotopes.xlsx&amp;sheet=Isotopes&amp;row=161&amp;col=4&amp;number=119.9021947&amp;sourceID=21","119.9021947")</f>
        <v>119.9021947</v>
      </c>
      <c r="E161" s="4" t="str">
        <f>HYPERLINK("http://141.218.60.56/~jnz1568/getInfo.php?workbook=isotopes.xlsx&amp;sheet=Isotopes&amp;row=161&amp;col=5&amp;number=2.7e-06&amp;sourceID=21","2.7e-06")</f>
        <v>2.7e-06</v>
      </c>
      <c r="F161" s="4" t="str">
        <f>HYPERLINK("http://141.218.60.56/~jnz1568/getInfo.php?workbook=isotopes.xlsx&amp;sheet=Isotopes&amp;row=161&amp;col=6&amp;number=0.3258&amp;sourceID=21","0.3258")</f>
        <v>0.3258</v>
      </c>
      <c r="G161" s="4" t="str">
        <f>HYPERLINK("http://141.218.60.56/~jnz1568/getInfo.php?workbook=isotopes.xlsx&amp;sheet=Isotopes&amp;row=161&amp;col=7&amp;number=0.0009&amp;sourceID=21","0.0009")</f>
        <v>0.0009</v>
      </c>
    </row>
    <row r="162" spans="1:7">
      <c r="A162" s="3">
        <v>50</v>
      </c>
      <c r="B162" s="3">
        <v>122</v>
      </c>
      <c r="C162" s="3" t="s">
        <v>166</v>
      </c>
      <c r="D162" s="4" t="str">
        <f>HYPERLINK("http://141.218.60.56/~jnz1568/getInfo.php?workbook=isotopes.xlsx&amp;sheet=Isotopes&amp;row=162&amp;col=4&amp;number=121.903439&amp;sourceID=21","121.903439")</f>
        <v>121.903439</v>
      </c>
      <c r="E162" s="4" t="str">
        <f>HYPERLINK("http://141.218.60.56/~jnz1568/getInfo.php?workbook=isotopes.xlsx&amp;sheet=Isotopes&amp;row=162&amp;col=5&amp;number=2.9e-06&amp;sourceID=21","2.9e-06")</f>
        <v>2.9e-06</v>
      </c>
      <c r="F162" s="4" t="str">
        <f>HYPERLINK("http://141.218.60.56/~jnz1568/getInfo.php?workbook=isotopes.xlsx&amp;sheet=Isotopes&amp;row=162&amp;col=6&amp;number=0.0463&amp;sourceID=21","0.0463")</f>
        <v>0.0463</v>
      </c>
      <c r="G162" s="4" t="str">
        <f>HYPERLINK("http://141.218.60.56/~jnz1568/getInfo.php?workbook=isotopes.xlsx&amp;sheet=Isotopes&amp;row=162&amp;col=7&amp;number=0.0003&amp;sourceID=21","0.0003")</f>
        <v>0.0003</v>
      </c>
    </row>
    <row r="163" spans="1:7">
      <c r="A163" s="3">
        <v>50</v>
      </c>
      <c r="B163" s="3">
        <v>124</v>
      </c>
      <c r="C163" s="3" t="s">
        <v>167</v>
      </c>
      <c r="D163" s="4" t="str">
        <f>HYPERLINK("http://141.218.60.56/~jnz1568/getInfo.php?workbook=isotopes.xlsx&amp;sheet=Isotopes&amp;row=163&amp;col=4&amp;number=123.9052739&amp;sourceID=21","123.9052739")</f>
        <v>123.9052739</v>
      </c>
      <c r="E163" s="4" t="str">
        <f>HYPERLINK("http://141.218.60.56/~jnz1568/getInfo.php?workbook=isotopes.xlsx&amp;sheet=Isotopes&amp;row=163&amp;col=5&amp;number=1.5e-06&amp;sourceID=21","1.5e-06")</f>
        <v>1.5e-06</v>
      </c>
      <c r="F163" s="4" t="str">
        <f>HYPERLINK("http://141.218.60.56/~jnz1568/getInfo.php?workbook=isotopes.xlsx&amp;sheet=Isotopes&amp;row=163&amp;col=6&amp;number=0.0579&amp;sourceID=21","0.0579")</f>
        <v>0.0579</v>
      </c>
      <c r="G163" s="4" t="str">
        <f>HYPERLINK("http://141.218.60.56/~jnz1568/getInfo.php?workbook=isotopes.xlsx&amp;sheet=Isotopes&amp;row=163&amp;col=7&amp;number=0.0005&amp;sourceID=21","0.0005")</f>
        <v>0.0005</v>
      </c>
    </row>
    <row r="164" spans="1:7">
      <c r="A164" s="3">
        <v>51</v>
      </c>
      <c r="B164" s="3">
        <v>121</v>
      </c>
      <c r="C164" s="3" t="s">
        <v>168</v>
      </c>
      <c r="D164" s="4" t="str">
        <f>HYPERLINK("http://141.218.60.56/~jnz1568/getInfo.php?workbook=isotopes.xlsx&amp;sheet=Isotopes&amp;row=164&amp;col=4&amp;number=120.9038157&amp;sourceID=21","120.9038157")</f>
        <v>120.9038157</v>
      </c>
      <c r="E164" s="4" t="str">
        <f>HYPERLINK("http://141.218.60.56/~jnz1568/getInfo.php?workbook=isotopes.xlsx&amp;sheet=Isotopes&amp;row=164&amp;col=5&amp;number=2.4e-06&amp;sourceID=21","2.4e-06")</f>
        <v>2.4e-06</v>
      </c>
      <c r="F164" s="4" t="str">
        <f>HYPERLINK("http://141.218.60.56/~jnz1568/getInfo.php?workbook=isotopes.xlsx&amp;sheet=Isotopes&amp;row=164&amp;col=6&amp;number=0.5721&amp;sourceID=21","0.5721")</f>
        <v>0.5721</v>
      </c>
      <c r="G164" s="4" t="str">
        <f>HYPERLINK("http://141.218.60.56/~jnz1568/getInfo.php?workbook=isotopes.xlsx&amp;sheet=Isotopes&amp;row=164&amp;col=7&amp;number=0.0005&amp;sourceID=21","0.0005")</f>
        <v>0.0005</v>
      </c>
    </row>
    <row r="165" spans="1:7">
      <c r="A165" s="3">
        <v>51</v>
      </c>
      <c r="B165" s="3">
        <v>123</v>
      </c>
      <c r="C165" s="3" t="s">
        <v>169</v>
      </c>
      <c r="D165" s="4" t="str">
        <f>HYPERLINK("http://141.218.60.56/~jnz1568/getInfo.php?workbook=isotopes.xlsx&amp;sheet=Isotopes&amp;row=165&amp;col=4&amp;number=122.904214&amp;sourceID=21","122.904214")</f>
        <v>122.904214</v>
      </c>
      <c r="E165" s="4" t="str">
        <f>HYPERLINK("http://141.218.60.56/~jnz1568/getInfo.php?workbook=isotopes.xlsx&amp;sheet=Isotopes&amp;row=165&amp;col=5&amp;number=2.2e-06&amp;sourceID=21","2.2e-06")</f>
        <v>2.2e-06</v>
      </c>
      <c r="F165" s="4" t="str">
        <f>HYPERLINK("http://141.218.60.56/~jnz1568/getInfo.php?workbook=isotopes.xlsx&amp;sheet=Isotopes&amp;row=165&amp;col=6&amp;number=0.4279&amp;sourceID=21","0.4279")</f>
        <v>0.4279</v>
      </c>
      <c r="G165" s="4" t="str">
        <f>HYPERLINK("http://141.218.60.56/~jnz1568/getInfo.php?workbook=isotopes.xlsx&amp;sheet=Isotopes&amp;row=165&amp;col=7&amp;number=0.0005&amp;sourceID=21","0.0005")</f>
        <v>0.0005</v>
      </c>
    </row>
    <row r="166" spans="1:7">
      <c r="A166" s="3">
        <v>52</v>
      </c>
      <c r="B166" s="3">
        <v>120</v>
      </c>
      <c r="C166" s="3" t="s">
        <v>170</v>
      </c>
      <c r="D166" s="4" t="str">
        <f>HYPERLINK("http://141.218.60.56/~jnz1568/getInfo.php?workbook=isotopes.xlsx&amp;sheet=Isotopes&amp;row=166&amp;col=4&amp;number=119.90402&amp;sourceID=21","119.90402")</f>
        <v>119.90402</v>
      </c>
      <c r="E166" s="4" t="str">
        <f>HYPERLINK("http://141.218.60.56/~jnz1568/getInfo.php?workbook=isotopes.xlsx&amp;sheet=Isotopes&amp;row=166&amp;col=5&amp;number=1e-05&amp;sourceID=21","1e-05")</f>
        <v>1e-05</v>
      </c>
      <c r="F166" s="4" t="str">
        <f>HYPERLINK("http://141.218.60.56/~jnz1568/getInfo.php?workbook=isotopes.xlsx&amp;sheet=Isotopes&amp;row=166&amp;col=6&amp;number=0.0009&amp;sourceID=21","0.0009")</f>
        <v>0.0009</v>
      </c>
      <c r="G166" s="4" t="str">
        <f>HYPERLINK("http://141.218.60.56/~jnz1568/getInfo.php?workbook=isotopes.xlsx&amp;sheet=Isotopes&amp;row=166&amp;col=7&amp;number=0.0001&amp;sourceID=21","0.0001")</f>
        <v>0.0001</v>
      </c>
    </row>
    <row r="167" spans="1:7">
      <c r="A167" s="3">
        <v>52</v>
      </c>
      <c r="B167" s="3">
        <v>122</v>
      </c>
      <c r="C167" s="3" t="s">
        <v>171</v>
      </c>
      <c r="D167" s="4" t="str">
        <f>HYPERLINK("http://141.218.60.56/~jnz1568/getInfo.php?workbook=isotopes.xlsx&amp;sheet=Isotopes&amp;row=167&amp;col=4&amp;number=121.9030439&amp;sourceID=21","121.9030439")</f>
        <v>121.9030439</v>
      </c>
      <c r="E167" s="4" t="str">
        <f>HYPERLINK("http://141.218.60.56/~jnz1568/getInfo.php?workbook=isotopes.xlsx&amp;sheet=Isotopes&amp;row=167&amp;col=5&amp;number=1.6e-06&amp;sourceID=21","1.6e-06")</f>
        <v>1.6e-06</v>
      </c>
      <c r="F167" s="4" t="str">
        <f>HYPERLINK("http://141.218.60.56/~jnz1568/getInfo.php?workbook=isotopes.xlsx&amp;sheet=Isotopes&amp;row=167&amp;col=6&amp;number=0.0255&amp;sourceID=21","0.0255")</f>
        <v>0.0255</v>
      </c>
      <c r="G167" s="4" t="str">
        <f>HYPERLINK("http://141.218.60.56/~jnz1568/getInfo.php?workbook=isotopes.xlsx&amp;sheet=Isotopes&amp;row=167&amp;col=7&amp;number=0.0012&amp;sourceID=21","0.0012")</f>
        <v>0.0012</v>
      </c>
    </row>
    <row r="168" spans="1:7">
      <c r="A168" s="3">
        <v>52</v>
      </c>
      <c r="B168" s="3">
        <v>123</v>
      </c>
      <c r="C168" s="3" t="s">
        <v>172</v>
      </c>
      <c r="D168" s="4" t="str">
        <f>HYPERLINK("http://141.218.60.56/~jnz1568/getInfo.php?workbook=isotopes.xlsx&amp;sheet=Isotopes&amp;row=168&amp;col=4&amp;number=122.90427&amp;sourceID=21","122.90427")</f>
        <v>122.90427</v>
      </c>
      <c r="E168" s="4" t="str">
        <f>HYPERLINK("http://141.218.60.56/~jnz1568/getInfo.php?workbook=isotopes.xlsx&amp;sheet=Isotopes&amp;row=168&amp;col=5&amp;number=1.6e-06&amp;sourceID=21","1.6e-06")</f>
        <v>1.6e-06</v>
      </c>
      <c r="F168" s="4" t="str">
        <f>HYPERLINK("http://141.218.60.56/~jnz1568/getInfo.php?workbook=isotopes.xlsx&amp;sheet=Isotopes&amp;row=168&amp;col=6&amp;number=0.0089&amp;sourceID=21","0.0089")</f>
        <v>0.0089</v>
      </c>
      <c r="G168" s="4" t="str">
        <f>HYPERLINK("http://141.218.60.56/~jnz1568/getInfo.php?workbook=isotopes.xlsx&amp;sheet=Isotopes&amp;row=168&amp;col=7&amp;number=0.0003&amp;sourceID=21","0.0003")</f>
        <v>0.0003</v>
      </c>
    </row>
    <row r="169" spans="1:7">
      <c r="A169" s="3">
        <v>52</v>
      </c>
      <c r="B169" s="3">
        <v>124</v>
      </c>
      <c r="C169" s="3" t="s">
        <v>173</v>
      </c>
      <c r="D169" s="4" t="str">
        <f>HYPERLINK("http://141.218.60.56/~jnz1568/getInfo.php?workbook=isotopes.xlsx&amp;sheet=Isotopes&amp;row=169&amp;col=4&amp;number=123.9028179&amp;sourceID=21","123.9028179")</f>
        <v>123.9028179</v>
      </c>
      <c r="E169" s="4" t="str">
        <f>HYPERLINK("http://141.218.60.56/~jnz1568/getInfo.php?workbook=isotopes.xlsx&amp;sheet=Isotopes&amp;row=169&amp;col=5&amp;number=1.6e-06&amp;sourceID=21","1.6e-06")</f>
        <v>1.6e-06</v>
      </c>
      <c r="F169" s="4" t="str">
        <f>HYPERLINK("http://141.218.60.56/~jnz1568/getInfo.php?workbook=isotopes.xlsx&amp;sheet=Isotopes&amp;row=169&amp;col=6&amp;number=0.0474&amp;sourceID=21","0.0474")</f>
        <v>0.0474</v>
      </c>
      <c r="G169" s="4" t="str">
        <f>HYPERLINK("http://141.218.60.56/~jnz1568/getInfo.php?workbook=isotopes.xlsx&amp;sheet=Isotopes&amp;row=169&amp;col=7&amp;number=0.0014&amp;sourceID=21","0.0014")</f>
        <v>0.0014</v>
      </c>
    </row>
    <row r="170" spans="1:7">
      <c r="A170" s="3">
        <v>52</v>
      </c>
      <c r="B170" s="3">
        <v>125</v>
      </c>
      <c r="C170" s="3" t="s">
        <v>174</v>
      </c>
      <c r="D170" s="4" t="str">
        <f>HYPERLINK("http://141.218.60.56/~jnz1568/getInfo.php?workbook=isotopes.xlsx&amp;sheet=Isotopes&amp;row=170&amp;col=4&amp;number=124.9044307&amp;sourceID=21","124.9044307")</f>
        <v>124.9044307</v>
      </c>
      <c r="E170" s="4" t="str">
        <f>HYPERLINK("http://141.218.60.56/~jnz1568/getInfo.php?workbook=isotopes.xlsx&amp;sheet=Isotopes&amp;row=170&amp;col=5&amp;number=1.6e-06&amp;sourceID=21","1.6e-06")</f>
        <v>1.6e-06</v>
      </c>
      <c r="F170" s="4" t="str">
        <f>HYPERLINK("http://141.218.60.56/~jnz1568/getInfo.php?workbook=isotopes.xlsx&amp;sheet=Isotopes&amp;row=170&amp;col=6&amp;number=0.0707&amp;sourceID=21","0.0707")</f>
        <v>0.0707</v>
      </c>
      <c r="G170" s="4" t="str">
        <f>HYPERLINK("http://141.218.60.56/~jnz1568/getInfo.php?workbook=isotopes.xlsx&amp;sheet=Isotopes&amp;row=170&amp;col=7&amp;number=0.0015&amp;sourceID=21","0.0015")</f>
        <v>0.0015</v>
      </c>
    </row>
    <row r="171" spans="1:7">
      <c r="A171" s="3">
        <v>52</v>
      </c>
      <c r="B171" s="3">
        <v>126</v>
      </c>
      <c r="C171" s="3" t="s">
        <v>175</v>
      </c>
      <c r="D171" s="4" t="str">
        <f>HYPERLINK("http://141.218.60.56/~jnz1568/getInfo.php?workbook=isotopes.xlsx&amp;sheet=Isotopes&amp;row=171&amp;col=4&amp;number=125.9033117&amp;sourceID=21","125.9033117")</f>
        <v>125.9033117</v>
      </c>
      <c r="E171" s="4" t="str">
        <f>HYPERLINK("http://141.218.60.56/~jnz1568/getInfo.php?workbook=isotopes.xlsx&amp;sheet=Isotopes&amp;row=171&amp;col=5&amp;number=1.6e-06&amp;sourceID=21","1.6e-06")</f>
        <v>1.6e-06</v>
      </c>
      <c r="F171" s="4" t="str">
        <f>HYPERLINK("http://141.218.60.56/~jnz1568/getInfo.php?workbook=isotopes.xlsx&amp;sheet=Isotopes&amp;row=171&amp;col=6&amp;number=0.1884&amp;sourceID=21","0.1884")</f>
        <v>0.1884</v>
      </c>
      <c r="G171" s="4" t="str">
        <f>HYPERLINK("http://141.218.60.56/~jnz1568/getInfo.php?workbook=isotopes.xlsx&amp;sheet=Isotopes&amp;row=171&amp;col=7&amp;number=0.0025&amp;sourceID=21","0.0025")</f>
        <v>0.0025</v>
      </c>
    </row>
    <row r="172" spans="1:7">
      <c r="A172" s="3">
        <v>52</v>
      </c>
      <c r="B172" s="3">
        <v>128</v>
      </c>
      <c r="C172" s="3" t="s">
        <v>176</v>
      </c>
      <c r="D172" s="4" t="str">
        <f>HYPERLINK("http://141.218.60.56/~jnz1568/getInfo.php?workbook=isotopes.xlsx&amp;sheet=Isotopes&amp;row=172&amp;col=4&amp;number=127.9044631&amp;sourceID=21","127.9044631")</f>
        <v>127.9044631</v>
      </c>
      <c r="E172" s="4" t="str">
        <f>HYPERLINK("http://141.218.60.56/~jnz1568/getInfo.php?workbook=isotopes.xlsx&amp;sheet=Isotopes&amp;row=172&amp;col=5&amp;number=1.9e-06&amp;sourceID=21","1.9e-06")</f>
        <v>1.9e-06</v>
      </c>
      <c r="F172" s="4" t="str">
        <f>HYPERLINK("http://141.218.60.56/~jnz1568/getInfo.php?workbook=isotopes.xlsx&amp;sheet=Isotopes&amp;row=172&amp;col=6&amp;number=0.3174&amp;sourceID=21","0.3174")</f>
        <v>0.3174</v>
      </c>
      <c r="G172" s="4" t="str">
        <f>HYPERLINK("http://141.218.60.56/~jnz1568/getInfo.php?workbook=isotopes.xlsx&amp;sheet=Isotopes&amp;row=172&amp;col=7&amp;number=0.0008&amp;sourceID=21","0.0008")</f>
        <v>0.0008</v>
      </c>
    </row>
    <row r="173" spans="1:7">
      <c r="A173" s="3">
        <v>52</v>
      </c>
      <c r="B173" s="3">
        <v>130</v>
      </c>
      <c r="C173" s="3" t="s">
        <v>177</v>
      </c>
      <c r="D173" s="4" t="str">
        <f>HYPERLINK("http://141.218.60.56/~jnz1568/getInfo.php?workbook=isotopes.xlsx&amp;sheet=Isotopes&amp;row=173&amp;col=4&amp;number=129.9062244&amp;sourceID=21","129.9062244")</f>
        <v>129.9062244</v>
      </c>
      <c r="E173" s="4" t="str">
        <f>HYPERLINK("http://141.218.60.56/~jnz1568/getInfo.php?workbook=isotopes.xlsx&amp;sheet=Isotopes&amp;row=173&amp;col=5&amp;number=2.1e-06&amp;sourceID=21","2.1e-06")</f>
        <v>2.1e-06</v>
      </c>
      <c r="F173" s="4" t="str">
        <f>HYPERLINK("http://141.218.60.56/~jnz1568/getInfo.php?workbook=isotopes.xlsx&amp;sheet=Isotopes&amp;row=173&amp;col=6&amp;number=0.3408&amp;sourceID=21","0.3408")</f>
        <v>0.3408</v>
      </c>
      <c r="G173" s="4" t="str">
        <f>HYPERLINK("http://141.218.60.56/~jnz1568/getInfo.php?workbook=isotopes.xlsx&amp;sheet=Isotopes&amp;row=173&amp;col=7&amp;number=0.0062&amp;sourceID=21","0.0062")</f>
        <v>0.0062</v>
      </c>
    </row>
    <row r="174" spans="1:7">
      <c r="A174" s="3">
        <v>53</v>
      </c>
      <c r="B174" s="3">
        <v>127</v>
      </c>
      <c r="C174" s="3" t="s">
        <v>178</v>
      </c>
      <c r="D174" s="4" t="str">
        <f>HYPERLINK("http://141.218.60.56/~jnz1568/getInfo.php?workbook=isotopes.xlsx&amp;sheet=Isotopes&amp;row=174&amp;col=4&amp;number=126.904473&amp;sourceID=21","126.904473")</f>
        <v>126.904473</v>
      </c>
      <c r="E174" s="4" t="str">
        <f>HYPERLINK("http://141.218.60.56/~jnz1568/getInfo.php?workbook=isotopes.xlsx&amp;sheet=Isotopes&amp;row=174&amp;col=5&amp;number=4e-06&amp;sourceID=21","4e-06")</f>
        <v>4e-06</v>
      </c>
      <c r="F174" s="4" t="str">
        <f>HYPERLINK("http://141.218.60.56/~jnz1568/getInfo.php?workbook=isotopes.xlsx&amp;sheet=Isotopes&amp;row=174&amp;col=6&amp;number=1&amp;sourceID=21","1")</f>
        <v>1</v>
      </c>
      <c r="G174" s="4" t="str">
        <f>HYPERLINK("http://141.218.60.56/~jnz1568/getInfo.php?workbook=isotopes.xlsx&amp;sheet=Isotopes&amp;row=174&amp;col=7&amp;number=&amp;sourceID=21","")</f>
        <v/>
      </c>
    </row>
    <row r="175" spans="1:7">
      <c r="A175" s="3">
        <v>54</v>
      </c>
      <c r="B175" s="3">
        <v>124</v>
      </c>
      <c r="C175" s="3" t="s">
        <v>179</v>
      </c>
      <c r="D175" s="4" t="str">
        <f>HYPERLINK("http://141.218.60.56/~jnz1568/getInfo.php?workbook=isotopes.xlsx&amp;sheet=Isotopes&amp;row=175&amp;col=4&amp;number=123.905893&amp;sourceID=21","123.905893")</f>
        <v>123.905893</v>
      </c>
      <c r="E175" s="4" t="str">
        <f>HYPERLINK("http://141.218.60.56/~jnz1568/getInfo.php?workbook=isotopes.xlsx&amp;sheet=Isotopes&amp;row=175&amp;col=5&amp;number=2e-06&amp;sourceID=21","2e-06")</f>
        <v>2e-06</v>
      </c>
      <c r="F175" s="4" t="str">
        <f>HYPERLINK("http://141.218.60.56/~jnz1568/getInfo.php?workbook=isotopes.xlsx&amp;sheet=Isotopes&amp;row=175&amp;col=6&amp;number=0.000952&amp;sourceID=21","0.000952")</f>
        <v>0.000952</v>
      </c>
      <c r="G175" s="4" t="str">
        <f>HYPERLINK("http://141.218.60.56/~jnz1568/getInfo.php?workbook=isotopes.xlsx&amp;sheet=Isotopes&amp;row=175&amp;col=7&amp;number=3e-06&amp;sourceID=21","3e-06")</f>
        <v>3e-06</v>
      </c>
    </row>
    <row r="176" spans="1:7">
      <c r="A176" s="3">
        <v>54</v>
      </c>
      <c r="B176" s="3">
        <v>126</v>
      </c>
      <c r="C176" s="3" t="s">
        <v>180</v>
      </c>
      <c r="D176" s="4" t="str">
        <f>HYPERLINK("http://141.218.60.56/~jnz1568/getInfo.php?workbook=isotopes.xlsx&amp;sheet=Isotopes&amp;row=176&amp;col=4&amp;number=125.904274&amp;sourceID=21","125.904274")</f>
        <v>125.904274</v>
      </c>
      <c r="E176" s="4" t="str">
        <f>HYPERLINK("http://141.218.60.56/~jnz1568/getInfo.php?workbook=isotopes.xlsx&amp;sheet=Isotopes&amp;row=176&amp;col=5&amp;number=7e-06&amp;sourceID=21","7e-06")</f>
        <v>7e-06</v>
      </c>
      <c r="F176" s="4" t="str">
        <f>HYPERLINK("http://141.218.60.56/~jnz1568/getInfo.php?workbook=isotopes.xlsx&amp;sheet=Isotopes&amp;row=176&amp;col=6&amp;number=0.00089&amp;sourceID=21","0.00089")</f>
        <v>0.00089</v>
      </c>
      <c r="G176" s="4" t="str">
        <f>HYPERLINK("http://141.218.60.56/~jnz1568/getInfo.php?workbook=isotopes.xlsx&amp;sheet=Isotopes&amp;row=176&amp;col=7&amp;number=2e-06&amp;sourceID=21","2e-06")</f>
        <v>2e-06</v>
      </c>
    </row>
    <row r="177" spans="1:7">
      <c r="A177" s="3">
        <v>54</v>
      </c>
      <c r="B177" s="3">
        <v>128</v>
      </c>
      <c r="C177" s="3" t="s">
        <v>181</v>
      </c>
      <c r="D177" s="4" t="str">
        <f>HYPERLINK("http://141.218.60.56/~jnz1568/getInfo.php?workbook=isotopes.xlsx&amp;sheet=Isotopes&amp;row=177&amp;col=4&amp;number=127.9035313&amp;sourceID=21","127.9035313")</f>
        <v>127.9035313</v>
      </c>
      <c r="E177" s="4" t="str">
        <f>HYPERLINK("http://141.218.60.56/~jnz1568/getInfo.php?workbook=isotopes.xlsx&amp;sheet=Isotopes&amp;row=177&amp;col=5&amp;number=1.5e-06&amp;sourceID=21","1.5e-06")</f>
        <v>1.5e-06</v>
      </c>
      <c r="F177" s="4" t="str">
        <f>HYPERLINK("http://141.218.60.56/~jnz1568/getInfo.php?workbook=isotopes.xlsx&amp;sheet=Isotopes&amp;row=177&amp;col=6&amp;number=0.019102&amp;sourceID=21","0.019102")</f>
        <v>0.019102</v>
      </c>
      <c r="G177" s="4" t="str">
        <f>HYPERLINK("http://141.218.60.56/~jnz1568/getInfo.php?workbook=isotopes.xlsx&amp;sheet=Isotopes&amp;row=177&amp;col=7&amp;number=8e-06&amp;sourceID=21","8e-06")</f>
        <v>8e-06</v>
      </c>
    </row>
    <row r="178" spans="1:7">
      <c r="A178" s="3">
        <v>54</v>
      </c>
      <c r="B178" s="3">
        <v>129</v>
      </c>
      <c r="C178" s="3" t="s">
        <v>182</v>
      </c>
      <c r="D178" s="4" t="str">
        <f>HYPERLINK("http://141.218.60.56/~jnz1568/getInfo.php?workbook=isotopes.xlsx&amp;sheet=Isotopes&amp;row=178&amp;col=4&amp;number=128.9047794&amp;sourceID=21","128.9047794")</f>
        <v>128.9047794</v>
      </c>
      <c r="E178" s="4" t="str">
        <f>HYPERLINK("http://141.218.60.56/~jnz1568/getInfo.php?workbook=isotopes.xlsx&amp;sheet=Isotopes&amp;row=178&amp;col=5&amp;number=8e-07&amp;sourceID=21","8e-07")</f>
        <v>8e-07</v>
      </c>
      <c r="F178" s="4" t="str">
        <f>HYPERLINK("http://141.218.60.56/~jnz1568/getInfo.php?workbook=isotopes.xlsx&amp;sheet=Isotopes&amp;row=178&amp;col=6&amp;number=0.264006&amp;sourceID=21","0.264006")</f>
        <v>0.264006</v>
      </c>
      <c r="G178" s="4" t="str">
        <f>HYPERLINK("http://141.218.60.56/~jnz1568/getInfo.php?workbook=isotopes.xlsx&amp;sheet=Isotopes&amp;row=178&amp;col=7&amp;number=8.2e-05&amp;sourceID=21","8.2e-05")</f>
        <v>8.2e-05</v>
      </c>
    </row>
    <row r="179" spans="1:7">
      <c r="A179" s="3">
        <v>54</v>
      </c>
      <c r="B179" s="3">
        <v>130</v>
      </c>
      <c r="C179" s="3" t="s">
        <v>183</v>
      </c>
      <c r="D179" s="4" t="str">
        <f>HYPERLINK("http://141.218.60.56/~jnz1568/getInfo.php?workbook=isotopes.xlsx&amp;sheet=Isotopes&amp;row=179&amp;col=4&amp;number=129.903508&amp;sourceID=21","129.903508")</f>
        <v>129.903508</v>
      </c>
      <c r="E179" s="4" t="str">
        <f>HYPERLINK("http://141.218.60.56/~jnz1568/getInfo.php?workbook=isotopes.xlsx&amp;sheet=Isotopes&amp;row=179&amp;col=5&amp;number=8e-07&amp;sourceID=21","8e-07")</f>
        <v>8e-07</v>
      </c>
      <c r="F179" s="4" t="str">
        <f>HYPERLINK("http://141.218.60.56/~jnz1568/getInfo.php?workbook=isotopes.xlsx&amp;sheet=Isotopes&amp;row=179&amp;col=6&amp;number=0.04071&amp;sourceID=21","0.04071")</f>
        <v>0.04071</v>
      </c>
      <c r="G179" s="4" t="str">
        <f>HYPERLINK("http://141.218.60.56/~jnz1568/getInfo.php?workbook=isotopes.xlsx&amp;sheet=Isotopes&amp;row=179&amp;col=7&amp;number=1.3e-05&amp;sourceID=21","1.3e-05")</f>
        <v>1.3e-05</v>
      </c>
    </row>
    <row r="180" spans="1:7">
      <c r="A180" s="3">
        <v>54</v>
      </c>
      <c r="B180" s="3">
        <v>131</v>
      </c>
      <c r="C180" s="3" t="s">
        <v>184</v>
      </c>
      <c r="D180" s="4" t="str">
        <f>HYPERLINK("http://141.218.60.56/~jnz1568/getInfo.php?workbook=isotopes.xlsx&amp;sheet=Isotopes&amp;row=180&amp;col=4&amp;number=130.9050824&amp;sourceID=21","130.9050824")</f>
        <v>130.9050824</v>
      </c>
      <c r="E180" s="4" t="str">
        <f>HYPERLINK("http://141.218.60.56/~jnz1568/getInfo.php?workbook=isotopes.xlsx&amp;sheet=Isotopes&amp;row=180&amp;col=5&amp;number=1e-06&amp;sourceID=21","1e-06")</f>
        <v>1e-06</v>
      </c>
      <c r="F180" s="4" t="str">
        <f>HYPERLINK("http://141.218.60.56/~jnz1568/getInfo.php?workbook=isotopes.xlsx&amp;sheet=Isotopes&amp;row=180&amp;col=6&amp;number=0.212324&amp;sourceID=21","0.212324")</f>
        <v>0.212324</v>
      </c>
      <c r="G180" s="4" t="str">
        <f>HYPERLINK("http://141.218.60.56/~jnz1568/getInfo.php?workbook=isotopes.xlsx&amp;sheet=Isotopes&amp;row=180&amp;col=7&amp;number=3e-05&amp;sourceID=21","3e-05")</f>
        <v>3e-05</v>
      </c>
    </row>
    <row r="181" spans="1:7">
      <c r="A181" s="3">
        <v>54</v>
      </c>
      <c r="B181" s="3">
        <v>132</v>
      </c>
      <c r="C181" s="3" t="s">
        <v>185</v>
      </c>
      <c r="D181" s="4" t="str">
        <f>HYPERLINK("http://141.218.60.56/~jnz1568/getInfo.php?workbook=isotopes.xlsx&amp;sheet=Isotopes&amp;row=181&amp;col=4&amp;number=131.9041535&amp;sourceID=21","131.9041535")</f>
        <v>131.9041535</v>
      </c>
      <c r="E181" s="4" t="str">
        <f>HYPERLINK("http://141.218.60.56/~jnz1568/getInfo.php?workbook=isotopes.xlsx&amp;sheet=Isotopes&amp;row=181&amp;col=5&amp;number=1e-06&amp;sourceID=21","1e-06")</f>
        <v>1e-06</v>
      </c>
      <c r="F181" s="4" t="str">
        <f>HYPERLINK("http://141.218.60.56/~jnz1568/getInfo.php?workbook=isotopes.xlsx&amp;sheet=Isotopes&amp;row=181&amp;col=6&amp;number=0.269086&amp;sourceID=21","0.269086")</f>
        <v>0.269086</v>
      </c>
      <c r="G181" s="4" t="str">
        <f>HYPERLINK("http://141.218.60.56/~jnz1568/getInfo.php?workbook=isotopes.xlsx&amp;sheet=Isotopes&amp;row=181&amp;col=7&amp;number=3.3e-05&amp;sourceID=21","3.3e-05")</f>
        <v>3.3e-05</v>
      </c>
    </row>
    <row r="182" spans="1:7">
      <c r="A182" s="3">
        <v>54</v>
      </c>
      <c r="B182" s="3">
        <v>134</v>
      </c>
      <c r="C182" s="3" t="s">
        <v>186</v>
      </c>
      <c r="D182" s="4" t="str">
        <f>HYPERLINK("http://141.218.60.56/~jnz1568/getInfo.php?workbook=isotopes.xlsx&amp;sheet=Isotopes&amp;row=182&amp;col=4&amp;number=133.9053945&amp;sourceID=21","133.9053945")</f>
        <v>133.9053945</v>
      </c>
      <c r="E182" s="4" t="str">
        <f>HYPERLINK("http://141.218.60.56/~jnz1568/getInfo.php?workbook=isotopes.xlsx&amp;sheet=Isotopes&amp;row=182&amp;col=5&amp;number=9e-07&amp;sourceID=21","9e-07")</f>
        <v>9e-07</v>
      </c>
      <c r="F182" s="4" t="str">
        <f>HYPERLINK("http://141.218.60.56/~jnz1568/getInfo.php?workbook=isotopes.xlsx&amp;sheet=Isotopes&amp;row=182&amp;col=6&amp;number=0.104357&amp;sourceID=21","0.104357")</f>
        <v>0.104357</v>
      </c>
      <c r="G182" s="4" t="str">
        <f>HYPERLINK("http://141.218.60.56/~jnz1568/getInfo.php?workbook=isotopes.xlsx&amp;sheet=Isotopes&amp;row=182&amp;col=7&amp;number=2.1e-05&amp;sourceID=21","2.1e-05")</f>
        <v>2.1e-05</v>
      </c>
    </row>
    <row r="183" spans="1:7">
      <c r="A183" s="3">
        <v>54</v>
      </c>
      <c r="B183" s="3">
        <v>136</v>
      </c>
      <c r="C183" s="3" t="s">
        <v>187</v>
      </c>
      <c r="D183" s="4" t="str">
        <f>HYPERLINK("http://141.218.60.56/~jnz1568/getInfo.php?workbook=isotopes.xlsx&amp;sheet=Isotopes&amp;row=183&amp;col=4&amp;number=135.907219&amp;sourceID=21","135.907219")</f>
        <v>135.907219</v>
      </c>
      <c r="E183" s="4" t="str">
        <f>HYPERLINK("http://141.218.60.56/~jnz1568/getInfo.php?workbook=isotopes.xlsx&amp;sheet=Isotopes&amp;row=183&amp;col=5&amp;number=8e-06&amp;sourceID=21","8e-06")</f>
        <v>8e-06</v>
      </c>
      <c r="F183" s="4" t="str">
        <f>HYPERLINK("http://141.218.60.56/~jnz1568/getInfo.php?workbook=isotopes.xlsx&amp;sheet=Isotopes&amp;row=183&amp;col=6&amp;number=0.088573&amp;sourceID=21","0.088573")</f>
        <v>0.088573</v>
      </c>
      <c r="G183" s="4" t="str">
        <f>HYPERLINK("http://141.218.60.56/~jnz1568/getInfo.php?workbook=isotopes.xlsx&amp;sheet=Isotopes&amp;row=183&amp;col=7&amp;number=4.4e-05&amp;sourceID=21","4.4e-05")</f>
        <v>4.4e-05</v>
      </c>
    </row>
    <row r="184" spans="1:7">
      <c r="A184" s="3">
        <v>55</v>
      </c>
      <c r="B184" s="3">
        <v>133</v>
      </c>
      <c r="C184" s="3" t="s">
        <v>188</v>
      </c>
      <c r="D184" s="4" t="str">
        <f>HYPERLINK("http://141.218.60.56/~jnz1568/getInfo.php?workbook=isotopes.xlsx&amp;sheet=Isotopes&amp;row=184&amp;col=4&amp;number=132.905451933&amp;sourceID=21","132.905451933")</f>
        <v>132.905451933</v>
      </c>
      <c r="E184" s="4" t="str">
        <f>HYPERLINK("http://141.218.60.56/~jnz1568/getInfo.php?workbook=isotopes.xlsx&amp;sheet=Isotopes&amp;row=184&amp;col=5&amp;number=2.4e-08&amp;sourceID=21","2.4e-08")</f>
        <v>2.4e-08</v>
      </c>
      <c r="F184" s="4" t="str">
        <f>HYPERLINK("http://141.218.60.56/~jnz1568/getInfo.php?workbook=isotopes.xlsx&amp;sheet=Isotopes&amp;row=184&amp;col=6&amp;number=1&amp;sourceID=21","1")</f>
        <v>1</v>
      </c>
      <c r="G184" s="4" t="str">
        <f>HYPERLINK("http://141.218.60.56/~jnz1568/getInfo.php?workbook=isotopes.xlsx&amp;sheet=Isotopes&amp;row=184&amp;col=7&amp;number=&amp;sourceID=21","")</f>
        <v/>
      </c>
    </row>
    <row r="185" spans="1:7">
      <c r="A185" s="3">
        <v>56</v>
      </c>
      <c r="B185" s="3">
        <v>130</v>
      </c>
      <c r="C185" s="3" t="s">
        <v>189</v>
      </c>
      <c r="D185" s="4" t="str">
        <f>HYPERLINK("http://141.218.60.56/~jnz1568/getInfo.php?workbook=isotopes.xlsx&amp;sheet=Isotopes&amp;row=185&amp;col=4&amp;number=129.9063208&amp;sourceID=21","129.9063208")</f>
        <v>129.9063208</v>
      </c>
      <c r="E185" s="4" t="str">
        <f>HYPERLINK("http://141.218.60.56/~jnz1568/getInfo.php?workbook=isotopes.xlsx&amp;sheet=Isotopes&amp;row=185&amp;col=5&amp;number=3e-06&amp;sourceID=21","3e-06")</f>
        <v>3e-06</v>
      </c>
      <c r="F185" s="4" t="str">
        <f>HYPERLINK("http://141.218.60.56/~jnz1568/getInfo.php?workbook=isotopes.xlsx&amp;sheet=Isotopes&amp;row=185&amp;col=6&amp;number=0.00106&amp;sourceID=21","0.00106")</f>
        <v>0.00106</v>
      </c>
      <c r="G185" s="4" t="str">
        <f>HYPERLINK("http://141.218.60.56/~jnz1568/getInfo.php?workbook=isotopes.xlsx&amp;sheet=Isotopes&amp;row=185&amp;col=7&amp;number=1e-05&amp;sourceID=21","1e-05")</f>
        <v>1e-05</v>
      </c>
    </row>
    <row r="186" spans="1:7">
      <c r="A186" s="3">
        <v>56</v>
      </c>
      <c r="B186" s="3">
        <v>132</v>
      </c>
      <c r="C186" s="3" t="s">
        <v>190</v>
      </c>
      <c r="D186" s="4" t="str">
        <f>HYPERLINK("http://141.218.60.56/~jnz1568/getInfo.php?workbook=isotopes.xlsx&amp;sheet=Isotopes&amp;row=186&amp;col=4&amp;number=131.9050613&amp;sourceID=21","131.9050613")</f>
        <v>131.9050613</v>
      </c>
      <c r="E186" s="4" t="str">
        <f>HYPERLINK("http://141.218.60.56/~jnz1568/getInfo.php?workbook=isotopes.xlsx&amp;sheet=Isotopes&amp;row=186&amp;col=5&amp;number=1.1e-06&amp;sourceID=21","1.1e-06")</f>
        <v>1.1e-06</v>
      </c>
      <c r="F186" s="4" t="str">
        <f>HYPERLINK("http://141.218.60.56/~jnz1568/getInfo.php?workbook=isotopes.xlsx&amp;sheet=Isotopes&amp;row=186&amp;col=6&amp;number=0.00101&amp;sourceID=21","0.00101")</f>
        <v>0.00101</v>
      </c>
      <c r="G186" s="4" t="str">
        <f>HYPERLINK("http://141.218.60.56/~jnz1568/getInfo.php?workbook=isotopes.xlsx&amp;sheet=Isotopes&amp;row=186&amp;col=7&amp;number=1e-05&amp;sourceID=21","1e-05")</f>
        <v>1e-05</v>
      </c>
    </row>
    <row r="187" spans="1:7">
      <c r="A187" s="3">
        <v>56</v>
      </c>
      <c r="B187" s="3">
        <v>134</v>
      </c>
      <c r="C187" s="3" t="s">
        <v>191</v>
      </c>
      <c r="D187" s="4" t="str">
        <f>HYPERLINK("http://141.218.60.56/~jnz1568/getInfo.php?workbook=isotopes.xlsx&amp;sheet=Isotopes&amp;row=187&amp;col=4&amp;number=133.9045084&amp;sourceID=21","133.9045084")</f>
        <v>133.9045084</v>
      </c>
      <c r="E187" s="4" t="str">
        <f>HYPERLINK("http://141.218.60.56/~jnz1568/getInfo.php?workbook=isotopes.xlsx&amp;sheet=Isotopes&amp;row=187&amp;col=5&amp;number=4e-07&amp;sourceID=21","4e-07")</f>
        <v>4e-07</v>
      </c>
      <c r="F187" s="4" t="str">
        <f>HYPERLINK("http://141.218.60.56/~jnz1568/getInfo.php?workbook=isotopes.xlsx&amp;sheet=Isotopes&amp;row=187&amp;col=6&amp;number=0.02417&amp;sourceID=21","0.02417")</f>
        <v>0.02417</v>
      </c>
      <c r="G187" s="4" t="str">
        <f>HYPERLINK("http://141.218.60.56/~jnz1568/getInfo.php?workbook=isotopes.xlsx&amp;sheet=Isotopes&amp;row=187&amp;col=7&amp;number=0.00018&amp;sourceID=21","0.00018")</f>
        <v>0.00018</v>
      </c>
    </row>
    <row r="188" spans="1:7">
      <c r="A188" s="3">
        <v>56</v>
      </c>
      <c r="B188" s="3">
        <v>135</v>
      </c>
      <c r="C188" s="3" t="s">
        <v>192</v>
      </c>
      <c r="D188" s="4" t="str">
        <f>HYPERLINK("http://141.218.60.56/~jnz1568/getInfo.php?workbook=isotopes.xlsx&amp;sheet=Isotopes&amp;row=188&amp;col=4&amp;number=134.9056886&amp;sourceID=21","134.9056886")</f>
        <v>134.9056886</v>
      </c>
      <c r="E188" s="4" t="str">
        <f>HYPERLINK("http://141.218.60.56/~jnz1568/getInfo.php?workbook=isotopes.xlsx&amp;sheet=Isotopes&amp;row=188&amp;col=5&amp;number=4e-07&amp;sourceID=21","4e-07")</f>
        <v>4e-07</v>
      </c>
      <c r="F188" s="4" t="str">
        <f>HYPERLINK("http://141.218.60.56/~jnz1568/getInfo.php?workbook=isotopes.xlsx&amp;sheet=Isotopes&amp;row=188&amp;col=6&amp;number=0.06592&amp;sourceID=21","0.06592")</f>
        <v>0.06592</v>
      </c>
      <c r="G188" s="4" t="str">
        <f>HYPERLINK("http://141.218.60.56/~jnz1568/getInfo.php?workbook=isotopes.xlsx&amp;sheet=Isotopes&amp;row=188&amp;col=7&amp;number=0.00012&amp;sourceID=21","0.00012")</f>
        <v>0.00012</v>
      </c>
    </row>
    <row r="189" spans="1:7">
      <c r="A189" s="3">
        <v>56</v>
      </c>
      <c r="B189" s="3">
        <v>136</v>
      </c>
      <c r="C189" s="3" t="s">
        <v>193</v>
      </c>
      <c r="D189" s="4" t="str">
        <f>HYPERLINK("http://141.218.60.56/~jnz1568/getInfo.php?workbook=isotopes.xlsx&amp;sheet=Isotopes&amp;row=189&amp;col=4&amp;number=135.9045759&amp;sourceID=21","135.9045759")</f>
        <v>135.9045759</v>
      </c>
      <c r="E189" s="4" t="str">
        <f>HYPERLINK("http://141.218.60.56/~jnz1568/getInfo.php?workbook=isotopes.xlsx&amp;sheet=Isotopes&amp;row=189&amp;col=5&amp;number=4e-07&amp;sourceID=21","4e-07")</f>
        <v>4e-07</v>
      </c>
      <c r="F189" s="4" t="str">
        <f>HYPERLINK("http://141.218.60.56/~jnz1568/getInfo.php?workbook=isotopes.xlsx&amp;sheet=Isotopes&amp;row=189&amp;col=6&amp;number=0.07854&amp;sourceID=21","0.07854")</f>
        <v>0.07854</v>
      </c>
      <c r="G189" s="4" t="str">
        <f>HYPERLINK("http://141.218.60.56/~jnz1568/getInfo.php?workbook=isotopes.xlsx&amp;sheet=Isotopes&amp;row=189&amp;col=7&amp;number=0.00024&amp;sourceID=21","0.00024")</f>
        <v>0.00024</v>
      </c>
    </row>
    <row r="190" spans="1:7">
      <c r="A190" s="3">
        <v>56</v>
      </c>
      <c r="B190" s="3">
        <v>137</v>
      </c>
      <c r="C190" s="3" t="s">
        <v>194</v>
      </c>
      <c r="D190" s="4" t="str">
        <f>HYPERLINK("http://141.218.60.56/~jnz1568/getInfo.php?workbook=isotopes.xlsx&amp;sheet=Isotopes&amp;row=190&amp;col=4&amp;number=136.9058274&amp;sourceID=21","136.9058274")</f>
        <v>136.9058274</v>
      </c>
      <c r="E190" s="4" t="str">
        <f>HYPERLINK("http://141.218.60.56/~jnz1568/getInfo.php?workbook=isotopes.xlsx&amp;sheet=Isotopes&amp;row=190&amp;col=5&amp;number=5e-07&amp;sourceID=21","5e-07")</f>
        <v>5e-07</v>
      </c>
      <c r="F190" s="4" t="str">
        <f>HYPERLINK("http://141.218.60.56/~jnz1568/getInfo.php?workbook=isotopes.xlsx&amp;sheet=Isotopes&amp;row=190&amp;col=6&amp;number=0.11232&amp;sourceID=21","0.11232")</f>
        <v>0.11232</v>
      </c>
      <c r="G190" s="4" t="str">
        <f>HYPERLINK("http://141.218.60.56/~jnz1568/getInfo.php?workbook=isotopes.xlsx&amp;sheet=Isotopes&amp;row=190&amp;col=7&amp;number=0.00024&amp;sourceID=21","0.00024")</f>
        <v>0.00024</v>
      </c>
    </row>
    <row r="191" spans="1:7">
      <c r="A191" s="3">
        <v>56</v>
      </c>
      <c r="B191" s="3">
        <v>138</v>
      </c>
      <c r="C191" s="3" t="s">
        <v>195</v>
      </c>
      <c r="D191" s="4" t="str">
        <f>HYPERLINK("http://141.218.60.56/~jnz1568/getInfo.php?workbook=isotopes.xlsx&amp;sheet=Isotopes&amp;row=191&amp;col=4&amp;number=137.9052472&amp;sourceID=21","137.9052472")</f>
        <v>137.9052472</v>
      </c>
      <c r="E191" s="4" t="str">
        <f>HYPERLINK("http://141.218.60.56/~jnz1568/getInfo.php?workbook=isotopes.xlsx&amp;sheet=Isotopes&amp;row=191&amp;col=5&amp;number=5e-07&amp;sourceID=21","5e-07")</f>
        <v>5e-07</v>
      </c>
      <c r="F191" s="4" t="str">
        <f>HYPERLINK("http://141.218.60.56/~jnz1568/getInfo.php?workbook=isotopes.xlsx&amp;sheet=Isotopes&amp;row=191&amp;col=6&amp;number=0.71698&amp;sourceID=21","0.71698")</f>
        <v>0.71698</v>
      </c>
      <c r="G191" s="4" t="str">
        <f>HYPERLINK("http://141.218.60.56/~jnz1568/getInfo.php?workbook=isotopes.xlsx&amp;sheet=Isotopes&amp;row=191&amp;col=7&amp;number=0.00042&amp;sourceID=21","0.00042")</f>
        <v>0.00042</v>
      </c>
    </row>
    <row r="192" spans="1:7">
      <c r="A192" s="3">
        <v>57</v>
      </c>
      <c r="B192" s="3">
        <v>138</v>
      </c>
      <c r="C192" s="3" t="s">
        <v>196</v>
      </c>
      <c r="D192" s="4" t="str">
        <f>HYPERLINK("http://141.218.60.56/~jnz1568/getInfo.php?workbook=isotopes.xlsx&amp;sheet=Isotopes&amp;row=192&amp;col=4&amp;number=137.907112&amp;sourceID=21","137.907112")</f>
        <v>137.907112</v>
      </c>
      <c r="E192" s="4" t="str">
        <f>HYPERLINK("http://141.218.60.56/~jnz1568/getInfo.php?workbook=isotopes.xlsx&amp;sheet=Isotopes&amp;row=192&amp;col=5&amp;number=4e-06&amp;sourceID=21","4e-06")</f>
        <v>4e-06</v>
      </c>
      <c r="F192" s="4" t="str">
        <f>HYPERLINK("http://141.218.60.56/~jnz1568/getInfo.php?workbook=isotopes.xlsx&amp;sheet=Isotopes&amp;row=192&amp;col=6&amp;number=0.0009&amp;sourceID=21","0.0009")</f>
        <v>0.0009</v>
      </c>
      <c r="G192" s="4" t="str">
        <f>HYPERLINK("http://141.218.60.56/~jnz1568/getInfo.php?workbook=isotopes.xlsx&amp;sheet=Isotopes&amp;row=192&amp;col=7&amp;number=1e-05&amp;sourceID=21","1e-05")</f>
        <v>1e-05</v>
      </c>
    </row>
    <row r="193" spans="1:7">
      <c r="A193" s="3">
        <v>57</v>
      </c>
      <c r="B193" s="3">
        <v>139</v>
      </c>
      <c r="C193" s="3" t="s">
        <v>197</v>
      </c>
      <c r="D193" s="4" t="str">
        <f>HYPERLINK("http://141.218.60.56/~jnz1568/getInfo.php?workbook=isotopes.xlsx&amp;sheet=Isotopes&amp;row=193&amp;col=4&amp;number=138.9063533&amp;sourceID=21","138.9063533")</f>
        <v>138.9063533</v>
      </c>
      <c r="E193" s="4" t="str">
        <f>HYPERLINK("http://141.218.60.56/~jnz1568/getInfo.php?workbook=isotopes.xlsx&amp;sheet=Isotopes&amp;row=193&amp;col=5&amp;number=2.6e-06&amp;sourceID=21","2.6e-06")</f>
        <v>2.6e-06</v>
      </c>
      <c r="F193" s="4" t="str">
        <f>HYPERLINK("http://141.218.60.56/~jnz1568/getInfo.php?workbook=isotopes.xlsx&amp;sheet=Isotopes&amp;row=193&amp;col=6&amp;number=0.9991&amp;sourceID=21","0.9991")</f>
        <v>0.9991</v>
      </c>
      <c r="G193" s="4" t="str">
        <f>HYPERLINK("http://141.218.60.56/~jnz1568/getInfo.php?workbook=isotopes.xlsx&amp;sheet=Isotopes&amp;row=193&amp;col=7&amp;number=1e-05&amp;sourceID=21","1e-05")</f>
        <v>1e-05</v>
      </c>
    </row>
    <row r="194" spans="1:7">
      <c r="A194" s="3">
        <v>58</v>
      </c>
      <c r="B194" s="3">
        <v>136</v>
      </c>
      <c r="C194" s="3" t="s">
        <v>198</v>
      </c>
      <c r="D194" s="4" t="str">
        <f>HYPERLINK("http://141.218.60.56/~jnz1568/getInfo.php?workbook=isotopes.xlsx&amp;sheet=Isotopes&amp;row=194&amp;col=4&amp;number=135.907172&amp;sourceID=21","135.907172")</f>
        <v>135.907172</v>
      </c>
      <c r="E194" s="4" t="str">
        <f>HYPERLINK("http://141.218.60.56/~jnz1568/getInfo.php?workbook=isotopes.xlsx&amp;sheet=Isotopes&amp;row=194&amp;col=5&amp;number=1.4e-05&amp;sourceID=21","1.4e-05")</f>
        <v>1.4e-05</v>
      </c>
      <c r="F194" s="4" t="str">
        <f>HYPERLINK("http://141.218.60.56/~jnz1568/getInfo.php?workbook=isotopes.xlsx&amp;sheet=Isotopes&amp;row=194&amp;col=6&amp;number=0.00185&amp;sourceID=21","0.00185")</f>
        <v>0.00185</v>
      </c>
      <c r="G194" s="4" t="str">
        <f>HYPERLINK("http://141.218.60.56/~jnz1568/getInfo.php?workbook=isotopes.xlsx&amp;sheet=Isotopes&amp;row=194&amp;col=7&amp;number=2e-05&amp;sourceID=21","2e-05")</f>
        <v>2e-05</v>
      </c>
    </row>
    <row r="195" spans="1:7">
      <c r="A195" s="3">
        <v>58</v>
      </c>
      <c r="B195" s="3">
        <v>138</v>
      </c>
      <c r="C195" s="3" t="s">
        <v>199</v>
      </c>
      <c r="D195" s="4" t="str">
        <f>HYPERLINK("http://141.218.60.56/~jnz1568/getInfo.php?workbook=isotopes.xlsx&amp;sheet=Isotopes&amp;row=195&amp;col=4&amp;number=137.905991&amp;sourceID=21","137.905991")</f>
        <v>137.905991</v>
      </c>
      <c r="E195" s="4" t="str">
        <f>HYPERLINK("http://141.218.60.56/~jnz1568/getInfo.php?workbook=isotopes.xlsx&amp;sheet=Isotopes&amp;row=195&amp;col=5&amp;number=1.1e-05&amp;sourceID=21","1.1e-05")</f>
        <v>1.1e-05</v>
      </c>
      <c r="F195" s="4" t="str">
        <f>HYPERLINK("http://141.218.60.56/~jnz1568/getInfo.php?workbook=isotopes.xlsx&amp;sheet=Isotopes&amp;row=195&amp;col=6&amp;number=0.00251&amp;sourceID=21","0.00251")</f>
        <v>0.00251</v>
      </c>
      <c r="G195" s="4" t="str">
        <f>HYPERLINK("http://141.218.60.56/~jnz1568/getInfo.php?workbook=isotopes.xlsx&amp;sheet=Isotopes&amp;row=195&amp;col=7&amp;number=2e-05&amp;sourceID=21","2e-05")</f>
        <v>2e-05</v>
      </c>
    </row>
    <row r="196" spans="1:7">
      <c r="A196" s="3">
        <v>58</v>
      </c>
      <c r="B196" s="3">
        <v>140</v>
      </c>
      <c r="C196" s="3" t="s">
        <v>200</v>
      </c>
      <c r="D196" s="4" t="str">
        <f>HYPERLINK("http://141.218.60.56/~jnz1568/getInfo.php?workbook=isotopes.xlsx&amp;sheet=Isotopes&amp;row=196&amp;col=4&amp;number=139.9054387&amp;sourceID=21","139.9054387")</f>
        <v>139.9054387</v>
      </c>
      <c r="E196" s="4" t="str">
        <f>HYPERLINK("http://141.218.60.56/~jnz1568/getInfo.php?workbook=isotopes.xlsx&amp;sheet=Isotopes&amp;row=196&amp;col=5&amp;number=2.6e-06&amp;sourceID=21","2.6e-06")</f>
        <v>2.6e-06</v>
      </c>
      <c r="F196" s="4" t="str">
        <f>HYPERLINK("http://141.218.60.56/~jnz1568/getInfo.php?workbook=isotopes.xlsx&amp;sheet=Isotopes&amp;row=196&amp;col=6&amp;number=0.8845&amp;sourceID=21","0.8845")</f>
        <v>0.8845</v>
      </c>
      <c r="G196" s="4" t="str">
        <f>HYPERLINK("http://141.218.60.56/~jnz1568/getInfo.php?workbook=isotopes.xlsx&amp;sheet=Isotopes&amp;row=196&amp;col=7&amp;number=0.00051&amp;sourceID=21","0.00051")</f>
        <v>0.00051</v>
      </c>
    </row>
    <row r="197" spans="1:7">
      <c r="A197" s="3">
        <v>58</v>
      </c>
      <c r="B197" s="3">
        <v>142</v>
      </c>
      <c r="C197" s="3" t="s">
        <v>201</v>
      </c>
      <c r="D197" s="4" t="str">
        <f>HYPERLINK("http://141.218.60.56/~jnz1568/getInfo.php?workbook=isotopes.xlsx&amp;sheet=Isotopes&amp;row=197&amp;col=4&amp;number=141.909244&amp;sourceID=21","141.909244")</f>
        <v>141.909244</v>
      </c>
      <c r="E197" s="4" t="str">
        <f>HYPERLINK("http://141.218.60.56/~jnz1568/getInfo.php?workbook=isotopes.xlsx&amp;sheet=Isotopes&amp;row=197&amp;col=5&amp;number=3e-06&amp;sourceID=21","3e-06")</f>
        <v>3e-06</v>
      </c>
      <c r="F197" s="4" t="str">
        <f>HYPERLINK("http://141.218.60.56/~jnz1568/getInfo.php?workbook=isotopes.xlsx&amp;sheet=Isotopes&amp;row=197&amp;col=6&amp;number=0.11114&amp;sourceID=21","0.11114")</f>
        <v>0.11114</v>
      </c>
      <c r="G197" s="4" t="str">
        <f>HYPERLINK("http://141.218.60.56/~jnz1568/getInfo.php?workbook=isotopes.xlsx&amp;sheet=Isotopes&amp;row=197&amp;col=7&amp;number=0.00051&amp;sourceID=21","0.00051")</f>
        <v>0.00051</v>
      </c>
    </row>
    <row r="198" spans="1:7">
      <c r="A198" s="3">
        <v>59</v>
      </c>
      <c r="B198" s="3">
        <v>141</v>
      </c>
      <c r="C198" s="3" t="s">
        <v>202</v>
      </c>
      <c r="D198" s="4" t="str">
        <f>HYPERLINK("http://141.218.60.56/~jnz1568/getInfo.php?workbook=isotopes.xlsx&amp;sheet=Isotopes&amp;row=198&amp;col=4&amp;number=140.9076528&amp;sourceID=21","140.9076528")</f>
        <v>140.9076528</v>
      </c>
      <c r="E198" s="4" t="str">
        <f>HYPERLINK("http://141.218.60.56/~jnz1568/getInfo.php?workbook=isotopes.xlsx&amp;sheet=Isotopes&amp;row=198&amp;col=5&amp;number=2.6e-06&amp;sourceID=21","2.6e-06")</f>
        <v>2.6e-06</v>
      </c>
      <c r="F198" s="4" t="str">
        <f>HYPERLINK("http://141.218.60.56/~jnz1568/getInfo.php?workbook=isotopes.xlsx&amp;sheet=Isotopes&amp;row=198&amp;col=6&amp;number=1&amp;sourceID=21","1")</f>
        <v>1</v>
      </c>
      <c r="G198" s="4" t="str">
        <f>HYPERLINK("http://141.218.60.56/~jnz1568/getInfo.php?workbook=isotopes.xlsx&amp;sheet=Isotopes&amp;row=198&amp;col=7&amp;number=&amp;sourceID=21","")</f>
        <v/>
      </c>
    </row>
    <row r="199" spans="1:7">
      <c r="A199" s="3">
        <v>60</v>
      </c>
      <c r="B199" s="3">
        <v>142</v>
      </c>
      <c r="C199" s="3" t="s">
        <v>203</v>
      </c>
      <c r="D199" s="4" t="str">
        <f>HYPERLINK("http://141.218.60.56/~jnz1568/getInfo.php?workbook=isotopes.xlsx&amp;sheet=Isotopes&amp;row=199&amp;col=4&amp;number=141.9077233&amp;sourceID=21","141.9077233")</f>
        <v>141.9077233</v>
      </c>
      <c r="E199" s="4" t="str">
        <f>HYPERLINK("http://141.218.60.56/~jnz1568/getInfo.php?workbook=isotopes.xlsx&amp;sheet=Isotopes&amp;row=199&amp;col=5&amp;number=2.5e-06&amp;sourceID=21","2.5e-06")</f>
        <v>2.5e-06</v>
      </c>
      <c r="F199" s="4" t="str">
        <f>HYPERLINK("http://141.218.60.56/~jnz1568/getInfo.php?workbook=isotopes.xlsx&amp;sheet=Isotopes&amp;row=199&amp;col=6&amp;number=0.272&amp;sourceID=21","0.272")</f>
        <v>0.272</v>
      </c>
      <c r="G199" s="4" t="str">
        <f>HYPERLINK("http://141.218.60.56/~jnz1568/getInfo.php?workbook=isotopes.xlsx&amp;sheet=Isotopes&amp;row=199&amp;col=7&amp;number=0.005&amp;sourceID=21","0.005")</f>
        <v>0.005</v>
      </c>
    </row>
    <row r="200" spans="1:7">
      <c r="A200" s="3">
        <v>60</v>
      </c>
      <c r="B200" s="3">
        <v>143</v>
      </c>
      <c r="C200" s="3" t="s">
        <v>204</v>
      </c>
      <c r="D200" s="4" t="str">
        <f>HYPERLINK("http://141.218.60.56/~jnz1568/getInfo.php?workbook=isotopes.xlsx&amp;sheet=Isotopes&amp;row=200&amp;col=4&amp;number=142.9098143&amp;sourceID=21","142.9098143")</f>
        <v>142.9098143</v>
      </c>
      <c r="E200" s="4" t="str">
        <f>HYPERLINK("http://141.218.60.56/~jnz1568/getInfo.php?workbook=isotopes.xlsx&amp;sheet=Isotopes&amp;row=200&amp;col=5&amp;number=2.5e-06&amp;sourceID=21","2.5e-06")</f>
        <v>2.5e-06</v>
      </c>
      <c r="F200" s="4" t="str">
        <f>HYPERLINK("http://141.218.60.56/~jnz1568/getInfo.php?workbook=isotopes.xlsx&amp;sheet=Isotopes&amp;row=200&amp;col=6&amp;number=0.122&amp;sourceID=21","0.122")</f>
        <v>0.122</v>
      </c>
      <c r="G200" s="4" t="str">
        <f>HYPERLINK("http://141.218.60.56/~jnz1568/getInfo.php?workbook=isotopes.xlsx&amp;sheet=Isotopes&amp;row=200&amp;col=7&amp;number=0.002&amp;sourceID=21","0.002")</f>
        <v>0.002</v>
      </c>
    </row>
    <row r="201" spans="1:7">
      <c r="A201" s="3">
        <v>60</v>
      </c>
      <c r="B201" s="3">
        <v>144</v>
      </c>
      <c r="C201" s="3" t="s">
        <v>205</v>
      </c>
      <c r="D201" s="4" t="str">
        <f>HYPERLINK("http://141.218.60.56/~jnz1568/getInfo.php?workbook=isotopes.xlsx&amp;sheet=Isotopes&amp;row=201&amp;col=4&amp;number=143.9100873&amp;sourceID=21","143.9100873")</f>
        <v>143.9100873</v>
      </c>
      <c r="E201" s="4" t="str">
        <f>HYPERLINK("http://141.218.60.56/~jnz1568/getInfo.php?workbook=isotopes.xlsx&amp;sheet=Isotopes&amp;row=201&amp;col=5&amp;number=2.5e-06&amp;sourceID=21","2.5e-06")</f>
        <v>2.5e-06</v>
      </c>
      <c r="F201" s="4" t="str">
        <f>HYPERLINK("http://141.218.60.56/~jnz1568/getInfo.php?workbook=isotopes.xlsx&amp;sheet=Isotopes&amp;row=201&amp;col=6&amp;number=0.238&amp;sourceID=21","0.238")</f>
        <v>0.238</v>
      </c>
      <c r="G201" s="4" t="str">
        <f>HYPERLINK("http://141.218.60.56/~jnz1568/getInfo.php?workbook=isotopes.xlsx&amp;sheet=Isotopes&amp;row=201&amp;col=7&amp;number=0.003&amp;sourceID=21","0.003")</f>
        <v>0.003</v>
      </c>
    </row>
    <row r="202" spans="1:7">
      <c r="A202" s="3">
        <v>60</v>
      </c>
      <c r="B202" s="3">
        <v>145</v>
      </c>
      <c r="C202" s="3" t="s">
        <v>206</v>
      </c>
      <c r="D202" s="4" t="str">
        <f>HYPERLINK("http://141.218.60.56/~jnz1568/getInfo.php?workbook=isotopes.xlsx&amp;sheet=Isotopes&amp;row=202&amp;col=4&amp;number=144.9125736&amp;sourceID=21","144.9125736")</f>
        <v>144.9125736</v>
      </c>
      <c r="E202" s="4" t="str">
        <f>HYPERLINK("http://141.218.60.56/~jnz1568/getInfo.php?workbook=isotopes.xlsx&amp;sheet=Isotopes&amp;row=202&amp;col=5&amp;number=2.5e-06&amp;sourceID=21","2.5e-06")</f>
        <v>2.5e-06</v>
      </c>
      <c r="F202" s="4" t="str">
        <f>HYPERLINK("http://141.218.60.56/~jnz1568/getInfo.php?workbook=isotopes.xlsx&amp;sheet=Isotopes&amp;row=202&amp;col=6&amp;number=0.083&amp;sourceID=21","0.083")</f>
        <v>0.083</v>
      </c>
      <c r="G202" s="4" t="str">
        <f>HYPERLINK("http://141.218.60.56/~jnz1568/getInfo.php?workbook=isotopes.xlsx&amp;sheet=Isotopes&amp;row=202&amp;col=7&amp;number=0.001&amp;sourceID=21","0.001")</f>
        <v>0.001</v>
      </c>
    </row>
    <row r="203" spans="1:7">
      <c r="A203" s="3">
        <v>60</v>
      </c>
      <c r="B203" s="3">
        <v>146</v>
      </c>
      <c r="C203" s="3" t="s">
        <v>207</v>
      </c>
      <c r="D203" s="4" t="str">
        <f>HYPERLINK("http://141.218.60.56/~jnz1568/getInfo.php?workbook=isotopes.xlsx&amp;sheet=Isotopes&amp;row=203&amp;col=4&amp;number=145.9131169&amp;sourceID=21","145.9131169")</f>
        <v>145.9131169</v>
      </c>
      <c r="E203" s="4" t="str">
        <f>HYPERLINK("http://141.218.60.56/~jnz1568/getInfo.php?workbook=isotopes.xlsx&amp;sheet=Isotopes&amp;row=203&amp;col=5&amp;number=2.5e-06&amp;sourceID=21","2.5e-06")</f>
        <v>2.5e-06</v>
      </c>
      <c r="F203" s="4" t="str">
        <f>HYPERLINK("http://141.218.60.56/~jnz1568/getInfo.php?workbook=isotopes.xlsx&amp;sheet=Isotopes&amp;row=203&amp;col=6&amp;number=0.172&amp;sourceID=21","0.172")</f>
        <v>0.172</v>
      </c>
      <c r="G203" s="4" t="str">
        <f>HYPERLINK("http://141.218.60.56/~jnz1568/getInfo.php?workbook=isotopes.xlsx&amp;sheet=Isotopes&amp;row=203&amp;col=7&amp;number=0.003&amp;sourceID=21","0.003")</f>
        <v>0.003</v>
      </c>
    </row>
    <row r="204" spans="1:7">
      <c r="A204" s="3">
        <v>60</v>
      </c>
      <c r="B204" s="3">
        <v>148</v>
      </c>
      <c r="C204" s="3" t="s">
        <v>208</v>
      </c>
      <c r="D204" s="4" t="str">
        <f>HYPERLINK("http://141.218.60.56/~jnz1568/getInfo.php?workbook=isotopes.xlsx&amp;sheet=Isotopes&amp;row=204&amp;col=4&amp;number=147.916893&amp;sourceID=21","147.916893")</f>
        <v>147.916893</v>
      </c>
      <c r="E204" s="4" t="str">
        <f>HYPERLINK("http://141.218.60.56/~jnz1568/getInfo.php?workbook=isotopes.xlsx&amp;sheet=Isotopes&amp;row=204&amp;col=5&amp;number=3e-06&amp;sourceID=21","3e-06")</f>
        <v>3e-06</v>
      </c>
      <c r="F204" s="4" t="str">
        <f>HYPERLINK("http://141.218.60.56/~jnz1568/getInfo.php?workbook=isotopes.xlsx&amp;sheet=Isotopes&amp;row=204&amp;col=6&amp;number=0.057&amp;sourceID=21","0.057")</f>
        <v>0.057</v>
      </c>
      <c r="G204" s="4" t="str">
        <f>HYPERLINK("http://141.218.60.56/~jnz1568/getInfo.php?workbook=isotopes.xlsx&amp;sheet=Isotopes&amp;row=204&amp;col=7&amp;number=0.001&amp;sourceID=21","0.001")</f>
        <v>0.001</v>
      </c>
    </row>
    <row r="205" spans="1:7">
      <c r="A205" s="3">
        <v>60</v>
      </c>
      <c r="B205" s="3">
        <v>150</v>
      </c>
      <c r="C205" s="3" t="s">
        <v>209</v>
      </c>
      <c r="D205" s="4" t="str">
        <f>HYPERLINK("http://141.218.60.56/~jnz1568/getInfo.php?workbook=isotopes.xlsx&amp;sheet=Isotopes&amp;row=205&amp;col=4&amp;number=149.920891&amp;sourceID=21","149.920891")</f>
        <v>149.920891</v>
      </c>
      <c r="E205" s="4" t="str">
        <f>HYPERLINK("http://141.218.60.56/~jnz1568/getInfo.php?workbook=isotopes.xlsx&amp;sheet=Isotopes&amp;row=205&amp;col=5&amp;number=3e-06&amp;sourceID=21","3e-06")</f>
        <v>3e-06</v>
      </c>
      <c r="F205" s="4" t="str">
        <f>HYPERLINK("http://141.218.60.56/~jnz1568/getInfo.php?workbook=isotopes.xlsx&amp;sheet=Isotopes&amp;row=205&amp;col=6&amp;number=0.056&amp;sourceID=21","0.056")</f>
        <v>0.056</v>
      </c>
      <c r="G205" s="4" t="str">
        <f>HYPERLINK("http://141.218.60.56/~jnz1568/getInfo.php?workbook=isotopes.xlsx&amp;sheet=Isotopes&amp;row=205&amp;col=7&amp;number=0.002&amp;sourceID=21","0.002")</f>
        <v>0.002</v>
      </c>
    </row>
    <row r="206" spans="1:7">
      <c r="A206" s="3">
        <v>61</v>
      </c>
      <c r="B206" s="3">
        <v>145</v>
      </c>
      <c r="C206" s="3" t="s">
        <v>210</v>
      </c>
      <c r="D206" s="4" t="str">
        <f>HYPERLINK("http://141.218.60.56/~jnz1568/getInfo.php?workbook=isotopes.xlsx&amp;sheet=Isotopes&amp;row=206&amp;col=4&amp;number=144.912749&amp;sourceID=21","144.912749")</f>
        <v>144.912749</v>
      </c>
      <c r="E206" s="4" t="str">
        <f>HYPERLINK("http://141.218.60.56/~jnz1568/getInfo.php?workbook=isotopes.xlsx&amp;sheet=Isotopes&amp;row=206&amp;col=5&amp;number=3e-06&amp;sourceID=21","3e-06")</f>
        <v>3e-06</v>
      </c>
      <c r="F206" s="4" t="str">
        <f>HYPERLINK("http://141.218.60.56/~jnz1568/getInfo.php?workbook=isotopes.xlsx&amp;sheet=Isotopes&amp;row=206&amp;col=6&amp;number=&amp;sourceID=21","")</f>
        <v/>
      </c>
      <c r="G206" s="4" t="str">
        <f>HYPERLINK("http://141.218.60.56/~jnz1568/getInfo.php?workbook=isotopes.xlsx&amp;sheet=Isotopes&amp;row=206&amp;col=7&amp;number=&amp;sourceID=21","")</f>
        <v/>
      </c>
    </row>
    <row r="207" spans="1:7">
      <c r="A207" s="3">
        <v>61</v>
      </c>
      <c r="B207" s="3">
        <v>147</v>
      </c>
      <c r="C207" s="3" t="s">
        <v>211</v>
      </c>
      <c r="D207" s="4" t="str">
        <f>HYPERLINK("http://141.218.60.56/~jnz1568/getInfo.php?workbook=isotopes.xlsx&amp;sheet=Isotopes&amp;row=207&amp;col=4&amp;number=146.9151385&amp;sourceID=21","146.9151385")</f>
        <v>146.9151385</v>
      </c>
      <c r="E207" s="4" t="str">
        <f>HYPERLINK("http://141.218.60.56/~jnz1568/getInfo.php?workbook=isotopes.xlsx&amp;sheet=Isotopes&amp;row=207&amp;col=5&amp;number=2.6e-06&amp;sourceID=21","2.6e-06")</f>
        <v>2.6e-06</v>
      </c>
      <c r="F207" s="4" t="str">
        <f>HYPERLINK("http://141.218.60.56/~jnz1568/getInfo.php?workbook=isotopes.xlsx&amp;sheet=Isotopes&amp;row=207&amp;col=6&amp;number=&amp;sourceID=21","")</f>
        <v/>
      </c>
      <c r="G207" s="4" t="str">
        <f>HYPERLINK("http://141.218.60.56/~jnz1568/getInfo.php?workbook=isotopes.xlsx&amp;sheet=Isotopes&amp;row=207&amp;col=7&amp;number=&amp;sourceID=21","")</f>
        <v/>
      </c>
    </row>
    <row r="208" spans="1:7">
      <c r="A208" s="3">
        <v>62</v>
      </c>
      <c r="B208" s="3">
        <v>144</v>
      </c>
      <c r="C208" s="3" t="s">
        <v>212</v>
      </c>
      <c r="D208" s="4" t="str">
        <f>HYPERLINK("http://141.218.60.56/~jnz1568/getInfo.php?workbook=isotopes.xlsx&amp;sheet=Isotopes&amp;row=208&amp;col=4&amp;number=143.911999&amp;sourceID=21","143.911999")</f>
        <v>143.911999</v>
      </c>
      <c r="E208" s="4" t="str">
        <f>HYPERLINK("http://141.218.60.56/~jnz1568/getInfo.php?workbook=isotopes.xlsx&amp;sheet=Isotopes&amp;row=208&amp;col=5&amp;number=3e-06&amp;sourceID=21","3e-06")</f>
        <v>3e-06</v>
      </c>
      <c r="F208" s="4" t="str">
        <f>HYPERLINK("http://141.218.60.56/~jnz1568/getInfo.php?workbook=isotopes.xlsx&amp;sheet=Isotopes&amp;row=208&amp;col=6&amp;number=0.0307&amp;sourceID=21","0.0307")</f>
        <v>0.0307</v>
      </c>
      <c r="G208" s="4" t="str">
        <f>HYPERLINK("http://141.218.60.56/~jnz1568/getInfo.php?workbook=isotopes.xlsx&amp;sheet=Isotopes&amp;row=208&amp;col=7&amp;number=0.0007&amp;sourceID=21","0.0007")</f>
        <v>0.0007</v>
      </c>
    </row>
    <row r="209" spans="1:7">
      <c r="A209" s="3">
        <v>62</v>
      </c>
      <c r="B209" s="3">
        <v>147</v>
      </c>
      <c r="C209" s="3" t="s">
        <v>213</v>
      </c>
      <c r="D209" s="4" t="str">
        <f>HYPERLINK("http://141.218.60.56/~jnz1568/getInfo.php?workbook=isotopes.xlsx&amp;sheet=Isotopes&amp;row=209&amp;col=4&amp;number=146.9148979&amp;sourceID=21","146.9148979")</f>
        <v>146.9148979</v>
      </c>
      <c r="E209" s="4" t="str">
        <f>HYPERLINK("http://141.218.60.56/~jnz1568/getInfo.php?workbook=isotopes.xlsx&amp;sheet=Isotopes&amp;row=209&amp;col=5&amp;number=2.6e-06&amp;sourceID=21","2.6e-06")</f>
        <v>2.6e-06</v>
      </c>
      <c r="F209" s="4" t="str">
        <f>HYPERLINK("http://141.218.60.56/~jnz1568/getInfo.php?workbook=isotopes.xlsx&amp;sheet=Isotopes&amp;row=209&amp;col=6&amp;number=0.1499&amp;sourceID=21","0.1499")</f>
        <v>0.1499</v>
      </c>
      <c r="G209" s="4" t="str">
        <f>HYPERLINK("http://141.218.60.56/~jnz1568/getInfo.php?workbook=isotopes.xlsx&amp;sheet=Isotopes&amp;row=209&amp;col=7&amp;number=0.0018&amp;sourceID=21","0.0018")</f>
        <v>0.0018</v>
      </c>
    </row>
    <row r="210" spans="1:7">
      <c r="A210" s="3">
        <v>62</v>
      </c>
      <c r="B210" s="3">
        <v>148</v>
      </c>
      <c r="C210" s="3" t="s">
        <v>214</v>
      </c>
      <c r="D210" s="4" t="str">
        <f>HYPERLINK("http://141.218.60.56/~jnz1568/getInfo.php?workbook=isotopes.xlsx&amp;sheet=Isotopes&amp;row=210&amp;col=4&amp;number=147.9148227&amp;sourceID=21","147.9148227")</f>
        <v>147.9148227</v>
      </c>
      <c r="E210" s="4" t="str">
        <f>HYPERLINK("http://141.218.60.56/~jnz1568/getInfo.php?workbook=isotopes.xlsx&amp;sheet=Isotopes&amp;row=210&amp;col=5&amp;number=2.6e-06&amp;sourceID=21","2.6e-06")</f>
        <v>2.6e-06</v>
      </c>
      <c r="F210" s="4" t="str">
        <f>HYPERLINK("http://141.218.60.56/~jnz1568/getInfo.php?workbook=isotopes.xlsx&amp;sheet=Isotopes&amp;row=210&amp;col=6&amp;number=0.1124&amp;sourceID=21","0.1124")</f>
        <v>0.1124</v>
      </c>
      <c r="G210" s="4" t="str">
        <f>HYPERLINK("http://141.218.60.56/~jnz1568/getInfo.php?workbook=isotopes.xlsx&amp;sheet=Isotopes&amp;row=210&amp;col=7&amp;number=0.001&amp;sourceID=21","0.001")</f>
        <v>0.001</v>
      </c>
    </row>
    <row r="211" spans="1:7">
      <c r="A211" s="3">
        <v>62</v>
      </c>
      <c r="B211" s="3">
        <v>149</v>
      </c>
      <c r="C211" s="3" t="s">
        <v>215</v>
      </c>
      <c r="D211" s="4" t="str">
        <f>HYPERLINK("http://141.218.60.56/~jnz1568/getInfo.php?workbook=isotopes.xlsx&amp;sheet=Isotopes&amp;row=211&amp;col=4&amp;number=148.9171847&amp;sourceID=21","148.9171847")</f>
        <v>148.9171847</v>
      </c>
      <c r="E211" s="4" t="str">
        <f>HYPERLINK("http://141.218.60.56/~jnz1568/getInfo.php?workbook=isotopes.xlsx&amp;sheet=Isotopes&amp;row=211&amp;col=5&amp;number=2.6e-06&amp;sourceID=21","2.6e-06")</f>
        <v>2.6e-06</v>
      </c>
      <c r="F211" s="4" t="str">
        <f>HYPERLINK("http://141.218.60.56/~jnz1568/getInfo.php?workbook=isotopes.xlsx&amp;sheet=Isotopes&amp;row=211&amp;col=6&amp;number=0.1382&amp;sourceID=21","0.1382")</f>
        <v>0.1382</v>
      </c>
      <c r="G211" s="4" t="str">
        <f>HYPERLINK("http://141.218.60.56/~jnz1568/getInfo.php?workbook=isotopes.xlsx&amp;sheet=Isotopes&amp;row=211&amp;col=7&amp;number=0.0007&amp;sourceID=21","0.0007")</f>
        <v>0.0007</v>
      </c>
    </row>
    <row r="212" spans="1:7">
      <c r="A212" s="3">
        <v>62</v>
      </c>
      <c r="B212" s="3">
        <v>150</v>
      </c>
      <c r="C212" s="3" t="s">
        <v>216</v>
      </c>
      <c r="D212" s="4" t="str">
        <f>HYPERLINK("http://141.218.60.56/~jnz1568/getInfo.php?workbook=isotopes.xlsx&amp;sheet=Isotopes&amp;row=212&amp;col=4&amp;number=149.9172755&amp;sourceID=21","149.9172755")</f>
        <v>149.9172755</v>
      </c>
      <c r="E212" s="4" t="str">
        <f>HYPERLINK("http://141.218.60.56/~jnz1568/getInfo.php?workbook=isotopes.xlsx&amp;sheet=Isotopes&amp;row=212&amp;col=5&amp;number=2.6e-06&amp;sourceID=21","2.6e-06")</f>
        <v>2.6e-06</v>
      </c>
      <c r="F212" s="4" t="str">
        <f>HYPERLINK("http://141.218.60.56/~jnz1568/getInfo.php?workbook=isotopes.xlsx&amp;sheet=Isotopes&amp;row=212&amp;col=6&amp;number=0.0738&amp;sourceID=21","0.0738")</f>
        <v>0.0738</v>
      </c>
      <c r="G212" s="4" t="str">
        <f>HYPERLINK("http://141.218.60.56/~jnz1568/getInfo.php?workbook=isotopes.xlsx&amp;sheet=Isotopes&amp;row=212&amp;col=7&amp;number=0.0001&amp;sourceID=21","0.0001")</f>
        <v>0.0001</v>
      </c>
    </row>
    <row r="213" spans="1:7">
      <c r="A213" s="3">
        <v>62</v>
      </c>
      <c r="B213" s="3">
        <v>152</v>
      </c>
      <c r="C213" s="3" t="s">
        <v>217</v>
      </c>
      <c r="D213" s="4" t="str">
        <f>HYPERLINK("http://141.218.60.56/~jnz1568/getInfo.php?workbook=isotopes.xlsx&amp;sheet=Isotopes&amp;row=213&amp;col=4&amp;number=151.9197324&amp;sourceID=21","151.9197324")</f>
        <v>151.9197324</v>
      </c>
      <c r="E213" s="4" t="str">
        <f>HYPERLINK("http://141.218.60.56/~jnz1568/getInfo.php?workbook=isotopes.xlsx&amp;sheet=Isotopes&amp;row=213&amp;col=5&amp;number=2.7e-06&amp;sourceID=21","2.7e-06")</f>
        <v>2.7e-06</v>
      </c>
      <c r="F213" s="4" t="str">
        <f>HYPERLINK("http://141.218.60.56/~jnz1568/getInfo.php?workbook=isotopes.xlsx&amp;sheet=Isotopes&amp;row=213&amp;col=6&amp;number=0.2675&amp;sourceID=21","0.2675")</f>
        <v>0.2675</v>
      </c>
      <c r="G213" s="4" t="str">
        <f>HYPERLINK("http://141.218.60.56/~jnz1568/getInfo.php?workbook=isotopes.xlsx&amp;sheet=Isotopes&amp;row=213&amp;col=7&amp;number=0.0016&amp;sourceID=21","0.0016")</f>
        <v>0.0016</v>
      </c>
    </row>
    <row r="214" spans="1:7">
      <c r="A214" s="3">
        <v>62</v>
      </c>
      <c r="B214" s="3">
        <v>154</v>
      </c>
      <c r="C214" s="3" t="s">
        <v>218</v>
      </c>
      <c r="D214" s="4" t="str">
        <f>HYPERLINK("http://141.218.60.56/~jnz1568/getInfo.php?workbook=isotopes.xlsx&amp;sheet=Isotopes&amp;row=214&amp;col=4&amp;number=153.9222093&amp;sourceID=21","153.9222093")</f>
        <v>153.9222093</v>
      </c>
      <c r="E214" s="4" t="str">
        <f>HYPERLINK("http://141.218.60.56/~jnz1568/getInfo.php?workbook=isotopes.xlsx&amp;sheet=Isotopes&amp;row=214&amp;col=5&amp;number=2.7e-06&amp;sourceID=21","2.7e-06")</f>
        <v>2.7e-06</v>
      </c>
      <c r="F214" s="4" t="str">
        <f>HYPERLINK("http://141.218.60.56/~jnz1568/getInfo.php?workbook=isotopes.xlsx&amp;sheet=Isotopes&amp;row=214&amp;col=6&amp;number=0.2275&amp;sourceID=21","0.2275")</f>
        <v>0.2275</v>
      </c>
      <c r="G214" s="4" t="str">
        <f>HYPERLINK("http://141.218.60.56/~jnz1568/getInfo.php?workbook=isotopes.xlsx&amp;sheet=Isotopes&amp;row=214&amp;col=7&amp;number=0.0029&amp;sourceID=21","0.0029")</f>
        <v>0.0029</v>
      </c>
    </row>
    <row r="215" spans="1:7">
      <c r="A215" s="3">
        <v>63</v>
      </c>
      <c r="B215" s="3">
        <v>151</v>
      </c>
      <c r="C215" s="3" t="s">
        <v>219</v>
      </c>
      <c r="D215" s="4" t="str">
        <f>HYPERLINK("http://141.218.60.56/~jnz1568/getInfo.php?workbook=isotopes.xlsx&amp;sheet=Isotopes&amp;row=215&amp;col=4&amp;number=150.9198502&amp;sourceID=21","150.9198502")</f>
        <v>150.9198502</v>
      </c>
      <c r="E215" s="4" t="str">
        <f>HYPERLINK("http://141.218.60.56/~jnz1568/getInfo.php?workbook=isotopes.xlsx&amp;sheet=Isotopes&amp;row=215&amp;col=5&amp;number=2.6e-06&amp;sourceID=21","2.6e-06")</f>
        <v>2.6e-06</v>
      </c>
      <c r="F215" s="4" t="str">
        <f>HYPERLINK("http://141.218.60.56/~jnz1568/getInfo.php?workbook=isotopes.xlsx&amp;sheet=Isotopes&amp;row=215&amp;col=6&amp;number=0.4781&amp;sourceID=21","0.4781")</f>
        <v>0.4781</v>
      </c>
      <c r="G215" s="4" t="str">
        <f>HYPERLINK("http://141.218.60.56/~jnz1568/getInfo.php?workbook=isotopes.xlsx&amp;sheet=Isotopes&amp;row=215&amp;col=7&amp;number=0.0006&amp;sourceID=21","0.0006")</f>
        <v>0.0006</v>
      </c>
    </row>
    <row r="216" spans="1:7">
      <c r="A216" s="3">
        <v>63</v>
      </c>
      <c r="B216" s="3">
        <v>153</v>
      </c>
      <c r="C216" s="3" t="s">
        <v>220</v>
      </c>
      <c r="D216" s="4" t="str">
        <f>HYPERLINK("http://141.218.60.56/~jnz1568/getInfo.php?workbook=isotopes.xlsx&amp;sheet=Isotopes&amp;row=216&amp;col=4&amp;number=152.9212303&amp;sourceID=21","152.9212303")</f>
        <v>152.9212303</v>
      </c>
      <c r="E216" s="4" t="str">
        <f>HYPERLINK("http://141.218.60.56/~jnz1568/getInfo.php?workbook=isotopes.xlsx&amp;sheet=Isotopes&amp;row=216&amp;col=5&amp;number=2.6e-06&amp;sourceID=21","2.6e-06")</f>
        <v>2.6e-06</v>
      </c>
      <c r="F216" s="4" t="str">
        <f>HYPERLINK("http://141.218.60.56/~jnz1568/getInfo.php?workbook=isotopes.xlsx&amp;sheet=Isotopes&amp;row=216&amp;col=6&amp;number=0.5219&amp;sourceID=21","0.5219")</f>
        <v>0.5219</v>
      </c>
      <c r="G216" s="4" t="str">
        <f>HYPERLINK("http://141.218.60.56/~jnz1568/getInfo.php?workbook=isotopes.xlsx&amp;sheet=Isotopes&amp;row=216&amp;col=7&amp;number=0.0006&amp;sourceID=21","0.0006")</f>
        <v>0.0006</v>
      </c>
    </row>
    <row r="217" spans="1:7">
      <c r="A217" s="3">
        <v>64</v>
      </c>
      <c r="B217" s="3">
        <v>152</v>
      </c>
      <c r="C217" s="3" t="s">
        <v>221</v>
      </c>
      <c r="D217" s="4" t="str">
        <f>HYPERLINK("http://141.218.60.56/~jnz1568/getInfo.php?workbook=isotopes.xlsx&amp;sheet=Isotopes&amp;row=217&amp;col=4&amp;number=151.919791&amp;sourceID=21","151.919791")</f>
        <v>151.919791</v>
      </c>
      <c r="E217" s="4" t="str">
        <f>HYPERLINK("http://141.218.60.56/~jnz1568/getInfo.php?workbook=isotopes.xlsx&amp;sheet=Isotopes&amp;row=217&amp;col=5&amp;number=2.7e-06&amp;sourceID=21","2.7e-06")</f>
        <v>2.7e-06</v>
      </c>
      <c r="F217" s="4" t="str">
        <f>HYPERLINK("http://141.218.60.56/~jnz1568/getInfo.php?workbook=isotopes.xlsx&amp;sheet=Isotopes&amp;row=217&amp;col=6&amp;number=0.002&amp;sourceID=21","0.002")</f>
        <v>0.002</v>
      </c>
      <c r="G217" s="4" t="str">
        <f>HYPERLINK("http://141.218.60.56/~jnz1568/getInfo.php?workbook=isotopes.xlsx&amp;sheet=Isotopes&amp;row=217&amp;col=7&amp;number=0.0001&amp;sourceID=21","0.0001")</f>
        <v>0.0001</v>
      </c>
    </row>
    <row r="218" spans="1:7">
      <c r="A218" s="3">
        <v>64</v>
      </c>
      <c r="B218" s="3">
        <v>154</v>
      </c>
      <c r="C218" s="3" t="s">
        <v>222</v>
      </c>
      <c r="D218" s="4" t="str">
        <f>HYPERLINK("http://141.218.60.56/~jnz1568/getInfo.php?workbook=isotopes.xlsx&amp;sheet=Isotopes&amp;row=218&amp;col=4&amp;number=153.9208656&amp;sourceID=21","153.9208656")</f>
        <v>153.9208656</v>
      </c>
      <c r="E218" s="4" t="str">
        <f>HYPERLINK("http://141.218.60.56/~jnz1568/getInfo.php?workbook=isotopes.xlsx&amp;sheet=Isotopes&amp;row=218&amp;col=5&amp;number=2.7e-06&amp;sourceID=21","2.7e-06")</f>
        <v>2.7e-06</v>
      </c>
      <c r="F218" s="4" t="str">
        <f>HYPERLINK("http://141.218.60.56/~jnz1568/getInfo.php?workbook=isotopes.xlsx&amp;sheet=Isotopes&amp;row=218&amp;col=6&amp;number=0.0218&amp;sourceID=21","0.0218")</f>
        <v>0.0218</v>
      </c>
      <c r="G218" s="4" t="str">
        <f>HYPERLINK("http://141.218.60.56/~jnz1568/getInfo.php?workbook=isotopes.xlsx&amp;sheet=Isotopes&amp;row=218&amp;col=7&amp;number=0.0003&amp;sourceID=21","0.0003")</f>
        <v>0.0003</v>
      </c>
    </row>
    <row r="219" spans="1:7">
      <c r="A219" s="3">
        <v>64</v>
      </c>
      <c r="B219" s="3">
        <v>155</v>
      </c>
      <c r="C219" s="3" t="s">
        <v>223</v>
      </c>
      <c r="D219" s="4" t="str">
        <f>HYPERLINK("http://141.218.60.56/~jnz1568/getInfo.php?workbook=isotopes.xlsx&amp;sheet=Isotopes&amp;row=219&amp;col=4&amp;number=154.922622&amp;sourceID=21","154.922622")</f>
        <v>154.922622</v>
      </c>
      <c r="E219" s="4" t="str">
        <f>HYPERLINK("http://141.218.60.56/~jnz1568/getInfo.php?workbook=isotopes.xlsx&amp;sheet=Isotopes&amp;row=219&amp;col=5&amp;number=2.7e-06&amp;sourceID=21","2.7e-06")</f>
        <v>2.7e-06</v>
      </c>
      <c r="F219" s="4" t="str">
        <f>HYPERLINK("http://141.218.60.56/~jnz1568/getInfo.php?workbook=isotopes.xlsx&amp;sheet=Isotopes&amp;row=219&amp;col=6&amp;number=0.148&amp;sourceID=21","0.148")</f>
        <v>0.148</v>
      </c>
      <c r="G219" s="4" t="str">
        <f>HYPERLINK("http://141.218.60.56/~jnz1568/getInfo.php?workbook=isotopes.xlsx&amp;sheet=Isotopes&amp;row=219&amp;col=7&amp;number=0.0012&amp;sourceID=21","0.0012")</f>
        <v>0.0012</v>
      </c>
    </row>
    <row r="220" spans="1:7">
      <c r="A220" s="3">
        <v>64</v>
      </c>
      <c r="B220" s="3">
        <v>156</v>
      </c>
      <c r="C220" s="3" t="s">
        <v>224</v>
      </c>
      <c r="D220" s="4" t="str">
        <f>HYPERLINK("http://141.218.60.56/~jnz1568/getInfo.php?workbook=isotopes.xlsx&amp;sheet=Isotopes&amp;row=220&amp;col=4&amp;number=155.9221227&amp;sourceID=21","155.9221227")</f>
        <v>155.9221227</v>
      </c>
      <c r="E220" s="4" t="str">
        <f>HYPERLINK("http://141.218.60.56/~jnz1568/getInfo.php?workbook=isotopes.xlsx&amp;sheet=Isotopes&amp;row=220&amp;col=5&amp;number=2.7e-06&amp;sourceID=21","2.7e-06")</f>
        <v>2.7e-06</v>
      </c>
      <c r="F220" s="4" t="str">
        <f>HYPERLINK("http://141.218.60.56/~jnz1568/getInfo.php?workbook=isotopes.xlsx&amp;sheet=Isotopes&amp;row=220&amp;col=6&amp;number=0.2047&amp;sourceID=21","0.2047")</f>
        <v>0.2047</v>
      </c>
      <c r="G220" s="4" t="str">
        <f>HYPERLINK("http://141.218.60.56/~jnz1568/getInfo.php?workbook=isotopes.xlsx&amp;sheet=Isotopes&amp;row=220&amp;col=7&amp;number=0.0009&amp;sourceID=21","0.0009")</f>
        <v>0.0009</v>
      </c>
    </row>
    <row r="221" spans="1:7">
      <c r="A221" s="3">
        <v>64</v>
      </c>
      <c r="B221" s="3">
        <v>157</v>
      </c>
      <c r="C221" s="3" t="s">
        <v>225</v>
      </c>
      <c r="D221" s="4" t="str">
        <f>HYPERLINK("http://141.218.60.56/~jnz1568/getInfo.php?workbook=isotopes.xlsx&amp;sheet=Isotopes&amp;row=221&amp;col=4&amp;number=156.9239601&amp;sourceID=21","156.9239601")</f>
        <v>156.9239601</v>
      </c>
      <c r="E221" s="4" t="str">
        <f>HYPERLINK("http://141.218.60.56/~jnz1568/getInfo.php?workbook=isotopes.xlsx&amp;sheet=Isotopes&amp;row=221&amp;col=5&amp;number=2.7e-06&amp;sourceID=21","2.7e-06")</f>
        <v>2.7e-06</v>
      </c>
      <c r="F221" s="4" t="str">
        <f>HYPERLINK("http://141.218.60.56/~jnz1568/getInfo.php?workbook=isotopes.xlsx&amp;sheet=Isotopes&amp;row=221&amp;col=6&amp;number=0.1565&amp;sourceID=21","0.1565")</f>
        <v>0.1565</v>
      </c>
      <c r="G221" s="4" t="str">
        <f>HYPERLINK("http://141.218.60.56/~jnz1568/getInfo.php?workbook=isotopes.xlsx&amp;sheet=Isotopes&amp;row=221&amp;col=7&amp;number=0.0002&amp;sourceID=21","0.0002")</f>
        <v>0.0002</v>
      </c>
    </row>
    <row r="222" spans="1:7">
      <c r="A222" s="3">
        <v>64</v>
      </c>
      <c r="B222" s="3">
        <v>158</v>
      </c>
      <c r="C222" s="3" t="s">
        <v>226</v>
      </c>
      <c r="D222" s="4" t="str">
        <f>HYPERLINK("http://141.218.60.56/~jnz1568/getInfo.php?workbook=isotopes.xlsx&amp;sheet=Isotopes&amp;row=222&amp;col=4&amp;number=157.9241039&amp;sourceID=21","157.9241039")</f>
        <v>157.9241039</v>
      </c>
      <c r="E222" s="4" t="str">
        <f>HYPERLINK("http://141.218.60.56/~jnz1568/getInfo.php?workbook=isotopes.xlsx&amp;sheet=Isotopes&amp;row=222&amp;col=5&amp;number=2.7e-06&amp;sourceID=21","2.7e-06")</f>
        <v>2.7e-06</v>
      </c>
      <c r="F222" s="4" t="str">
        <f>HYPERLINK("http://141.218.60.56/~jnz1568/getInfo.php?workbook=isotopes.xlsx&amp;sheet=Isotopes&amp;row=222&amp;col=6&amp;number=0.2484&amp;sourceID=21","0.2484")</f>
        <v>0.2484</v>
      </c>
      <c r="G222" s="4" t="str">
        <f>HYPERLINK("http://141.218.60.56/~jnz1568/getInfo.php?workbook=isotopes.xlsx&amp;sheet=Isotopes&amp;row=222&amp;col=7&amp;number=0.0007&amp;sourceID=21","0.0007")</f>
        <v>0.0007</v>
      </c>
    </row>
    <row r="223" spans="1:7">
      <c r="A223" s="3">
        <v>64</v>
      </c>
      <c r="B223" s="3">
        <v>160</v>
      </c>
      <c r="C223" s="3" t="s">
        <v>227</v>
      </c>
      <c r="D223" s="4" t="str">
        <f>HYPERLINK("http://141.218.60.56/~jnz1568/getInfo.php?workbook=isotopes.xlsx&amp;sheet=Isotopes&amp;row=223&amp;col=4&amp;number=159.9270541&amp;sourceID=21","159.9270541")</f>
        <v>159.9270541</v>
      </c>
      <c r="E223" s="4" t="str">
        <f>HYPERLINK("http://141.218.60.56/~jnz1568/getInfo.php?workbook=isotopes.xlsx&amp;sheet=Isotopes&amp;row=223&amp;col=5&amp;number=2.7e-06&amp;sourceID=21","2.7e-06")</f>
        <v>2.7e-06</v>
      </c>
      <c r="F223" s="4" t="str">
        <f>HYPERLINK("http://141.218.60.56/~jnz1568/getInfo.php?workbook=isotopes.xlsx&amp;sheet=Isotopes&amp;row=223&amp;col=6&amp;number=0.2186&amp;sourceID=21","0.2186")</f>
        <v>0.2186</v>
      </c>
      <c r="G223" s="4" t="str">
        <f>HYPERLINK("http://141.218.60.56/~jnz1568/getInfo.php?workbook=isotopes.xlsx&amp;sheet=Isotopes&amp;row=223&amp;col=7&amp;number=0.0019&amp;sourceID=21","0.0019")</f>
        <v>0.0019</v>
      </c>
    </row>
    <row r="224" spans="1:7">
      <c r="A224" s="3">
        <v>65</v>
      </c>
      <c r="B224" s="3">
        <v>159</v>
      </c>
      <c r="C224" s="3" t="s">
        <v>228</v>
      </c>
      <c r="D224" s="4" t="str">
        <f>HYPERLINK("http://141.218.60.56/~jnz1568/getInfo.php?workbook=isotopes.xlsx&amp;sheet=Isotopes&amp;row=224&amp;col=4&amp;number=158.9253468&amp;sourceID=21","158.9253468")</f>
        <v>158.9253468</v>
      </c>
      <c r="E224" s="4" t="str">
        <f>HYPERLINK("http://141.218.60.56/~jnz1568/getInfo.php?workbook=isotopes.xlsx&amp;sheet=Isotopes&amp;row=224&amp;col=5&amp;number=2.7e-06&amp;sourceID=21","2.7e-06")</f>
        <v>2.7e-06</v>
      </c>
      <c r="F224" s="4" t="str">
        <f>HYPERLINK("http://141.218.60.56/~jnz1568/getInfo.php?workbook=isotopes.xlsx&amp;sheet=Isotopes&amp;row=224&amp;col=6&amp;number=1&amp;sourceID=21","1")</f>
        <v>1</v>
      </c>
      <c r="G224" s="4" t="str">
        <f>HYPERLINK("http://141.218.60.56/~jnz1568/getInfo.php?workbook=isotopes.xlsx&amp;sheet=Isotopes&amp;row=224&amp;col=7&amp;number=&amp;sourceID=21","")</f>
        <v/>
      </c>
    </row>
    <row r="225" spans="1:7">
      <c r="A225" s="3">
        <v>66</v>
      </c>
      <c r="B225" s="3">
        <v>156</v>
      </c>
      <c r="C225" s="3" t="s">
        <v>229</v>
      </c>
      <c r="D225" s="4" t="str">
        <f>HYPERLINK("http://141.218.60.56/~jnz1568/getInfo.php?workbook=isotopes.xlsx&amp;sheet=Isotopes&amp;row=225&amp;col=4&amp;number=155.924283&amp;sourceID=21","155.924283")</f>
        <v>155.924283</v>
      </c>
      <c r="E225" s="4" t="str">
        <f>HYPERLINK("http://141.218.60.56/~jnz1568/getInfo.php?workbook=isotopes.xlsx&amp;sheet=Isotopes&amp;row=225&amp;col=5&amp;number=7e-06&amp;sourceID=21","7e-06")</f>
        <v>7e-06</v>
      </c>
      <c r="F225" s="4" t="str">
        <f>HYPERLINK("http://141.218.60.56/~jnz1568/getInfo.php?workbook=isotopes.xlsx&amp;sheet=Isotopes&amp;row=225&amp;col=6&amp;number=0.00056&amp;sourceID=21","0.00056")</f>
        <v>0.00056</v>
      </c>
      <c r="G225" s="4" t="str">
        <f>HYPERLINK("http://141.218.60.56/~jnz1568/getInfo.php?workbook=isotopes.xlsx&amp;sheet=Isotopes&amp;row=225&amp;col=7&amp;number=3e-05&amp;sourceID=21","3e-05")</f>
        <v>3e-05</v>
      </c>
    </row>
    <row r="226" spans="1:7">
      <c r="A226" s="3">
        <v>66</v>
      </c>
      <c r="B226" s="3">
        <v>158</v>
      </c>
      <c r="C226" s="3" t="s">
        <v>230</v>
      </c>
      <c r="D226" s="4" t="str">
        <f>HYPERLINK("http://141.218.60.56/~jnz1568/getInfo.php?workbook=isotopes.xlsx&amp;sheet=Isotopes&amp;row=226&amp;col=4&amp;number=157.924409&amp;sourceID=21","157.924409")</f>
        <v>157.924409</v>
      </c>
      <c r="E226" s="4" t="str">
        <f>HYPERLINK("http://141.218.60.56/~jnz1568/getInfo.php?workbook=isotopes.xlsx&amp;sheet=Isotopes&amp;row=226&amp;col=5&amp;number=4e-06&amp;sourceID=21","4e-06")</f>
        <v>4e-06</v>
      </c>
      <c r="F226" s="4" t="str">
        <f>HYPERLINK("http://141.218.60.56/~jnz1568/getInfo.php?workbook=isotopes.xlsx&amp;sheet=Isotopes&amp;row=226&amp;col=6&amp;number=0.00095&amp;sourceID=21","0.00095")</f>
        <v>0.00095</v>
      </c>
      <c r="G226" s="4" t="str">
        <f>HYPERLINK("http://141.218.60.56/~jnz1568/getInfo.php?workbook=isotopes.xlsx&amp;sheet=Isotopes&amp;row=226&amp;col=7&amp;number=3e-05&amp;sourceID=21","3e-05")</f>
        <v>3e-05</v>
      </c>
    </row>
    <row r="227" spans="1:7">
      <c r="A227" s="3">
        <v>66</v>
      </c>
      <c r="B227" s="3">
        <v>160</v>
      </c>
      <c r="C227" s="3" t="s">
        <v>231</v>
      </c>
      <c r="D227" s="4" t="str">
        <f>HYPERLINK("http://141.218.60.56/~jnz1568/getInfo.php?workbook=isotopes.xlsx&amp;sheet=Isotopes&amp;row=227&amp;col=4&amp;number=159.9251975&amp;sourceID=21","159.9251975")</f>
        <v>159.9251975</v>
      </c>
      <c r="E227" s="4" t="str">
        <f>HYPERLINK("http://141.218.60.56/~jnz1568/getInfo.php?workbook=isotopes.xlsx&amp;sheet=Isotopes&amp;row=227&amp;col=5&amp;number=2.7e-06&amp;sourceID=21","2.7e-06")</f>
        <v>2.7e-06</v>
      </c>
      <c r="F227" s="4" t="str">
        <f>HYPERLINK("http://141.218.60.56/~jnz1568/getInfo.php?workbook=isotopes.xlsx&amp;sheet=Isotopes&amp;row=227&amp;col=6&amp;number=0.02329&amp;sourceID=21","0.02329")</f>
        <v>0.02329</v>
      </c>
      <c r="G227" s="4" t="str">
        <f>HYPERLINK("http://141.218.60.56/~jnz1568/getInfo.php?workbook=isotopes.xlsx&amp;sheet=Isotopes&amp;row=227&amp;col=7&amp;number=0.00018&amp;sourceID=21","0.00018")</f>
        <v>0.00018</v>
      </c>
    </row>
    <row r="228" spans="1:7">
      <c r="A228" s="3">
        <v>66</v>
      </c>
      <c r="B228" s="3">
        <v>161</v>
      </c>
      <c r="C228" s="3" t="s">
        <v>232</v>
      </c>
      <c r="D228" s="4" t="str">
        <f>HYPERLINK("http://141.218.60.56/~jnz1568/getInfo.php?workbook=isotopes.xlsx&amp;sheet=Isotopes&amp;row=228&amp;col=4&amp;number=160.9269334&amp;sourceID=21","160.9269334")</f>
        <v>160.9269334</v>
      </c>
      <c r="E228" s="4" t="str">
        <f>HYPERLINK("http://141.218.60.56/~jnz1568/getInfo.php?workbook=isotopes.xlsx&amp;sheet=Isotopes&amp;row=228&amp;col=5&amp;number=2.7e-06&amp;sourceID=21","2.7e-06")</f>
        <v>2.7e-06</v>
      </c>
      <c r="F228" s="4" t="str">
        <f>HYPERLINK("http://141.218.60.56/~jnz1568/getInfo.php?workbook=isotopes.xlsx&amp;sheet=Isotopes&amp;row=228&amp;col=6&amp;number=0.18889&amp;sourceID=21","0.18889")</f>
        <v>0.18889</v>
      </c>
      <c r="G228" s="4" t="str">
        <f>HYPERLINK("http://141.218.60.56/~jnz1568/getInfo.php?workbook=isotopes.xlsx&amp;sheet=Isotopes&amp;row=228&amp;col=7&amp;number=0.00042&amp;sourceID=21","0.00042")</f>
        <v>0.00042</v>
      </c>
    </row>
    <row r="229" spans="1:7">
      <c r="A229" s="3">
        <v>66</v>
      </c>
      <c r="B229" s="3">
        <v>162</v>
      </c>
      <c r="C229" s="3" t="s">
        <v>233</v>
      </c>
      <c r="D229" s="4" t="str">
        <f>HYPERLINK("http://141.218.60.56/~jnz1568/getInfo.php?workbook=isotopes.xlsx&amp;sheet=Isotopes&amp;row=229&amp;col=4&amp;number=161.9267984&amp;sourceID=21","161.9267984")</f>
        <v>161.9267984</v>
      </c>
      <c r="E229" s="4" t="str">
        <f>HYPERLINK("http://141.218.60.56/~jnz1568/getInfo.php?workbook=isotopes.xlsx&amp;sheet=Isotopes&amp;row=229&amp;col=5&amp;number=2.7e-06&amp;sourceID=21","2.7e-06")</f>
        <v>2.7e-06</v>
      </c>
      <c r="F229" s="4" t="str">
        <f>HYPERLINK("http://141.218.60.56/~jnz1568/getInfo.php?workbook=isotopes.xlsx&amp;sheet=Isotopes&amp;row=229&amp;col=6&amp;number=0.25475&amp;sourceID=21","0.25475")</f>
        <v>0.25475</v>
      </c>
      <c r="G229" s="4" t="str">
        <f>HYPERLINK("http://141.218.60.56/~jnz1568/getInfo.php?workbook=isotopes.xlsx&amp;sheet=Isotopes&amp;row=229&amp;col=7&amp;number=0.00036&amp;sourceID=21","0.00036")</f>
        <v>0.00036</v>
      </c>
    </row>
    <row r="230" spans="1:7">
      <c r="A230" s="3">
        <v>66</v>
      </c>
      <c r="B230" s="3">
        <v>163</v>
      </c>
      <c r="C230" s="3" t="s">
        <v>234</v>
      </c>
      <c r="D230" s="4" t="str">
        <f>HYPERLINK("http://141.218.60.56/~jnz1568/getInfo.php?workbook=isotopes.xlsx&amp;sheet=Isotopes&amp;row=230&amp;col=4&amp;number=162.9287312&amp;sourceID=21","162.9287312")</f>
        <v>162.9287312</v>
      </c>
      <c r="E230" s="4" t="str">
        <f>HYPERLINK("http://141.218.60.56/~jnz1568/getInfo.php?workbook=isotopes.xlsx&amp;sheet=Isotopes&amp;row=230&amp;col=5&amp;number=2.7e-06&amp;sourceID=21","2.7e-06")</f>
        <v>2.7e-06</v>
      </c>
      <c r="F230" s="4" t="str">
        <f>HYPERLINK("http://141.218.60.56/~jnz1568/getInfo.php?workbook=isotopes.xlsx&amp;sheet=Isotopes&amp;row=230&amp;col=6&amp;number=0.24896&amp;sourceID=21","0.24896")</f>
        <v>0.24896</v>
      </c>
      <c r="G230" s="4" t="str">
        <f>HYPERLINK("http://141.218.60.56/~jnz1568/getInfo.php?workbook=isotopes.xlsx&amp;sheet=Isotopes&amp;row=230&amp;col=7&amp;number=0.00042&amp;sourceID=21","0.00042")</f>
        <v>0.00042</v>
      </c>
    </row>
    <row r="231" spans="1:7">
      <c r="A231" s="3">
        <v>66</v>
      </c>
      <c r="B231" s="3">
        <v>164</v>
      </c>
      <c r="C231" s="3" t="s">
        <v>235</v>
      </c>
      <c r="D231" s="4" t="str">
        <f>HYPERLINK("http://141.218.60.56/~jnz1568/getInfo.php?workbook=isotopes.xlsx&amp;sheet=Isotopes&amp;row=231&amp;col=4&amp;number=163.9291748&amp;sourceID=21","163.9291748")</f>
        <v>163.9291748</v>
      </c>
      <c r="E231" s="4" t="str">
        <f>HYPERLINK("http://141.218.60.56/~jnz1568/getInfo.php?workbook=isotopes.xlsx&amp;sheet=Isotopes&amp;row=231&amp;col=5&amp;number=2.7e-06&amp;sourceID=21","2.7e-06")</f>
        <v>2.7e-06</v>
      </c>
      <c r="F231" s="4" t="str">
        <f>HYPERLINK("http://141.218.60.56/~jnz1568/getInfo.php?workbook=isotopes.xlsx&amp;sheet=Isotopes&amp;row=231&amp;col=6&amp;number=0.2826&amp;sourceID=21","0.2826")</f>
        <v>0.2826</v>
      </c>
      <c r="G231" s="4" t="str">
        <f>HYPERLINK("http://141.218.60.56/~jnz1568/getInfo.php?workbook=isotopes.xlsx&amp;sheet=Isotopes&amp;row=231&amp;col=7&amp;number=0.00054&amp;sourceID=21","0.00054")</f>
        <v>0.00054</v>
      </c>
    </row>
    <row r="232" spans="1:7">
      <c r="A232" s="3">
        <v>67</v>
      </c>
      <c r="B232" s="3">
        <v>165</v>
      </c>
      <c r="C232" s="3" t="s">
        <v>236</v>
      </c>
      <c r="D232" s="4" t="str">
        <f>HYPERLINK("http://141.218.60.56/~jnz1568/getInfo.php?workbook=isotopes.xlsx&amp;sheet=Isotopes&amp;row=232&amp;col=4&amp;number=164.9303221&amp;sourceID=21","164.9303221")</f>
        <v>164.9303221</v>
      </c>
      <c r="E232" s="4" t="str">
        <f>HYPERLINK("http://141.218.60.56/~jnz1568/getInfo.php?workbook=isotopes.xlsx&amp;sheet=Isotopes&amp;row=232&amp;col=5&amp;number=2.7e-06&amp;sourceID=21","2.7e-06")</f>
        <v>2.7e-06</v>
      </c>
      <c r="F232" s="4" t="str">
        <f>HYPERLINK("http://141.218.60.56/~jnz1568/getInfo.php?workbook=isotopes.xlsx&amp;sheet=Isotopes&amp;row=232&amp;col=6&amp;number=1&amp;sourceID=21","1")</f>
        <v>1</v>
      </c>
      <c r="G232" s="4" t="str">
        <f>HYPERLINK("http://141.218.60.56/~jnz1568/getInfo.php?workbook=isotopes.xlsx&amp;sheet=Isotopes&amp;row=232&amp;col=7&amp;number=&amp;sourceID=21","")</f>
        <v/>
      </c>
    </row>
    <row r="233" spans="1:7">
      <c r="A233" s="3">
        <v>68</v>
      </c>
      <c r="B233" s="3">
        <v>162</v>
      </c>
      <c r="C233" s="3" t="s">
        <v>237</v>
      </c>
      <c r="D233" s="4" t="str">
        <f>HYPERLINK("http://141.218.60.56/~jnz1568/getInfo.php?workbook=isotopes.xlsx&amp;sheet=Isotopes&amp;row=233&amp;col=4&amp;number=161.928778&amp;sourceID=21","161.928778")</f>
        <v>161.928778</v>
      </c>
      <c r="E233" s="4" t="str">
        <f>HYPERLINK("http://141.218.60.56/~jnz1568/getInfo.php?workbook=isotopes.xlsx&amp;sheet=Isotopes&amp;row=233&amp;col=5&amp;number=4e-06&amp;sourceID=21","4e-06")</f>
        <v>4e-06</v>
      </c>
      <c r="F233" s="4" t="str">
        <f>HYPERLINK("http://141.218.60.56/~jnz1568/getInfo.php?workbook=isotopes.xlsx&amp;sheet=Isotopes&amp;row=233&amp;col=6&amp;number=0.00139&amp;sourceID=21","0.00139")</f>
        <v>0.00139</v>
      </c>
      <c r="G233" s="4" t="str">
        <f>HYPERLINK("http://141.218.60.56/~jnz1568/getInfo.php?workbook=isotopes.xlsx&amp;sheet=Isotopes&amp;row=233&amp;col=7&amp;number=5e-05&amp;sourceID=21","5e-05")</f>
        <v>5e-05</v>
      </c>
    </row>
    <row r="234" spans="1:7">
      <c r="A234" s="3">
        <v>68</v>
      </c>
      <c r="B234" s="3">
        <v>164</v>
      </c>
      <c r="C234" s="3" t="s">
        <v>238</v>
      </c>
      <c r="D234" s="4" t="str">
        <f>HYPERLINK("http://141.218.60.56/~jnz1568/getInfo.php?workbook=isotopes.xlsx&amp;sheet=Isotopes&amp;row=234&amp;col=4&amp;number=163.9292&amp;sourceID=21","163.9292")</f>
        <v>163.9292</v>
      </c>
      <c r="E234" s="4" t="str">
        <f>HYPERLINK("http://141.218.60.56/~jnz1568/getInfo.php?workbook=isotopes.xlsx&amp;sheet=Isotopes&amp;row=234&amp;col=5&amp;number=3e-06&amp;sourceID=21","3e-06")</f>
        <v>3e-06</v>
      </c>
      <c r="F234" s="4" t="str">
        <f>HYPERLINK("http://141.218.60.56/~jnz1568/getInfo.php?workbook=isotopes.xlsx&amp;sheet=Isotopes&amp;row=234&amp;col=6&amp;number=0.01601&amp;sourceID=21","0.01601")</f>
        <v>0.01601</v>
      </c>
      <c r="G234" s="4" t="str">
        <f>HYPERLINK("http://141.218.60.56/~jnz1568/getInfo.php?workbook=isotopes.xlsx&amp;sheet=Isotopes&amp;row=234&amp;col=7&amp;number=3e-05&amp;sourceID=21","3e-05")</f>
        <v>3e-05</v>
      </c>
    </row>
    <row r="235" spans="1:7">
      <c r="A235" s="3">
        <v>68</v>
      </c>
      <c r="B235" s="3">
        <v>166</v>
      </c>
      <c r="C235" s="3" t="s">
        <v>239</v>
      </c>
      <c r="D235" s="4" t="str">
        <f>HYPERLINK("http://141.218.60.56/~jnz1568/getInfo.php?workbook=isotopes.xlsx&amp;sheet=Isotopes&amp;row=235&amp;col=4&amp;number=165.9302931&amp;sourceID=21","165.9302931")</f>
        <v>165.9302931</v>
      </c>
      <c r="E235" s="4" t="str">
        <f>HYPERLINK("http://141.218.60.56/~jnz1568/getInfo.php?workbook=isotopes.xlsx&amp;sheet=Isotopes&amp;row=235&amp;col=5&amp;number=2.7e-06&amp;sourceID=21","2.7e-06")</f>
        <v>2.7e-06</v>
      </c>
      <c r="F235" s="4" t="str">
        <f>HYPERLINK("http://141.218.60.56/~jnz1568/getInfo.php?workbook=isotopes.xlsx&amp;sheet=Isotopes&amp;row=235&amp;col=6&amp;number=0.33503&amp;sourceID=21","0.33503")</f>
        <v>0.33503</v>
      </c>
      <c r="G235" s="4" t="str">
        <f>HYPERLINK("http://141.218.60.56/~jnz1568/getInfo.php?workbook=isotopes.xlsx&amp;sheet=Isotopes&amp;row=235&amp;col=7&amp;number=0.00036&amp;sourceID=21","0.00036")</f>
        <v>0.00036</v>
      </c>
    </row>
    <row r="236" spans="1:7">
      <c r="A236" s="3">
        <v>68</v>
      </c>
      <c r="B236" s="3">
        <v>167</v>
      </c>
      <c r="C236" s="3" t="s">
        <v>240</v>
      </c>
      <c r="D236" s="4" t="str">
        <f>HYPERLINK("http://141.218.60.56/~jnz1568/getInfo.php?workbook=isotopes.xlsx&amp;sheet=Isotopes&amp;row=236&amp;col=4&amp;number=166.9320482&amp;sourceID=21","166.9320482")</f>
        <v>166.9320482</v>
      </c>
      <c r="E236" s="4" t="str">
        <f>HYPERLINK("http://141.218.60.56/~jnz1568/getInfo.php?workbook=isotopes.xlsx&amp;sheet=Isotopes&amp;row=236&amp;col=5&amp;number=2.7e-06&amp;sourceID=21","2.7e-06")</f>
        <v>2.7e-06</v>
      </c>
      <c r="F236" s="4" t="str">
        <f>HYPERLINK("http://141.218.60.56/~jnz1568/getInfo.php?workbook=isotopes.xlsx&amp;sheet=Isotopes&amp;row=236&amp;col=6&amp;number=0.22869&amp;sourceID=21","0.22869")</f>
        <v>0.22869</v>
      </c>
      <c r="G236" s="4" t="str">
        <f>HYPERLINK("http://141.218.60.56/~jnz1568/getInfo.php?workbook=isotopes.xlsx&amp;sheet=Isotopes&amp;row=236&amp;col=7&amp;number=9e-05&amp;sourceID=21","9e-05")</f>
        <v>9e-05</v>
      </c>
    </row>
    <row r="237" spans="1:7">
      <c r="A237" s="3">
        <v>68</v>
      </c>
      <c r="B237" s="3">
        <v>168</v>
      </c>
      <c r="C237" s="3" t="s">
        <v>241</v>
      </c>
      <c r="D237" s="4" t="str">
        <f>HYPERLINK("http://141.218.60.56/~jnz1568/getInfo.php?workbook=isotopes.xlsx&amp;sheet=Isotopes&amp;row=237&amp;col=4&amp;number=167.9323702&amp;sourceID=21","167.9323702")</f>
        <v>167.9323702</v>
      </c>
      <c r="E237" s="4" t="str">
        <f>HYPERLINK("http://141.218.60.56/~jnz1568/getInfo.php?workbook=isotopes.xlsx&amp;sheet=Isotopes&amp;row=237&amp;col=5&amp;number=2.7e-06&amp;sourceID=21","2.7e-06")</f>
        <v>2.7e-06</v>
      </c>
      <c r="F237" s="4" t="str">
        <f>HYPERLINK("http://141.218.60.56/~jnz1568/getInfo.php?workbook=isotopes.xlsx&amp;sheet=Isotopes&amp;row=237&amp;col=6&amp;number=0.26978&amp;sourceID=21","0.26978")</f>
        <v>0.26978</v>
      </c>
      <c r="G237" s="4" t="str">
        <f>HYPERLINK("http://141.218.60.56/~jnz1568/getInfo.php?workbook=isotopes.xlsx&amp;sheet=Isotopes&amp;row=237&amp;col=7&amp;number=0.00018&amp;sourceID=21","0.00018")</f>
        <v>0.00018</v>
      </c>
    </row>
    <row r="238" spans="1:7">
      <c r="A238" s="3">
        <v>68</v>
      </c>
      <c r="B238" s="3">
        <v>170</v>
      </c>
      <c r="C238" s="3" t="s">
        <v>242</v>
      </c>
      <c r="D238" s="4" t="str">
        <f>HYPERLINK("http://141.218.60.56/~jnz1568/getInfo.php?workbook=isotopes.xlsx&amp;sheet=Isotopes&amp;row=238&amp;col=4&amp;number=169.9354643&amp;sourceID=21","169.9354643")</f>
        <v>169.9354643</v>
      </c>
      <c r="E238" s="4" t="str">
        <f>HYPERLINK("http://141.218.60.56/~jnz1568/getInfo.php?workbook=isotopes.xlsx&amp;sheet=Isotopes&amp;row=238&amp;col=5&amp;number=3e-06&amp;sourceID=21","3e-06")</f>
        <v>3e-06</v>
      </c>
      <c r="F238" s="4" t="str">
        <f>HYPERLINK("http://141.218.60.56/~jnz1568/getInfo.php?workbook=isotopes.xlsx&amp;sheet=Isotopes&amp;row=238&amp;col=6&amp;number=0.1491&amp;sourceID=21","0.1491")</f>
        <v>0.1491</v>
      </c>
      <c r="G238" s="4" t="str">
        <f>HYPERLINK("http://141.218.60.56/~jnz1568/getInfo.php?workbook=isotopes.xlsx&amp;sheet=Isotopes&amp;row=238&amp;col=7&amp;number=0.00036&amp;sourceID=21","0.00036")</f>
        <v>0.00036</v>
      </c>
    </row>
    <row r="239" spans="1:7">
      <c r="A239" s="3">
        <v>69</v>
      </c>
      <c r="B239" s="3">
        <v>169</v>
      </c>
      <c r="C239" s="3" t="s">
        <v>243</v>
      </c>
      <c r="D239" s="4" t="str">
        <f>HYPERLINK("http://141.218.60.56/~jnz1568/getInfo.php?workbook=isotopes.xlsx&amp;sheet=Isotopes&amp;row=239&amp;col=4&amp;number=168.9342133&amp;sourceID=21","168.9342133")</f>
        <v>168.9342133</v>
      </c>
      <c r="E239" s="4" t="str">
        <f>HYPERLINK("http://141.218.60.56/~jnz1568/getInfo.php?workbook=isotopes.xlsx&amp;sheet=Isotopes&amp;row=239&amp;col=5&amp;number=2.7e-06&amp;sourceID=21","2.7e-06")</f>
        <v>2.7e-06</v>
      </c>
      <c r="F239" s="4" t="str">
        <f>HYPERLINK("http://141.218.60.56/~jnz1568/getInfo.php?workbook=isotopes.xlsx&amp;sheet=Isotopes&amp;row=239&amp;col=6&amp;number=1&amp;sourceID=21","1")</f>
        <v>1</v>
      </c>
      <c r="G239" s="4" t="str">
        <f>HYPERLINK("http://141.218.60.56/~jnz1568/getInfo.php?workbook=isotopes.xlsx&amp;sheet=Isotopes&amp;row=239&amp;col=7&amp;number=&amp;sourceID=21","")</f>
        <v/>
      </c>
    </row>
    <row r="240" spans="1:7">
      <c r="A240" s="3">
        <v>70</v>
      </c>
      <c r="B240" s="3">
        <v>168</v>
      </c>
      <c r="C240" s="3" t="s">
        <v>244</v>
      </c>
      <c r="D240" s="4" t="str">
        <f>HYPERLINK("http://141.218.60.56/~jnz1568/getInfo.php?workbook=isotopes.xlsx&amp;sheet=Isotopes&amp;row=240&amp;col=4&amp;number=167.933897&amp;sourceID=21","167.933897")</f>
        <v>167.933897</v>
      </c>
      <c r="E240" s="4" t="str">
        <f>HYPERLINK("http://141.218.60.56/~jnz1568/getInfo.php?workbook=isotopes.xlsx&amp;sheet=Isotopes&amp;row=240&amp;col=5&amp;number=5e-06&amp;sourceID=21","5e-06")</f>
        <v>5e-06</v>
      </c>
      <c r="F240" s="4" t="str">
        <f>HYPERLINK("http://141.218.60.56/~jnz1568/getInfo.php?workbook=isotopes.xlsx&amp;sheet=Isotopes&amp;row=240&amp;col=6&amp;number=0.0013&amp;sourceID=21","0.0013")</f>
        <v>0.0013</v>
      </c>
      <c r="G240" s="4" t="str">
        <f>HYPERLINK("http://141.218.60.56/~jnz1568/getInfo.php?workbook=isotopes.xlsx&amp;sheet=Isotopes&amp;row=240&amp;col=7&amp;number=0.0001&amp;sourceID=21","0.0001")</f>
        <v>0.0001</v>
      </c>
    </row>
    <row r="241" spans="1:7">
      <c r="A241" s="3">
        <v>70</v>
      </c>
      <c r="B241" s="3">
        <v>170</v>
      </c>
      <c r="C241" s="3" t="s">
        <v>245</v>
      </c>
      <c r="D241" s="4" t="str">
        <f>HYPERLINK("http://141.218.60.56/~jnz1568/getInfo.php?workbook=isotopes.xlsx&amp;sheet=Isotopes&amp;row=241&amp;col=4&amp;number=169.9347618&amp;sourceID=21","169.9347618")</f>
        <v>169.9347618</v>
      </c>
      <c r="E241" s="4" t="str">
        <f>HYPERLINK("http://141.218.60.56/~jnz1568/getInfo.php?workbook=isotopes.xlsx&amp;sheet=Isotopes&amp;row=241&amp;col=5&amp;number=2.6e-06&amp;sourceID=21","2.6e-06")</f>
        <v>2.6e-06</v>
      </c>
      <c r="F241" s="4" t="str">
        <f>HYPERLINK("http://141.218.60.56/~jnz1568/getInfo.php?workbook=isotopes.xlsx&amp;sheet=Isotopes&amp;row=241&amp;col=6&amp;number=0.0304&amp;sourceID=21","0.0304")</f>
        <v>0.0304</v>
      </c>
      <c r="G241" s="4" t="str">
        <f>HYPERLINK("http://141.218.60.56/~jnz1568/getInfo.php?workbook=isotopes.xlsx&amp;sheet=Isotopes&amp;row=241&amp;col=7&amp;number=0.0015&amp;sourceID=21","0.0015")</f>
        <v>0.0015</v>
      </c>
    </row>
    <row r="242" spans="1:7">
      <c r="A242" s="3">
        <v>70</v>
      </c>
      <c r="B242" s="3">
        <v>171</v>
      </c>
      <c r="C242" s="3" t="s">
        <v>246</v>
      </c>
      <c r="D242" s="4" t="str">
        <f>HYPERLINK("http://141.218.60.56/~jnz1568/getInfo.php?workbook=isotopes.xlsx&amp;sheet=Isotopes&amp;row=242&amp;col=4&amp;number=170.9363258&amp;sourceID=21","170.9363258")</f>
        <v>170.9363258</v>
      </c>
      <c r="E242" s="4" t="str">
        <f>HYPERLINK("http://141.218.60.56/~jnz1568/getInfo.php?workbook=isotopes.xlsx&amp;sheet=Isotopes&amp;row=242&amp;col=5&amp;number=2.6e-06&amp;sourceID=21","2.6e-06")</f>
        <v>2.6e-06</v>
      </c>
      <c r="F242" s="4" t="str">
        <f>HYPERLINK("http://141.218.60.56/~jnz1568/getInfo.php?workbook=isotopes.xlsx&amp;sheet=Isotopes&amp;row=242&amp;col=6&amp;number=0.1428&amp;sourceID=21","0.1428")</f>
        <v>0.1428</v>
      </c>
      <c r="G242" s="4" t="str">
        <f>HYPERLINK("http://141.218.60.56/~jnz1568/getInfo.php?workbook=isotopes.xlsx&amp;sheet=Isotopes&amp;row=242&amp;col=7&amp;number=0.0057&amp;sourceID=21","0.0057")</f>
        <v>0.0057</v>
      </c>
    </row>
    <row r="243" spans="1:7">
      <c r="A243" s="3">
        <v>70</v>
      </c>
      <c r="B243" s="3">
        <v>172</v>
      </c>
      <c r="C243" s="3" t="s">
        <v>247</v>
      </c>
      <c r="D243" s="4" t="str">
        <f>HYPERLINK("http://141.218.60.56/~jnz1568/getInfo.php?workbook=isotopes.xlsx&amp;sheet=Isotopes&amp;row=243&amp;col=4&amp;number=171.9363815&amp;sourceID=21","171.9363815")</f>
        <v>171.9363815</v>
      </c>
      <c r="E243" s="4" t="str">
        <f>HYPERLINK("http://141.218.60.56/~jnz1568/getInfo.php?workbook=isotopes.xlsx&amp;sheet=Isotopes&amp;row=243&amp;col=5&amp;number=2.6e-06&amp;sourceID=21","2.6e-06")</f>
        <v>2.6e-06</v>
      </c>
      <c r="F243" s="4" t="str">
        <f>HYPERLINK("http://141.218.60.56/~jnz1568/getInfo.php?workbook=isotopes.xlsx&amp;sheet=Isotopes&amp;row=243&amp;col=6&amp;number=0.2183&amp;sourceID=21","0.2183")</f>
        <v>0.2183</v>
      </c>
      <c r="G243" s="4" t="str">
        <f>HYPERLINK("http://141.218.60.56/~jnz1568/getInfo.php?workbook=isotopes.xlsx&amp;sheet=Isotopes&amp;row=243&amp;col=7&amp;number=0.0067&amp;sourceID=21","0.0067")</f>
        <v>0.0067</v>
      </c>
    </row>
    <row r="244" spans="1:7">
      <c r="A244" s="3">
        <v>70</v>
      </c>
      <c r="B244" s="3">
        <v>173</v>
      </c>
      <c r="C244" s="3" t="s">
        <v>248</v>
      </c>
      <c r="D244" s="4" t="str">
        <f>HYPERLINK("http://141.218.60.56/~jnz1568/getInfo.php?workbook=isotopes.xlsx&amp;sheet=Isotopes&amp;row=244&amp;col=4&amp;number=172.9382108&amp;sourceID=21","172.9382108")</f>
        <v>172.9382108</v>
      </c>
      <c r="E244" s="4" t="str">
        <f>HYPERLINK("http://141.218.60.56/~jnz1568/getInfo.php?workbook=isotopes.xlsx&amp;sheet=Isotopes&amp;row=244&amp;col=5&amp;number=2.6e-06&amp;sourceID=21","2.6e-06")</f>
        <v>2.6e-06</v>
      </c>
      <c r="F244" s="4" t="str">
        <f>HYPERLINK("http://141.218.60.56/~jnz1568/getInfo.php?workbook=isotopes.xlsx&amp;sheet=Isotopes&amp;row=244&amp;col=6&amp;number=0.1613&amp;sourceID=21","0.1613")</f>
        <v>0.1613</v>
      </c>
      <c r="G244" s="4" t="str">
        <f>HYPERLINK("http://141.218.60.56/~jnz1568/getInfo.php?workbook=isotopes.xlsx&amp;sheet=Isotopes&amp;row=244&amp;col=7&amp;number=0.0027&amp;sourceID=21","0.0027")</f>
        <v>0.0027</v>
      </c>
    </row>
    <row r="245" spans="1:7">
      <c r="A245" s="3">
        <v>70</v>
      </c>
      <c r="B245" s="3">
        <v>174</v>
      </c>
      <c r="C245" s="3" t="s">
        <v>249</v>
      </c>
      <c r="D245" s="4" t="str">
        <f>HYPERLINK("http://141.218.60.56/~jnz1568/getInfo.php?workbook=isotopes.xlsx&amp;sheet=Isotopes&amp;row=245&amp;col=4&amp;number=173.9388621&amp;sourceID=21","173.9388621")</f>
        <v>173.9388621</v>
      </c>
      <c r="E245" s="4" t="str">
        <f>HYPERLINK("http://141.218.60.56/~jnz1568/getInfo.php?workbook=isotopes.xlsx&amp;sheet=Isotopes&amp;row=245&amp;col=5&amp;number=2.6e-06&amp;sourceID=21","2.6e-06")</f>
        <v>2.6e-06</v>
      </c>
      <c r="F245" s="4" t="str">
        <f>HYPERLINK("http://141.218.60.56/~jnz1568/getInfo.php?workbook=isotopes.xlsx&amp;sheet=Isotopes&amp;row=245&amp;col=6&amp;number=0.3183&amp;sourceID=21","0.3183")</f>
        <v>0.3183</v>
      </c>
      <c r="G245" s="4" t="str">
        <f>HYPERLINK("http://141.218.60.56/~jnz1568/getInfo.php?workbook=isotopes.xlsx&amp;sheet=Isotopes&amp;row=245&amp;col=7&amp;number=0.0092&amp;sourceID=21","0.0092")</f>
        <v>0.0092</v>
      </c>
    </row>
    <row r="246" spans="1:7">
      <c r="A246" s="3">
        <v>70</v>
      </c>
      <c r="B246" s="3">
        <v>176</v>
      </c>
      <c r="C246" s="3" t="s">
        <v>250</v>
      </c>
      <c r="D246" s="4" t="str">
        <f>HYPERLINK("http://141.218.60.56/~jnz1568/getInfo.php?workbook=isotopes.xlsx&amp;sheet=Isotopes&amp;row=246&amp;col=4&amp;number=175.9425717&amp;sourceID=21","175.9425717")</f>
        <v>175.9425717</v>
      </c>
      <c r="E246" s="4" t="str">
        <f>HYPERLINK("http://141.218.60.56/~jnz1568/getInfo.php?workbook=isotopes.xlsx&amp;sheet=Isotopes&amp;row=246&amp;col=5&amp;number=2.8e-06&amp;sourceID=21","2.8e-06")</f>
        <v>2.8e-06</v>
      </c>
      <c r="F246" s="4" t="str">
        <f>HYPERLINK("http://141.218.60.56/~jnz1568/getInfo.php?workbook=isotopes.xlsx&amp;sheet=Isotopes&amp;row=246&amp;col=6&amp;number=0.1276&amp;sourceID=21","0.1276")</f>
        <v>0.1276</v>
      </c>
      <c r="G246" s="4" t="str">
        <f>HYPERLINK("http://141.218.60.56/~jnz1568/getInfo.php?workbook=isotopes.xlsx&amp;sheet=Isotopes&amp;row=246&amp;col=7&amp;number=0.0041&amp;sourceID=21","0.0041")</f>
        <v>0.0041</v>
      </c>
    </row>
    <row r="247" spans="1:7">
      <c r="A247" s="3">
        <v>71</v>
      </c>
      <c r="B247" s="3">
        <v>175</v>
      </c>
      <c r="C247" s="3" t="s">
        <v>251</v>
      </c>
      <c r="D247" s="4" t="str">
        <f>HYPERLINK("http://141.218.60.56/~jnz1568/getInfo.php?workbook=isotopes.xlsx&amp;sheet=Isotopes&amp;row=247&amp;col=4&amp;number=174.9407718&amp;sourceID=21","174.9407718")</f>
        <v>174.9407718</v>
      </c>
      <c r="E247" s="4" t="str">
        <f>HYPERLINK("http://141.218.60.56/~jnz1568/getInfo.php?workbook=isotopes.xlsx&amp;sheet=Isotopes&amp;row=247&amp;col=5&amp;number=2.3e-06&amp;sourceID=21","2.3e-06")</f>
        <v>2.3e-06</v>
      </c>
      <c r="F247" s="4" t="str">
        <f>HYPERLINK("http://141.218.60.56/~jnz1568/getInfo.php?workbook=isotopes.xlsx&amp;sheet=Isotopes&amp;row=247&amp;col=6&amp;number=0.9741&amp;sourceID=21","0.9741")</f>
        <v>0.9741</v>
      </c>
      <c r="G247" s="4" t="str">
        <f>HYPERLINK("http://141.218.60.56/~jnz1568/getInfo.php?workbook=isotopes.xlsx&amp;sheet=Isotopes&amp;row=247&amp;col=7&amp;number=0.0002&amp;sourceID=21","0.0002")</f>
        <v>0.0002</v>
      </c>
    </row>
    <row r="248" spans="1:7">
      <c r="A248" s="3">
        <v>71</v>
      </c>
      <c r="B248" s="3">
        <v>176</v>
      </c>
      <c r="C248" s="3" t="s">
        <v>252</v>
      </c>
      <c r="D248" s="4" t="str">
        <f>HYPERLINK("http://141.218.60.56/~jnz1568/getInfo.php?workbook=isotopes.xlsx&amp;sheet=Isotopes&amp;row=248&amp;col=4&amp;number=175.9426863&amp;sourceID=21","175.9426863")</f>
        <v>175.9426863</v>
      </c>
      <c r="E248" s="4" t="str">
        <f>HYPERLINK("http://141.218.60.56/~jnz1568/getInfo.php?workbook=isotopes.xlsx&amp;sheet=Isotopes&amp;row=248&amp;col=5&amp;number=2.3e-06&amp;sourceID=21","2.3e-06")</f>
        <v>2.3e-06</v>
      </c>
      <c r="F248" s="4" t="str">
        <f>HYPERLINK("http://141.218.60.56/~jnz1568/getInfo.php?workbook=isotopes.xlsx&amp;sheet=Isotopes&amp;row=248&amp;col=6&amp;number=0.0259&amp;sourceID=21","0.0259")</f>
        <v>0.0259</v>
      </c>
      <c r="G248" s="4" t="str">
        <f>HYPERLINK("http://141.218.60.56/~jnz1568/getInfo.php?workbook=isotopes.xlsx&amp;sheet=Isotopes&amp;row=248&amp;col=7&amp;number=0.0002&amp;sourceID=21","0.0002")</f>
        <v>0.0002</v>
      </c>
    </row>
    <row r="249" spans="1:7">
      <c r="A249" s="3">
        <v>72</v>
      </c>
      <c r="B249" s="3">
        <v>174</v>
      </c>
      <c r="C249" s="3" t="s">
        <v>253</v>
      </c>
      <c r="D249" s="4" t="str">
        <f>HYPERLINK("http://141.218.60.56/~jnz1568/getInfo.php?workbook=isotopes.xlsx&amp;sheet=Isotopes&amp;row=249&amp;col=4&amp;number=173.940046&amp;sourceID=21","173.940046")</f>
        <v>173.940046</v>
      </c>
      <c r="E249" s="4" t="str">
        <f>HYPERLINK("http://141.218.60.56/~jnz1568/getInfo.php?workbook=isotopes.xlsx&amp;sheet=Isotopes&amp;row=249&amp;col=5&amp;number=3e-06&amp;sourceID=21","3e-06")</f>
        <v>3e-06</v>
      </c>
      <c r="F249" s="4" t="str">
        <f>HYPERLINK("http://141.218.60.56/~jnz1568/getInfo.php?workbook=isotopes.xlsx&amp;sheet=Isotopes&amp;row=249&amp;col=6&amp;number=0.0016&amp;sourceID=21","0.0016")</f>
        <v>0.0016</v>
      </c>
      <c r="G249" s="4" t="str">
        <f>HYPERLINK("http://141.218.60.56/~jnz1568/getInfo.php?workbook=isotopes.xlsx&amp;sheet=Isotopes&amp;row=249&amp;col=7&amp;number=0.0001&amp;sourceID=21","0.0001")</f>
        <v>0.0001</v>
      </c>
    </row>
    <row r="250" spans="1:7">
      <c r="A250" s="3">
        <v>72</v>
      </c>
      <c r="B250" s="3">
        <v>176</v>
      </c>
      <c r="C250" s="3" t="s">
        <v>254</v>
      </c>
      <c r="D250" s="4" t="str">
        <f>HYPERLINK("http://141.218.60.56/~jnz1568/getInfo.php?workbook=isotopes.xlsx&amp;sheet=Isotopes&amp;row=250&amp;col=4&amp;number=175.9414086&amp;sourceID=21","175.9414086")</f>
        <v>175.9414086</v>
      </c>
      <c r="E250" s="4" t="str">
        <f>HYPERLINK("http://141.218.60.56/~jnz1568/getInfo.php?workbook=isotopes.xlsx&amp;sheet=Isotopes&amp;row=250&amp;col=5&amp;number=2.4e-06&amp;sourceID=21","2.4e-06")</f>
        <v>2.4e-06</v>
      </c>
      <c r="F250" s="4" t="str">
        <f>HYPERLINK("http://141.218.60.56/~jnz1568/getInfo.php?workbook=isotopes.xlsx&amp;sheet=Isotopes&amp;row=250&amp;col=6&amp;number=0.0526&amp;sourceID=21","0.0526")</f>
        <v>0.0526</v>
      </c>
      <c r="G250" s="4" t="str">
        <f>HYPERLINK("http://141.218.60.56/~jnz1568/getInfo.php?workbook=isotopes.xlsx&amp;sheet=Isotopes&amp;row=250&amp;col=7&amp;number=0.0007&amp;sourceID=21","0.0007")</f>
        <v>0.0007</v>
      </c>
    </row>
    <row r="251" spans="1:7">
      <c r="A251" s="3">
        <v>72</v>
      </c>
      <c r="B251" s="3">
        <v>177</v>
      </c>
      <c r="C251" s="3" t="s">
        <v>255</v>
      </c>
      <c r="D251" s="4" t="str">
        <f>HYPERLINK("http://141.218.60.56/~jnz1568/getInfo.php?workbook=isotopes.xlsx&amp;sheet=Isotopes&amp;row=251&amp;col=4&amp;number=176.9432207&amp;sourceID=21","176.9432207")</f>
        <v>176.9432207</v>
      </c>
      <c r="E251" s="4" t="str">
        <f>HYPERLINK("http://141.218.60.56/~jnz1568/getInfo.php?workbook=isotopes.xlsx&amp;sheet=Isotopes&amp;row=251&amp;col=5&amp;number=2.3e-06&amp;sourceID=21","2.3e-06")</f>
        <v>2.3e-06</v>
      </c>
      <c r="F251" s="4" t="str">
        <f>HYPERLINK("http://141.218.60.56/~jnz1568/getInfo.php?workbook=isotopes.xlsx&amp;sheet=Isotopes&amp;row=251&amp;col=6&amp;number=0.186&amp;sourceID=21","0.186")</f>
        <v>0.186</v>
      </c>
      <c r="G251" s="4" t="str">
        <f>HYPERLINK("http://141.218.60.56/~jnz1568/getInfo.php?workbook=isotopes.xlsx&amp;sheet=Isotopes&amp;row=251&amp;col=7&amp;number=0.0009&amp;sourceID=21","0.0009")</f>
        <v>0.0009</v>
      </c>
    </row>
    <row r="252" spans="1:7">
      <c r="A252" s="3">
        <v>72</v>
      </c>
      <c r="B252" s="3">
        <v>178</v>
      </c>
      <c r="C252" s="3" t="s">
        <v>256</v>
      </c>
      <c r="D252" s="4" t="str">
        <f>HYPERLINK("http://141.218.60.56/~jnz1568/getInfo.php?workbook=isotopes.xlsx&amp;sheet=Isotopes&amp;row=252&amp;col=4&amp;number=177.9436988&amp;sourceID=21","177.9436988")</f>
        <v>177.9436988</v>
      </c>
      <c r="E252" s="4" t="str">
        <f>HYPERLINK("http://141.218.60.56/~jnz1568/getInfo.php?workbook=isotopes.xlsx&amp;sheet=Isotopes&amp;row=252&amp;col=5&amp;number=2.3e-06&amp;sourceID=21","2.3e-06")</f>
        <v>2.3e-06</v>
      </c>
      <c r="F252" s="4" t="str">
        <f>HYPERLINK("http://141.218.60.56/~jnz1568/getInfo.php?workbook=isotopes.xlsx&amp;sheet=Isotopes&amp;row=252&amp;col=6&amp;number=0.2728&amp;sourceID=21","0.2728")</f>
        <v>0.2728</v>
      </c>
      <c r="G252" s="4" t="str">
        <f>HYPERLINK("http://141.218.60.56/~jnz1568/getInfo.php?workbook=isotopes.xlsx&amp;sheet=Isotopes&amp;row=252&amp;col=7&amp;number=0.0007&amp;sourceID=21","0.0007")</f>
        <v>0.0007</v>
      </c>
    </row>
    <row r="253" spans="1:7">
      <c r="A253" s="3">
        <v>72</v>
      </c>
      <c r="B253" s="3">
        <v>179</v>
      </c>
      <c r="C253" s="3" t="s">
        <v>257</v>
      </c>
      <c r="D253" s="4" t="str">
        <f>HYPERLINK("http://141.218.60.56/~jnz1568/getInfo.php?workbook=isotopes.xlsx&amp;sheet=Isotopes&amp;row=253&amp;col=4&amp;number=178.9458161&amp;sourceID=21","178.9458161")</f>
        <v>178.9458161</v>
      </c>
      <c r="E253" s="4" t="str">
        <f>HYPERLINK("http://141.218.60.56/~jnz1568/getInfo.php?workbook=isotopes.xlsx&amp;sheet=Isotopes&amp;row=253&amp;col=5&amp;number=2.3e-06&amp;sourceID=21","2.3e-06")</f>
        <v>2.3e-06</v>
      </c>
      <c r="F253" s="4" t="str">
        <f>HYPERLINK("http://141.218.60.56/~jnz1568/getInfo.php?workbook=isotopes.xlsx&amp;sheet=Isotopes&amp;row=253&amp;col=6&amp;number=0.1362&amp;sourceID=21","0.1362")</f>
        <v>0.1362</v>
      </c>
      <c r="G253" s="4" t="str">
        <f>HYPERLINK("http://141.218.60.56/~jnz1568/getInfo.php?workbook=isotopes.xlsx&amp;sheet=Isotopes&amp;row=253&amp;col=7&amp;number=0.0002&amp;sourceID=21","0.0002")</f>
        <v>0.0002</v>
      </c>
    </row>
    <row r="254" spans="1:7">
      <c r="A254" s="3">
        <v>72</v>
      </c>
      <c r="B254" s="3">
        <v>180</v>
      </c>
      <c r="C254" s="3" t="s">
        <v>258</v>
      </c>
      <c r="D254" s="4" t="str">
        <f>HYPERLINK("http://141.218.60.56/~jnz1568/getInfo.php?workbook=isotopes.xlsx&amp;sheet=Isotopes&amp;row=254&amp;col=4&amp;number=179.94655&amp;sourceID=21","179.94655")</f>
        <v>179.94655</v>
      </c>
      <c r="E254" s="4" t="str">
        <f>HYPERLINK("http://141.218.60.56/~jnz1568/getInfo.php?workbook=isotopes.xlsx&amp;sheet=Isotopes&amp;row=254&amp;col=5&amp;number=2.3e-06&amp;sourceID=21","2.3e-06")</f>
        <v>2.3e-06</v>
      </c>
      <c r="F254" s="4" t="str">
        <f>HYPERLINK("http://141.218.60.56/~jnz1568/getInfo.php?workbook=isotopes.xlsx&amp;sheet=Isotopes&amp;row=254&amp;col=6&amp;number=0.3508&amp;sourceID=21","0.3508")</f>
        <v>0.3508</v>
      </c>
      <c r="G254" s="4" t="str">
        <f>HYPERLINK("http://141.218.60.56/~jnz1568/getInfo.php?workbook=isotopes.xlsx&amp;sheet=Isotopes&amp;row=254&amp;col=7&amp;number=0.0016&amp;sourceID=21","0.0016")</f>
        <v>0.0016</v>
      </c>
    </row>
    <row r="255" spans="1:7">
      <c r="A255" s="3">
        <v>73</v>
      </c>
      <c r="B255" s="3">
        <v>180</v>
      </c>
      <c r="C255" s="3" t="s">
        <v>259</v>
      </c>
      <c r="D255" s="4" t="str">
        <f>HYPERLINK("http://141.218.60.56/~jnz1568/getInfo.php?workbook=isotopes.xlsx&amp;sheet=Isotopes&amp;row=255&amp;col=4&amp;number=179.9474648&amp;sourceID=21","179.9474648")</f>
        <v>179.9474648</v>
      </c>
      <c r="E255" s="4" t="str">
        <f>HYPERLINK("http://141.218.60.56/~jnz1568/getInfo.php?workbook=isotopes.xlsx&amp;sheet=Isotopes&amp;row=255&amp;col=5&amp;number=2.4e-06&amp;sourceID=21","2.4e-06")</f>
        <v>2.4e-06</v>
      </c>
      <c r="F255" s="4" t="str">
        <f>HYPERLINK("http://141.218.60.56/~jnz1568/getInfo.php?workbook=isotopes.xlsx&amp;sheet=Isotopes&amp;row=255&amp;col=6&amp;number=0.00012&amp;sourceID=21","0.00012")</f>
        <v>0.00012</v>
      </c>
      <c r="G255" s="4" t="str">
        <f>HYPERLINK("http://141.218.60.56/~jnz1568/getInfo.php?workbook=isotopes.xlsx&amp;sheet=Isotopes&amp;row=255&amp;col=7&amp;number=2e-05&amp;sourceID=21","2e-05")</f>
        <v>2e-05</v>
      </c>
    </row>
    <row r="256" spans="1:7">
      <c r="A256" s="3">
        <v>73</v>
      </c>
      <c r="B256" s="3">
        <v>181</v>
      </c>
      <c r="C256" s="3" t="s">
        <v>260</v>
      </c>
      <c r="D256" s="4" t="str">
        <f>HYPERLINK("http://141.218.60.56/~jnz1568/getInfo.php?workbook=isotopes.xlsx&amp;sheet=Isotopes&amp;row=256&amp;col=4&amp;number=180.9479958&amp;sourceID=21","180.9479958")</f>
        <v>180.9479958</v>
      </c>
      <c r="E256" s="4" t="str">
        <f>HYPERLINK("http://141.218.60.56/~jnz1568/getInfo.php?workbook=isotopes.xlsx&amp;sheet=Isotopes&amp;row=256&amp;col=5&amp;number=1.9e-06&amp;sourceID=21","1.9e-06")</f>
        <v>1.9e-06</v>
      </c>
      <c r="F256" s="4" t="str">
        <f>HYPERLINK("http://141.218.60.56/~jnz1568/getInfo.php?workbook=isotopes.xlsx&amp;sheet=Isotopes&amp;row=256&amp;col=6&amp;number=0.99988&amp;sourceID=21","0.99988")</f>
        <v>0.99988</v>
      </c>
      <c r="G256" s="4" t="str">
        <f>HYPERLINK("http://141.218.60.56/~jnz1568/getInfo.php?workbook=isotopes.xlsx&amp;sheet=Isotopes&amp;row=256&amp;col=7&amp;number=2e-05&amp;sourceID=21","2e-05")</f>
        <v>2e-05</v>
      </c>
    </row>
    <row r="257" spans="1:7">
      <c r="A257" s="3">
        <v>74</v>
      </c>
      <c r="B257" s="3">
        <v>180</v>
      </c>
      <c r="C257" s="3" t="s">
        <v>261</v>
      </c>
      <c r="D257" s="4" t="str">
        <f>HYPERLINK("http://141.218.60.56/~jnz1568/getInfo.php?workbook=isotopes.xlsx&amp;sheet=Isotopes&amp;row=257&amp;col=4&amp;number=179.946704&amp;sourceID=21","179.946704")</f>
        <v>179.946704</v>
      </c>
      <c r="E257" s="4" t="str">
        <f>HYPERLINK("http://141.218.60.56/~jnz1568/getInfo.php?workbook=isotopes.xlsx&amp;sheet=Isotopes&amp;row=257&amp;col=5&amp;number=4e-06&amp;sourceID=21","4e-06")</f>
        <v>4e-06</v>
      </c>
      <c r="F257" s="4" t="str">
        <f>HYPERLINK("http://141.218.60.56/~jnz1568/getInfo.php?workbook=isotopes.xlsx&amp;sheet=Isotopes&amp;row=257&amp;col=6&amp;number=0.0012&amp;sourceID=21","0.0012")</f>
        <v>0.0012</v>
      </c>
      <c r="G257" s="4" t="str">
        <f>HYPERLINK("http://141.218.60.56/~jnz1568/getInfo.php?workbook=isotopes.xlsx&amp;sheet=Isotopes&amp;row=257&amp;col=7&amp;number=0.0001&amp;sourceID=21","0.0001")</f>
        <v>0.0001</v>
      </c>
    </row>
    <row r="258" spans="1:7">
      <c r="A258" s="3">
        <v>74</v>
      </c>
      <c r="B258" s="3">
        <v>182</v>
      </c>
      <c r="C258" s="3" t="s">
        <v>262</v>
      </c>
      <c r="D258" s="4" t="str">
        <f>HYPERLINK("http://141.218.60.56/~jnz1568/getInfo.php?workbook=isotopes.xlsx&amp;sheet=Isotopes&amp;row=258&amp;col=4&amp;number=181.9482042&amp;sourceID=21","181.9482042")</f>
        <v>181.9482042</v>
      </c>
      <c r="E258" s="4" t="str">
        <f>HYPERLINK("http://141.218.60.56/~jnz1568/getInfo.php?workbook=isotopes.xlsx&amp;sheet=Isotopes&amp;row=258&amp;col=5&amp;number=9e-07&amp;sourceID=21","9e-07")</f>
        <v>9e-07</v>
      </c>
      <c r="F258" s="4" t="str">
        <f>HYPERLINK("http://141.218.60.56/~jnz1568/getInfo.php?workbook=isotopes.xlsx&amp;sheet=Isotopes&amp;row=258&amp;col=6&amp;number=0.265&amp;sourceID=21","0.265")</f>
        <v>0.265</v>
      </c>
      <c r="G258" s="4" t="str">
        <f>HYPERLINK("http://141.218.60.56/~jnz1568/getInfo.php?workbook=isotopes.xlsx&amp;sheet=Isotopes&amp;row=258&amp;col=7&amp;number=0.0016&amp;sourceID=21","0.0016")</f>
        <v>0.0016</v>
      </c>
    </row>
    <row r="259" spans="1:7">
      <c r="A259" s="3">
        <v>74</v>
      </c>
      <c r="B259" s="3">
        <v>183</v>
      </c>
      <c r="C259" s="3" t="s">
        <v>263</v>
      </c>
      <c r="D259" s="4" t="str">
        <f>HYPERLINK("http://141.218.60.56/~jnz1568/getInfo.php?workbook=isotopes.xlsx&amp;sheet=Isotopes&amp;row=259&amp;col=4&amp;number=182.950223&amp;sourceID=21","182.950223")</f>
        <v>182.950223</v>
      </c>
      <c r="E259" s="4" t="str">
        <f>HYPERLINK("http://141.218.60.56/~jnz1568/getInfo.php?workbook=isotopes.xlsx&amp;sheet=Isotopes&amp;row=259&amp;col=5&amp;number=9e-07&amp;sourceID=21","9e-07")</f>
        <v>9e-07</v>
      </c>
      <c r="F259" s="4" t="str">
        <f>HYPERLINK("http://141.218.60.56/~jnz1568/getInfo.php?workbook=isotopes.xlsx&amp;sheet=Isotopes&amp;row=259&amp;col=6&amp;number=0.1431&amp;sourceID=21","0.1431")</f>
        <v>0.1431</v>
      </c>
      <c r="G259" s="4" t="str">
        <f>HYPERLINK("http://141.218.60.56/~jnz1568/getInfo.php?workbook=isotopes.xlsx&amp;sheet=Isotopes&amp;row=259&amp;col=7&amp;number=0.0004&amp;sourceID=21","0.0004")</f>
        <v>0.0004</v>
      </c>
    </row>
    <row r="260" spans="1:7">
      <c r="A260" s="3">
        <v>74</v>
      </c>
      <c r="B260" s="3">
        <v>184</v>
      </c>
      <c r="C260" s="3" t="s">
        <v>264</v>
      </c>
      <c r="D260" s="4" t="str">
        <f>HYPERLINK("http://141.218.60.56/~jnz1568/getInfo.php?workbook=isotopes.xlsx&amp;sheet=Isotopes&amp;row=260&amp;col=4&amp;number=183.9509312&amp;sourceID=21","183.9509312")</f>
        <v>183.9509312</v>
      </c>
      <c r="E260" s="4" t="str">
        <f>HYPERLINK("http://141.218.60.56/~jnz1568/getInfo.php?workbook=isotopes.xlsx&amp;sheet=Isotopes&amp;row=260&amp;col=5&amp;number=9e-07&amp;sourceID=21","9e-07")</f>
        <v>9e-07</v>
      </c>
      <c r="F260" s="4" t="str">
        <f>HYPERLINK("http://141.218.60.56/~jnz1568/getInfo.php?workbook=isotopes.xlsx&amp;sheet=Isotopes&amp;row=260&amp;col=6&amp;number=0.3064&amp;sourceID=21","0.3064")</f>
        <v>0.3064</v>
      </c>
      <c r="G260" s="4" t="str">
        <f>HYPERLINK("http://141.218.60.56/~jnz1568/getInfo.php?workbook=isotopes.xlsx&amp;sheet=Isotopes&amp;row=260&amp;col=7&amp;number=0.0002&amp;sourceID=21","0.0002")</f>
        <v>0.0002</v>
      </c>
    </row>
    <row r="261" spans="1:7">
      <c r="A261" s="3">
        <v>74</v>
      </c>
      <c r="B261" s="3">
        <v>186</v>
      </c>
      <c r="C261" s="3" t="s">
        <v>265</v>
      </c>
      <c r="D261" s="4" t="str">
        <f>HYPERLINK("http://141.218.60.56/~jnz1568/getInfo.php?workbook=isotopes.xlsx&amp;sheet=Isotopes&amp;row=261&amp;col=4&amp;number=185.9543641&amp;sourceID=21","185.9543641")</f>
        <v>185.9543641</v>
      </c>
      <c r="E261" s="4" t="str">
        <f>HYPERLINK("http://141.218.60.56/~jnz1568/getInfo.php?workbook=isotopes.xlsx&amp;sheet=Isotopes&amp;row=261&amp;col=5&amp;number=1.9e-06&amp;sourceID=21","1.9e-06")</f>
        <v>1.9e-06</v>
      </c>
      <c r="F261" s="4" t="str">
        <f>HYPERLINK("http://141.218.60.56/~jnz1568/getInfo.php?workbook=isotopes.xlsx&amp;sheet=Isotopes&amp;row=261&amp;col=6&amp;number=0.2843&amp;sourceID=21","0.2843")</f>
        <v>0.2843</v>
      </c>
      <c r="G261" s="4" t="str">
        <f>HYPERLINK("http://141.218.60.56/~jnz1568/getInfo.php?workbook=isotopes.xlsx&amp;sheet=Isotopes&amp;row=261&amp;col=7&amp;number=0.0019&amp;sourceID=21","0.0019")</f>
        <v>0.0019</v>
      </c>
    </row>
    <row r="262" spans="1:7">
      <c r="A262" s="3">
        <v>75</v>
      </c>
      <c r="B262" s="3">
        <v>185</v>
      </c>
      <c r="C262" s="3" t="s">
        <v>266</v>
      </c>
      <c r="D262" s="4" t="str">
        <f>HYPERLINK("http://141.218.60.56/~jnz1568/getInfo.php?workbook=isotopes.xlsx&amp;sheet=Isotopes&amp;row=262&amp;col=4&amp;number=184.952955&amp;sourceID=21","184.952955")</f>
        <v>184.952955</v>
      </c>
      <c r="E262" s="4" t="str">
        <f>HYPERLINK("http://141.218.60.56/~jnz1568/getInfo.php?workbook=isotopes.xlsx&amp;sheet=Isotopes&amp;row=262&amp;col=5&amp;number=1.3e-06&amp;sourceID=21","1.3e-06")</f>
        <v>1.3e-06</v>
      </c>
      <c r="F262" s="4" t="str">
        <f>HYPERLINK("http://141.218.60.56/~jnz1568/getInfo.php?workbook=isotopes.xlsx&amp;sheet=Isotopes&amp;row=262&amp;col=6&amp;number=0.374&amp;sourceID=21","0.374")</f>
        <v>0.374</v>
      </c>
      <c r="G262" s="4" t="str">
        <f>HYPERLINK("http://141.218.60.56/~jnz1568/getInfo.php?workbook=isotopes.xlsx&amp;sheet=Isotopes&amp;row=262&amp;col=7&amp;number=0.0002&amp;sourceID=21","0.0002")</f>
        <v>0.0002</v>
      </c>
    </row>
    <row r="263" spans="1:7">
      <c r="A263" s="3">
        <v>75</v>
      </c>
      <c r="B263" s="3">
        <v>187</v>
      </c>
      <c r="C263" s="3" t="s">
        <v>267</v>
      </c>
      <c r="D263" s="4" t="str">
        <f>HYPERLINK("http://141.218.60.56/~jnz1568/getInfo.php?workbook=isotopes.xlsx&amp;sheet=Isotopes&amp;row=263&amp;col=4&amp;number=186.9557531&amp;sourceID=21","186.9557531")</f>
        <v>186.9557531</v>
      </c>
      <c r="E263" s="4" t="str">
        <f>HYPERLINK("http://141.218.60.56/~jnz1568/getInfo.php?workbook=isotopes.xlsx&amp;sheet=Isotopes&amp;row=263&amp;col=5&amp;number=1.5e-06&amp;sourceID=21","1.5e-06")</f>
        <v>1.5e-06</v>
      </c>
      <c r="F263" s="4" t="str">
        <f>HYPERLINK("http://141.218.60.56/~jnz1568/getInfo.php?workbook=isotopes.xlsx&amp;sheet=Isotopes&amp;row=263&amp;col=6&amp;number=0.626&amp;sourceID=21","0.626")</f>
        <v>0.626</v>
      </c>
      <c r="G263" s="4" t="str">
        <f>HYPERLINK("http://141.218.60.56/~jnz1568/getInfo.php?workbook=isotopes.xlsx&amp;sheet=Isotopes&amp;row=263&amp;col=7&amp;number=0.0002&amp;sourceID=21","0.0002")</f>
        <v>0.0002</v>
      </c>
    </row>
    <row r="264" spans="1:7">
      <c r="A264" s="3">
        <v>76</v>
      </c>
      <c r="B264" s="3">
        <v>184</v>
      </c>
      <c r="C264" s="3" t="s">
        <v>268</v>
      </c>
      <c r="D264" s="4" t="str">
        <f>HYPERLINK("http://141.218.60.56/~jnz1568/getInfo.php?workbook=isotopes.xlsx&amp;sheet=Isotopes&amp;row=264&amp;col=4&amp;number=183.9524891&amp;sourceID=21","183.9524891")</f>
        <v>183.9524891</v>
      </c>
      <c r="E264" s="4" t="str">
        <f>HYPERLINK("http://141.218.60.56/~jnz1568/getInfo.php?workbook=isotopes.xlsx&amp;sheet=Isotopes&amp;row=264&amp;col=5&amp;number=1.4e-06&amp;sourceID=21","1.4e-06")</f>
        <v>1.4e-06</v>
      </c>
      <c r="F264" s="4" t="str">
        <f>HYPERLINK("http://141.218.60.56/~jnz1568/getInfo.php?workbook=isotopes.xlsx&amp;sheet=Isotopes&amp;row=264&amp;col=6&amp;number=0.0002&amp;sourceID=21","0.0002")</f>
        <v>0.0002</v>
      </c>
      <c r="G264" s="4" t="str">
        <f>HYPERLINK("http://141.218.60.56/~jnz1568/getInfo.php?workbook=isotopes.xlsx&amp;sheet=Isotopes&amp;row=264&amp;col=7&amp;number=0.0001&amp;sourceID=21","0.0001")</f>
        <v>0.0001</v>
      </c>
    </row>
    <row r="265" spans="1:7">
      <c r="A265" s="3">
        <v>76</v>
      </c>
      <c r="B265" s="3">
        <v>186</v>
      </c>
      <c r="C265" s="3" t="s">
        <v>269</v>
      </c>
      <c r="D265" s="4" t="str">
        <f>HYPERLINK("http://141.218.60.56/~jnz1568/getInfo.php?workbook=isotopes.xlsx&amp;sheet=Isotopes&amp;row=265&amp;col=4&amp;number=185.9538382&amp;sourceID=21","185.9538382")</f>
        <v>185.9538382</v>
      </c>
      <c r="E265" s="4" t="str">
        <f>HYPERLINK("http://141.218.60.56/~jnz1568/getInfo.php?workbook=isotopes.xlsx&amp;sheet=Isotopes&amp;row=265&amp;col=5&amp;number=1.5e-06&amp;sourceID=21","1.5e-06")</f>
        <v>1.5e-06</v>
      </c>
      <c r="F265" s="4" t="str">
        <f>HYPERLINK("http://141.218.60.56/~jnz1568/getInfo.php?workbook=isotopes.xlsx&amp;sheet=Isotopes&amp;row=265&amp;col=6&amp;number=0.0159&amp;sourceID=21","0.0159")</f>
        <v>0.0159</v>
      </c>
      <c r="G265" s="4" t="str">
        <f>HYPERLINK("http://141.218.60.56/~jnz1568/getInfo.php?workbook=isotopes.xlsx&amp;sheet=Isotopes&amp;row=265&amp;col=7&amp;number=0.0003&amp;sourceID=21","0.0003")</f>
        <v>0.0003</v>
      </c>
    </row>
    <row r="266" spans="1:7">
      <c r="A266" s="3">
        <v>76</v>
      </c>
      <c r="B266" s="3">
        <v>187</v>
      </c>
      <c r="C266" s="3" t="s">
        <v>270</v>
      </c>
      <c r="D266" s="4" t="str">
        <f>HYPERLINK("http://141.218.60.56/~jnz1568/getInfo.php?workbook=isotopes.xlsx&amp;sheet=Isotopes&amp;row=266&amp;col=4&amp;number=186.9557505&amp;sourceID=21","186.9557505")</f>
        <v>186.9557505</v>
      </c>
      <c r="E266" s="4" t="str">
        <f>HYPERLINK("http://141.218.60.56/~jnz1568/getInfo.php?workbook=isotopes.xlsx&amp;sheet=Isotopes&amp;row=266&amp;col=5&amp;number=1.5e-06&amp;sourceID=21","1.5e-06")</f>
        <v>1.5e-06</v>
      </c>
      <c r="F266" s="4" t="str">
        <f>HYPERLINK("http://141.218.60.56/~jnz1568/getInfo.php?workbook=isotopes.xlsx&amp;sheet=Isotopes&amp;row=266&amp;col=6&amp;number=0.0196&amp;sourceID=21","0.0196")</f>
        <v>0.0196</v>
      </c>
      <c r="G266" s="4" t="str">
        <f>HYPERLINK("http://141.218.60.56/~jnz1568/getInfo.php?workbook=isotopes.xlsx&amp;sheet=Isotopes&amp;row=266&amp;col=7&amp;number=0.0002&amp;sourceID=21","0.0002")</f>
        <v>0.0002</v>
      </c>
    </row>
    <row r="267" spans="1:7">
      <c r="A267" s="3">
        <v>76</v>
      </c>
      <c r="B267" s="3">
        <v>188</v>
      </c>
      <c r="C267" s="3" t="s">
        <v>271</v>
      </c>
      <c r="D267" s="4" t="str">
        <f>HYPERLINK("http://141.218.60.56/~jnz1568/getInfo.php?workbook=isotopes.xlsx&amp;sheet=Isotopes&amp;row=267&amp;col=4&amp;number=187.9558382&amp;sourceID=21","187.9558382")</f>
        <v>187.9558382</v>
      </c>
      <c r="E267" s="4" t="str">
        <f>HYPERLINK("http://141.218.60.56/~jnz1568/getInfo.php?workbook=isotopes.xlsx&amp;sheet=Isotopes&amp;row=267&amp;col=5&amp;number=1.5e-06&amp;sourceID=21","1.5e-06")</f>
        <v>1.5e-06</v>
      </c>
      <c r="F267" s="4" t="str">
        <f>HYPERLINK("http://141.218.60.56/~jnz1568/getInfo.php?workbook=isotopes.xlsx&amp;sheet=Isotopes&amp;row=267&amp;col=6&amp;number=0.1324&amp;sourceID=21","0.1324")</f>
        <v>0.1324</v>
      </c>
      <c r="G267" s="4" t="str">
        <f>HYPERLINK("http://141.218.60.56/~jnz1568/getInfo.php?workbook=isotopes.xlsx&amp;sheet=Isotopes&amp;row=267&amp;col=7&amp;number=0.0008&amp;sourceID=21","0.0008")</f>
        <v>0.0008</v>
      </c>
    </row>
    <row r="268" spans="1:7">
      <c r="A268" s="3">
        <v>76</v>
      </c>
      <c r="B268" s="3">
        <v>189</v>
      </c>
      <c r="C268" s="3" t="s">
        <v>272</v>
      </c>
      <c r="D268" s="4" t="str">
        <f>HYPERLINK("http://141.218.60.56/~jnz1568/getInfo.php?workbook=isotopes.xlsx&amp;sheet=Isotopes&amp;row=268&amp;col=4&amp;number=188.9581475&amp;sourceID=21","188.9581475")</f>
        <v>188.9581475</v>
      </c>
      <c r="E268" s="4" t="str">
        <f>HYPERLINK("http://141.218.60.56/~jnz1568/getInfo.php?workbook=isotopes.xlsx&amp;sheet=Isotopes&amp;row=268&amp;col=5&amp;number=1.6e-06&amp;sourceID=21","1.6e-06")</f>
        <v>1.6e-06</v>
      </c>
      <c r="F268" s="4" t="str">
        <f>HYPERLINK("http://141.218.60.56/~jnz1568/getInfo.php?workbook=isotopes.xlsx&amp;sheet=Isotopes&amp;row=268&amp;col=6&amp;number=0.1615&amp;sourceID=21","0.1615")</f>
        <v>0.1615</v>
      </c>
      <c r="G268" s="4" t="str">
        <f>HYPERLINK("http://141.218.60.56/~jnz1568/getInfo.php?workbook=isotopes.xlsx&amp;sheet=Isotopes&amp;row=268&amp;col=7&amp;number=0.0005&amp;sourceID=21","0.0005")</f>
        <v>0.0005</v>
      </c>
    </row>
    <row r="269" spans="1:7">
      <c r="A269" s="3">
        <v>76</v>
      </c>
      <c r="B269" s="3">
        <v>190</v>
      </c>
      <c r="C269" s="3" t="s">
        <v>273</v>
      </c>
      <c r="D269" s="4" t="str">
        <f>HYPERLINK("http://141.218.60.56/~jnz1568/getInfo.php?workbook=isotopes.xlsx&amp;sheet=Isotopes&amp;row=269&amp;col=4&amp;number=189.958447&amp;sourceID=21","189.958447")</f>
        <v>189.958447</v>
      </c>
      <c r="E269" s="4" t="str">
        <f>HYPERLINK("http://141.218.60.56/~jnz1568/getInfo.php?workbook=isotopes.xlsx&amp;sheet=Isotopes&amp;row=269&amp;col=5&amp;number=1.6e-06&amp;sourceID=21","1.6e-06")</f>
        <v>1.6e-06</v>
      </c>
      <c r="F269" s="4" t="str">
        <f>HYPERLINK("http://141.218.60.56/~jnz1568/getInfo.php?workbook=isotopes.xlsx&amp;sheet=Isotopes&amp;row=269&amp;col=6&amp;number=0.2626&amp;sourceID=21","0.2626")</f>
        <v>0.2626</v>
      </c>
      <c r="G269" s="4" t="str">
        <f>HYPERLINK("http://141.218.60.56/~jnz1568/getInfo.php?workbook=isotopes.xlsx&amp;sheet=Isotopes&amp;row=269&amp;col=7&amp;number=0.0002&amp;sourceID=21","0.0002")</f>
        <v>0.0002</v>
      </c>
    </row>
    <row r="270" spans="1:7">
      <c r="A270" s="3">
        <v>76</v>
      </c>
      <c r="B270" s="3">
        <v>192</v>
      </c>
      <c r="C270" s="3" t="s">
        <v>274</v>
      </c>
      <c r="D270" s="4" t="str">
        <f>HYPERLINK("http://141.218.60.56/~jnz1568/getInfo.php?workbook=isotopes.xlsx&amp;sheet=Isotopes&amp;row=270&amp;col=4&amp;number=191.9614807&amp;sourceID=21","191.9614807")</f>
        <v>191.9614807</v>
      </c>
      <c r="E270" s="4" t="str">
        <f>HYPERLINK("http://141.218.60.56/~jnz1568/getInfo.php?workbook=isotopes.xlsx&amp;sheet=Isotopes&amp;row=270&amp;col=5&amp;number=2.7e-06&amp;sourceID=21","2.7e-06")</f>
        <v>2.7e-06</v>
      </c>
      <c r="F270" s="4" t="str">
        <f>HYPERLINK("http://141.218.60.56/~jnz1568/getInfo.php?workbook=isotopes.xlsx&amp;sheet=Isotopes&amp;row=270&amp;col=6&amp;number=0.4078&amp;sourceID=21","0.4078")</f>
        <v>0.4078</v>
      </c>
      <c r="G270" s="4" t="str">
        <f>HYPERLINK("http://141.218.60.56/~jnz1568/getInfo.php?workbook=isotopes.xlsx&amp;sheet=Isotopes&amp;row=270&amp;col=7&amp;number=0.0019&amp;sourceID=21","0.0019")</f>
        <v>0.0019</v>
      </c>
    </row>
    <row r="271" spans="1:7">
      <c r="A271" s="3">
        <v>77</v>
      </c>
      <c r="B271" s="3">
        <v>191</v>
      </c>
      <c r="C271" s="3" t="s">
        <v>275</v>
      </c>
      <c r="D271" s="4" t="str">
        <f>HYPERLINK("http://141.218.60.56/~jnz1568/getInfo.php?workbook=isotopes.xlsx&amp;sheet=Isotopes&amp;row=271&amp;col=4&amp;number=190.960594&amp;sourceID=21","190.960594")</f>
        <v>190.960594</v>
      </c>
      <c r="E271" s="4" t="str">
        <f>HYPERLINK("http://141.218.60.56/~jnz1568/getInfo.php?workbook=isotopes.xlsx&amp;sheet=Isotopes&amp;row=271&amp;col=5&amp;number=1.8e-06&amp;sourceID=21","1.8e-06")</f>
        <v>1.8e-06</v>
      </c>
      <c r="F271" s="4" t="str">
        <f>HYPERLINK("http://141.218.60.56/~jnz1568/getInfo.php?workbook=isotopes.xlsx&amp;sheet=Isotopes&amp;row=271&amp;col=6&amp;number=0.373&amp;sourceID=21","0.373")</f>
        <v>0.373</v>
      </c>
      <c r="G271" s="4" t="str">
        <f>HYPERLINK("http://141.218.60.56/~jnz1568/getInfo.php?workbook=isotopes.xlsx&amp;sheet=Isotopes&amp;row=271&amp;col=7&amp;number=0.002&amp;sourceID=21","0.002")</f>
        <v>0.002</v>
      </c>
    </row>
    <row r="272" spans="1:7">
      <c r="A272" s="3">
        <v>77</v>
      </c>
      <c r="B272" s="3">
        <v>193</v>
      </c>
      <c r="C272" s="3" t="s">
        <v>276</v>
      </c>
      <c r="D272" s="4" t="str">
        <f>HYPERLINK("http://141.218.60.56/~jnz1568/getInfo.php?workbook=isotopes.xlsx&amp;sheet=Isotopes&amp;row=272&amp;col=4&amp;number=192.9629264&amp;sourceID=21","192.9629264")</f>
        <v>192.9629264</v>
      </c>
      <c r="E272" s="4" t="str">
        <f>HYPERLINK("http://141.218.60.56/~jnz1568/getInfo.php?workbook=isotopes.xlsx&amp;sheet=Isotopes&amp;row=272&amp;col=5&amp;number=1.8e-06&amp;sourceID=21","1.8e-06")</f>
        <v>1.8e-06</v>
      </c>
      <c r="F272" s="4" t="str">
        <f>HYPERLINK("http://141.218.60.56/~jnz1568/getInfo.php?workbook=isotopes.xlsx&amp;sheet=Isotopes&amp;row=272&amp;col=6&amp;number=0.627&amp;sourceID=21","0.627")</f>
        <v>0.627</v>
      </c>
      <c r="G272" s="4" t="str">
        <f>HYPERLINK("http://141.218.60.56/~jnz1568/getInfo.php?workbook=isotopes.xlsx&amp;sheet=Isotopes&amp;row=272&amp;col=7&amp;number=0.002&amp;sourceID=21","0.002")</f>
        <v>0.002</v>
      </c>
    </row>
    <row r="273" spans="1:7">
      <c r="A273" s="3">
        <v>78</v>
      </c>
      <c r="B273" s="3">
        <v>190</v>
      </c>
      <c r="C273" s="3" t="s">
        <v>277</v>
      </c>
      <c r="D273" s="4" t="str">
        <f>HYPERLINK("http://141.218.60.56/~jnz1568/getInfo.php?workbook=isotopes.xlsx&amp;sheet=Isotopes&amp;row=273&amp;col=4&amp;number=189.959932&amp;sourceID=21","189.959932")</f>
        <v>189.959932</v>
      </c>
      <c r="E273" s="4" t="str">
        <f>HYPERLINK("http://141.218.60.56/~jnz1568/getInfo.php?workbook=isotopes.xlsx&amp;sheet=Isotopes&amp;row=273&amp;col=5&amp;number=6e-06&amp;sourceID=21","6e-06")</f>
        <v>6e-06</v>
      </c>
      <c r="F273" s="4" t="str">
        <f>HYPERLINK("http://141.218.60.56/~jnz1568/getInfo.php?workbook=isotopes.xlsx&amp;sheet=Isotopes&amp;row=273&amp;col=6&amp;number=0.00014&amp;sourceID=21","0.00014")</f>
        <v>0.00014</v>
      </c>
      <c r="G273" s="4" t="str">
        <f>HYPERLINK("http://141.218.60.56/~jnz1568/getInfo.php?workbook=isotopes.xlsx&amp;sheet=Isotopes&amp;row=273&amp;col=7&amp;number=1e-05&amp;sourceID=21","1e-05")</f>
        <v>1e-05</v>
      </c>
    </row>
    <row r="274" spans="1:7">
      <c r="A274" s="3">
        <v>78</v>
      </c>
      <c r="B274" s="3">
        <v>192</v>
      </c>
      <c r="C274" s="3" t="s">
        <v>278</v>
      </c>
      <c r="D274" s="4" t="str">
        <f>HYPERLINK("http://141.218.60.56/~jnz1568/getInfo.php?workbook=isotopes.xlsx&amp;sheet=Isotopes&amp;row=274&amp;col=4&amp;number=191.961038&amp;sourceID=21","191.961038")</f>
        <v>191.961038</v>
      </c>
      <c r="E274" s="4" t="str">
        <f>HYPERLINK("http://141.218.60.56/~jnz1568/getInfo.php?workbook=isotopes.xlsx&amp;sheet=Isotopes&amp;row=274&amp;col=5&amp;number=2.7e-06&amp;sourceID=21","2.7e-06")</f>
        <v>2.7e-06</v>
      </c>
      <c r="F274" s="4" t="str">
        <f>HYPERLINK("http://141.218.60.56/~jnz1568/getInfo.php?workbook=isotopes.xlsx&amp;sheet=Isotopes&amp;row=274&amp;col=6&amp;number=0.00782&amp;sourceID=21","0.00782")</f>
        <v>0.00782</v>
      </c>
      <c r="G274" s="4" t="str">
        <f>HYPERLINK("http://141.218.60.56/~jnz1568/getInfo.php?workbook=isotopes.xlsx&amp;sheet=Isotopes&amp;row=274&amp;col=7&amp;number=7e-05&amp;sourceID=21","7e-05")</f>
        <v>7e-05</v>
      </c>
    </row>
    <row r="275" spans="1:7">
      <c r="A275" s="3">
        <v>78</v>
      </c>
      <c r="B275" s="3">
        <v>194</v>
      </c>
      <c r="C275" s="3" t="s">
        <v>279</v>
      </c>
      <c r="D275" s="4" t="str">
        <f>HYPERLINK("http://141.218.60.56/~jnz1568/getInfo.php?workbook=isotopes.xlsx&amp;sheet=Isotopes&amp;row=275&amp;col=4&amp;number=193.9626803&amp;sourceID=21","193.9626803")</f>
        <v>193.9626803</v>
      </c>
      <c r="E275" s="4" t="str">
        <f>HYPERLINK("http://141.218.60.56/~jnz1568/getInfo.php?workbook=isotopes.xlsx&amp;sheet=Isotopes&amp;row=275&amp;col=5&amp;number=9e-07&amp;sourceID=21","9e-07")</f>
        <v>9e-07</v>
      </c>
      <c r="F275" s="4" t="str">
        <f>HYPERLINK("http://141.218.60.56/~jnz1568/getInfo.php?workbook=isotopes.xlsx&amp;sheet=Isotopes&amp;row=275&amp;col=6&amp;number=0.32967&amp;sourceID=21","0.32967")</f>
        <v>0.32967</v>
      </c>
      <c r="G275" s="4" t="str">
        <f>HYPERLINK("http://141.218.60.56/~jnz1568/getInfo.php?workbook=isotopes.xlsx&amp;sheet=Isotopes&amp;row=275&amp;col=7&amp;number=0.00099&amp;sourceID=21","0.00099")</f>
        <v>0.00099</v>
      </c>
    </row>
    <row r="276" spans="1:7">
      <c r="A276" s="3">
        <v>78</v>
      </c>
      <c r="B276" s="3">
        <v>195</v>
      </c>
      <c r="C276" s="3" t="s">
        <v>280</v>
      </c>
      <c r="D276" s="4" t="str">
        <f>HYPERLINK("http://141.218.60.56/~jnz1568/getInfo.php?workbook=isotopes.xlsx&amp;sheet=Isotopes&amp;row=276&amp;col=4&amp;number=194.9647911&amp;sourceID=21","194.9647911")</f>
        <v>194.9647911</v>
      </c>
      <c r="E276" s="4" t="str">
        <f>HYPERLINK("http://141.218.60.56/~jnz1568/getInfo.php?workbook=isotopes.xlsx&amp;sheet=Isotopes&amp;row=276&amp;col=5&amp;number=9e-07&amp;sourceID=21","9e-07")</f>
        <v>9e-07</v>
      </c>
      <c r="F276" s="4" t="str">
        <f>HYPERLINK("http://141.218.60.56/~jnz1568/getInfo.php?workbook=isotopes.xlsx&amp;sheet=Isotopes&amp;row=276&amp;col=6&amp;number=0.33832&amp;sourceID=21","0.33832")</f>
        <v>0.33832</v>
      </c>
      <c r="G276" s="4" t="str">
        <f>HYPERLINK("http://141.218.60.56/~jnz1568/getInfo.php?workbook=isotopes.xlsx&amp;sheet=Isotopes&amp;row=276&amp;col=7&amp;number=0.0001&amp;sourceID=21","0.0001")</f>
        <v>0.0001</v>
      </c>
    </row>
    <row r="277" spans="1:7">
      <c r="A277" s="3">
        <v>78</v>
      </c>
      <c r="B277" s="3">
        <v>196</v>
      </c>
      <c r="C277" s="3" t="s">
        <v>281</v>
      </c>
      <c r="D277" s="4" t="str">
        <f>HYPERLINK("http://141.218.60.56/~jnz1568/getInfo.php?workbook=isotopes.xlsx&amp;sheet=Isotopes&amp;row=277&amp;col=4&amp;number=195.9649515&amp;sourceID=21","195.9649515")</f>
        <v>195.9649515</v>
      </c>
      <c r="E277" s="4" t="str">
        <f>HYPERLINK("http://141.218.60.56/~jnz1568/getInfo.php?workbook=isotopes.xlsx&amp;sheet=Isotopes&amp;row=277&amp;col=5&amp;number=9e-07&amp;sourceID=21","9e-07")</f>
        <v>9e-07</v>
      </c>
      <c r="F277" s="4" t="str">
        <f>HYPERLINK("http://141.218.60.56/~jnz1568/getInfo.php?workbook=isotopes.xlsx&amp;sheet=Isotopes&amp;row=277&amp;col=6&amp;number=0.25242&amp;sourceID=21","0.25242")</f>
        <v>0.25242</v>
      </c>
      <c r="G277" s="4" t="str">
        <f>HYPERLINK("http://141.218.60.56/~jnz1568/getInfo.php?workbook=isotopes.xlsx&amp;sheet=Isotopes&amp;row=277&amp;col=7&amp;number=0.00041&amp;sourceID=21","0.00041")</f>
        <v>0.00041</v>
      </c>
    </row>
    <row r="278" spans="1:7">
      <c r="A278" s="3">
        <v>78</v>
      </c>
      <c r="B278" s="3">
        <v>198</v>
      </c>
      <c r="C278" s="3" t="s">
        <v>282</v>
      </c>
      <c r="D278" s="4" t="str">
        <f>HYPERLINK("http://141.218.60.56/~jnz1568/getInfo.php?workbook=isotopes.xlsx&amp;sheet=Isotopes&amp;row=278&amp;col=4&amp;number=197.967893&amp;sourceID=21","197.967893")</f>
        <v>197.967893</v>
      </c>
      <c r="E278" s="4" t="str">
        <f>HYPERLINK("http://141.218.60.56/~jnz1568/getInfo.php?workbook=isotopes.xlsx&amp;sheet=Isotopes&amp;row=278&amp;col=5&amp;number=3e-06&amp;sourceID=21","3e-06")</f>
        <v>3e-06</v>
      </c>
      <c r="F278" s="4" t="str">
        <f>HYPERLINK("http://141.218.60.56/~jnz1568/getInfo.php?workbook=isotopes.xlsx&amp;sheet=Isotopes&amp;row=278&amp;col=6&amp;number=0.07163&amp;sourceID=21","0.07163")</f>
        <v>0.07163</v>
      </c>
      <c r="G278" s="4" t="str">
        <f>HYPERLINK("http://141.218.60.56/~jnz1568/getInfo.php?workbook=isotopes.xlsx&amp;sheet=Isotopes&amp;row=278&amp;col=7&amp;number=0.00055&amp;sourceID=21","0.00055")</f>
        <v>0.00055</v>
      </c>
    </row>
    <row r="279" spans="1:7">
      <c r="A279" s="3">
        <v>79</v>
      </c>
      <c r="B279" s="3">
        <v>197</v>
      </c>
      <c r="C279" s="3" t="s">
        <v>283</v>
      </c>
      <c r="D279" s="4" t="str">
        <f>HYPERLINK("http://141.218.60.56/~jnz1568/getInfo.php?workbook=isotopes.xlsx&amp;sheet=Isotopes&amp;row=279&amp;col=4&amp;number=196.9665687&amp;sourceID=21","196.9665687")</f>
        <v>196.9665687</v>
      </c>
      <c r="E279" s="4" t="str">
        <f>HYPERLINK("http://141.218.60.56/~jnz1568/getInfo.php?workbook=isotopes.xlsx&amp;sheet=Isotopes&amp;row=279&amp;col=5&amp;number=6e-07&amp;sourceID=21","6e-07")</f>
        <v>6e-07</v>
      </c>
      <c r="F279" s="4" t="str">
        <f>HYPERLINK("http://141.218.60.56/~jnz1568/getInfo.php?workbook=isotopes.xlsx&amp;sheet=Isotopes&amp;row=279&amp;col=6&amp;number=1&amp;sourceID=21","1")</f>
        <v>1</v>
      </c>
      <c r="G279" s="4" t="str">
        <f>HYPERLINK("http://141.218.60.56/~jnz1568/getInfo.php?workbook=isotopes.xlsx&amp;sheet=Isotopes&amp;row=279&amp;col=7&amp;number=&amp;sourceID=21","")</f>
        <v/>
      </c>
    </row>
    <row r="280" spans="1:7">
      <c r="A280" s="3">
        <v>80</v>
      </c>
      <c r="B280" s="3">
        <v>196</v>
      </c>
      <c r="C280" s="3" t="s">
        <v>284</v>
      </c>
      <c r="D280" s="4" t="str">
        <f>HYPERLINK("http://141.218.60.56/~jnz1568/getInfo.php?workbook=isotopes.xlsx&amp;sheet=Isotopes&amp;row=280&amp;col=4&amp;number=195.965833&amp;sourceID=21","195.965833")</f>
        <v>195.965833</v>
      </c>
      <c r="E280" s="4" t="str">
        <f>HYPERLINK("http://141.218.60.56/~jnz1568/getInfo.php?workbook=isotopes.xlsx&amp;sheet=Isotopes&amp;row=280&amp;col=5&amp;number=3e-06&amp;sourceID=21","3e-06")</f>
        <v>3e-06</v>
      </c>
      <c r="F280" s="4" t="str">
        <f>HYPERLINK("http://141.218.60.56/~jnz1568/getInfo.php?workbook=isotopes.xlsx&amp;sheet=Isotopes&amp;row=280&amp;col=6&amp;number=0.0015&amp;sourceID=21","0.0015")</f>
        <v>0.0015</v>
      </c>
      <c r="G280" s="4" t="str">
        <f>HYPERLINK("http://141.218.60.56/~jnz1568/getInfo.php?workbook=isotopes.xlsx&amp;sheet=Isotopes&amp;row=280&amp;col=7&amp;number=0.0001&amp;sourceID=21","0.0001")</f>
        <v>0.0001</v>
      </c>
    </row>
    <row r="281" spans="1:7">
      <c r="A281" s="3">
        <v>80</v>
      </c>
      <c r="B281" s="3">
        <v>198</v>
      </c>
      <c r="C281" s="3" t="s">
        <v>285</v>
      </c>
      <c r="D281" s="4" t="str">
        <f>HYPERLINK("http://141.218.60.56/~jnz1568/getInfo.php?workbook=isotopes.xlsx&amp;sheet=Isotopes&amp;row=281&amp;col=4&amp;number=197.966769&amp;sourceID=21","197.966769")</f>
        <v>197.966769</v>
      </c>
      <c r="E281" s="4" t="str">
        <f>HYPERLINK("http://141.218.60.56/~jnz1568/getInfo.php?workbook=isotopes.xlsx&amp;sheet=Isotopes&amp;row=281&amp;col=5&amp;number=4e-07&amp;sourceID=21","4e-07")</f>
        <v>4e-07</v>
      </c>
      <c r="F281" s="4" t="str">
        <f>HYPERLINK("http://141.218.60.56/~jnz1568/getInfo.php?workbook=isotopes.xlsx&amp;sheet=Isotopes&amp;row=281&amp;col=6&amp;number=0.0997&amp;sourceID=21","0.0997")</f>
        <v>0.0997</v>
      </c>
      <c r="G281" s="4" t="str">
        <f>HYPERLINK("http://141.218.60.56/~jnz1568/getInfo.php?workbook=isotopes.xlsx&amp;sheet=Isotopes&amp;row=281&amp;col=7&amp;number=0.002&amp;sourceID=21","0.002")</f>
        <v>0.002</v>
      </c>
    </row>
    <row r="282" spans="1:7">
      <c r="A282" s="3">
        <v>80</v>
      </c>
      <c r="B282" s="3">
        <v>199</v>
      </c>
      <c r="C282" s="3" t="s">
        <v>286</v>
      </c>
      <c r="D282" s="4" t="str">
        <f>HYPERLINK("http://141.218.60.56/~jnz1568/getInfo.php?workbook=isotopes.xlsx&amp;sheet=Isotopes&amp;row=282&amp;col=4&amp;number=198.9682799&amp;sourceID=21","198.9682799")</f>
        <v>198.9682799</v>
      </c>
      <c r="E282" s="4" t="str">
        <f>HYPERLINK("http://141.218.60.56/~jnz1568/getInfo.php?workbook=isotopes.xlsx&amp;sheet=Isotopes&amp;row=282&amp;col=5&amp;number=4e-07&amp;sourceID=21","4e-07")</f>
        <v>4e-07</v>
      </c>
      <c r="F282" s="4" t="str">
        <f>HYPERLINK("http://141.218.60.56/~jnz1568/getInfo.php?workbook=isotopes.xlsx&amp;sheet=Isotopes&amp;row=282&amp;col=6&amp;number=0.1687&amp;sourceID=21","0.1687")</f>
        <v>0.1687</v>
      </c>
      <c r="G282" s="4" t="str">
        <f>HYPERLINK("http://141.218.60.56/~jnz1568/getInfo.php?workbook=isotopes.xlsx&amp;sheet=Isotopes&amp;row=282&amp;col=7&amp;number=0.0022&amp;sourceID=21","0.0022")</f>
        <v>0.0022</v>
      </c>
    </row>
    <row r="283" spans="1:7">
      <c r="A283" s="3">
        <v>80</v>
      </c>
      <c r="B283" s="3">
        <v>200</v>
      </c>
      <c r="C283" s="3" t="s">
        <v>287</v>
      </c>
      <c r="D283" s="4" t="str">
        <f>HYPERLINK("http://141.218.60.56/~jnz1568/getInfo.php?workbook=isotopes.xlsx&amp;sheet=Isotopes&amp;row=283&amp;col=4&amp;number=199.968326&amp;sourceID=21","199.968326")</f>
        <v>199.968326</v>
      </c>
      <c r="E283" s="4" t="str">
        <f>HYPERLINK("http://141.218.60.56/~jnz1568/getInfo.php?workbook=isotopes.xlsx&amp;sheet=Isotopes&amp;row=283&amp;col=5&amp;number=4e-07&amp;sourceID=21","4e-07")</f>
        <v>4e-07</v>
      </c>
      <c r="F283" s="4" t="str">
        <f>HYPERLINK("http://141.218.60.56/~jnz1568/getInfo.php?workbook=isotopes.xlsx&amp;sheet=Isotopes&amp;row=283&amp;col=6&amp;number=0.231&amp;sourceID=21","0.231")</f>
        <v>0.231</v>
      </c>
      <c r="G283" s="4" t="str">
        <f>HYPERLINK("http://141.218.60.56/~jnz1568/getInfo.php?workbook=isotopes.xlsx&amp;sheet=Isotopes&amp;row=283&amp;col=7&amp;number=0.0019&amp;sourceID=21","0.0019")</f>
        <v>0.0019</v>
      </c>
    </row>
    <row r="284" spans="1:7">
      <c r="A284" s="3">
        <v>80</v>
      </c>
      <c r="B284" s="3">
        <v>201</v>
      </c>
      <c r="C284" s="3" t="s">
        <v>288</v>
      </c>
      <c r="D284" s="4" t="str">
        <f>HYPERLINK("http://141.218.60.56/~jnz1568/getInfo.php?workbook=isotopes.xlsx&amp;sheet=Isotopes&amp;row=284&amp;col=4&amp;number=200.9703023&amp;sourceID=21","200.9703023")</f>
        <v>200.9703023</v>
      </c>
      <c r="E284" s="4" t="str">
        <f>HYPERLINK("http://141.218.60.56/~jnz1568/getInfo.php?workbook=isotopes.xlsx&amp;sheet=Isotopes&amp;row=284&amp;col=5&amp;number=6e-07&amp;sourceID=21","6e-07")</f>
        <v>6e-07</v>
      </c>
      <c r="F284" s="4" t="str">
        <f>HYPERLINK("http://141.218.60.56/~jnz1568/getInfo.php?workbook=isotopes.xlsx&amp;sheet=Isotopes&amp;row=284&amp;col=6&amp;number=0.1318&amp;sourceID=21","0.1318")</f>
        <v>0.1318</v>
      </c>
      <c r="G284" s="4" t="str">
        <f>HYPERLINK("http://141.218.60.56/~jnz1568/getInfo.php?workbook=isotopes.xlsx&amp;sheet=Isotopes&amp;row=284&amp;col=7&amp;number=0.0009&amp;sourceID=21","0.0009")</f>
        <v>0.0009</v>
      </c>
    </row>
    <row r="285" spans="1:7">
      <c r="A285" s="3">
        <v>80</v>
      </c>
      <c r="B285" s="3">
        <v>202</v>
      </c>
      <c r="C285" s="3" t="s">
        <v>289</v>
      </c>
      <c r="D285" s="4" t="str">
        <f>HYPERLINK("http://141.218.60.56/~jnz1568/getInfo.php?workbook=isotopes.xlsx&amp;sheet=Isotopes&amp;row=285&amp;col=4&amp;number=201.970643&amp;sourceID=21","201.970643")</f>
        <v>201.970643</v>
      </c>
      <c r="E285" s="4" t="str">
        <f>HYPERLINK("http://141.218.60.56/~jnz1568/getInfo.php?workbook=isotopes.xlsx&amp;sheet=Isotopes&amp;row=285&amp;col=5&amp;number=6e-07&amp;sourceID=21","6e-07")</f>
        <v>6e-07</v>
      </c>
      <c r="F285" s="4" t="str">
        <f>HYPERLINK("http://141.218.60.56/~jnz1568/getInfo.php?workbook=isotopes.xlsx&amp;sheet=Isotopes&amp;row=285&amp;col=6&amp;number=0.2986&amp;sourceID=21","0.2986")</f>
        <v>0.2986</v>
      </c>
      <c r="G285" s="4" t="str">
        <f>HYPERLINK("http://141.218.60.56/~jnz1568/getInfo.php?workbook=isotopes.xlsx&amp;sheet=Isotopes&amp;row=285&amp;col=7&amp;number=0.0026&amp;sourceID=21","0.0026")</f>
        <v>0.0026</v>
      </c>
    </row>
    <row r="286" spans="1:7">
      <c r="A286" s="3">
        <v>80</v>
      </c>
      <c r="B286" s="3">
        <v>204</v>
      </c>
      <c r="C286" s="3" t="s">
        <v>290</v>
      </c>
      <c r="D286" s="4" t="str">
        <f>HYPERLINK("http://141.218.60.56/~jnz1568/getInfo.php?workbook=isotopes.xlsx&amp;sheet=Isotopes&amp;row=286&amp;col=4&amp;number=203.9734939&amp;sourceID=21","203.9734939")</f>
        <v>203.9734939</v>
      </c>
      <c r="E286" s="4" t="str">
        <f>HYPERLINK("http://141.218.60.56/~jnz1568/getInfo.php?workbook=isotopes.xlsx&amp;sheet=Isotopes&amp;row=286&amp;col=5&amp;number=4e-07&amp;sourceID=21","4e-07")</f>
        <v>4e-07</v>
      </c>
      <c r="F286" s="4" t="str">
        <f>HYPERLINK("http://141.218.60.56/~jnz1568/getInfo.php?workbook=isotopes.xlsx&amp;sheet=Isotopes&amp;row=286&amp;col=6&amp;number=0.0687&amp;sourceID=21","0.0687")</f>
        <v>0.0687</v>
      </c>
      <c r="G286" s="4" t="str">
        <f>HYPERLINK("http://141.218.60.56/~jnz1568/getInfo.php?workbook=isotopes.xlsx&amp;sheet=Isotopes&amp;row=286&amp;col=7&amp;number=0.0015&amp;sourceID=21","0.0015")</f>
        <v>0.0015</v>
      </c>
    </row>
    <row r="287" spans="1:7">
      <c r="A287" s="3">
        <v>81</v>
      </c>
      <c r="B287" s="3">
        <v>203</v>
      </c>
      <c r="C287" s="3" t="s">
        <v>291</v>
      </c>
      <c r="D287" s="4" t="str">
        <f>HYPERLINK("http://141.218.60.56/~jnz1568/getInfo.php?workbook=isotopes.xlsx&amp;sheet=Isotopes&amp;row=287&amp;col=4&amp;number=202.9723442&amp;sourceID=21","202.9723442")</f>
        <v>202.9723442</v>
      </c>
      <c r="E287" s="4" t="str">
        <f>HYPERLINK("http://141.218.60.56/~jnz1568/getInfo.php?workbook=isotopes.xlsx&amp;sheet=Isotopes&amp;row=287&amp;col=5&amp;number=1.4e-06&amp;sourceID=21","1.4e-06")</f>
        <v>1.4e-06</v>
      </c>
      <c r="F287" s="4" t="str">
        <f>HYPERLINK("http://141.218.60.56/~jnz1568/getInfo.php?workbook=isotopes.xlsx&amp;sheet=Isotopes&amp;row=287&amp;col=6&amp;number=0.2952&amp;sourceID=21","0.2952")</f>
        <v>0.2952</v>
      </c>
      <c r="G287" s="4" t="str">
        <f>HYPERLINK("http://141.218.60.56/~jnz1568/getInfo.php?workbook=isotopes.xlsx&amp;sheet=Isotopes&amp;row=287&amp;col=7&amp;number=0.0001&amp;sourceID=21","0.0001")</f>
        <v>0.0001</v>
      </c>
    </row>
    <row r="288" spans="1:7">
      <c r="A288" s="3">
        <v>81</v>
      </c>
      <c r="B288" s="3">
        <v>205</v>
      </c>
      <c r="C288" s="3" t="s">
        <v>292</v>
      </c>
      <c r="D288" s="4" t="str">
        <f>HYPERLINK("http://141.218.60.56/~jnz1568/getInfo.php?workbook=isotopes.xlsx&amp;sheet=Isotopes&amp;row=288&amp;col=4&amp;number=204.9744275&amp;sourceID=21","204.9744275")</f>
        <v>204.9744275</v>
      </c>
      <c r="E288" s="4" t="str">
        <f>HYPERLINK("http://141.218.60.56/~jnz1568/getInfo.php?workbook=isotopes.xlsx&amp;sheet=Isotopes&amp;row=288&amp;col=5&amp;number=1.4e-06&amp;sourceID=21","1.4e-06")</f>
        <v>1.4e-06</v>
      </c>
      <c r="F288" s="4" t="str">
        <f>HYPERLINK("http://141.218.60.56/~jnz1568/getInfo.php?workbook=isotopes.xlsx&amp;sheet=Isotopes&amp;row=288&amp;col=6&amp;number=0.7048&amp;sourceID=21","0.7048")</f>
        <v>0.7048</v>
      </c>
      <c r="G288" s="4" t="str">
        <f>HYPERLINK("http://141.218.60.56/~jnz1568/getInfo.php?workbook=isotopes.xlsx&amp;sheet=Isotopes&amp;row=288&amp;col=7&amp;number=0.0001&amp;sourceID=21","0.0001")</f>
        <v>0.0001</v>
      </c>
    </row>
    <row r="289" spans="1:7">
      <c r="A289" s="3">
        <v>82</v>
      </c>
      <c r="B289" s="3">
        <v>204</v>
      </c>
      <c r="C289" s="3" t="s">
        <v>293</v>
      </c>
      <c r="D289" s="4" t="str">
        <f>HYPERLINK("http://141.218.60.56/~jnz1568/getInfo.php?workbook=isotopes.xlsx&amp;sheet=Isotopes&amp;row=289&amp;col=4&amp;number=203.9730436&amp;sourceID=21","203.9730436")</f>
        <v>203.9730436</v>
      </c>
      <c r="E289" s="4" t="str">
        <f>HYPERLINK("http://141.218.60.56/~jnz1568/getInfo.php?workbook=isotopes.xlsx&amp;sheet=Isotopes&amp;row=289&amp;col=5&amp;number=1.3e-06&amp;sourceID=21","1.3e-06")</f>
        <v>1.3e-06</v>
      </c>
      <c r="F289" s="4" t="str">
        <f>HYPERLINK("http://141.218.60.56/~jnz1568/getInfo.php?workbook=isotopes.xlsx&amp;sheet=Isotopes&amp;row=289&amp;col=6&amp;number=0.014&amp;sourceID=21","0.014")</f>
        <v>0.014</v>
      </c>
      <c r="G289" s="4" t="str">
        <f>HYPERLINK("http://141.218.60.56/~jnz1568/getInfo.php?workbook=isotopes.xlsx&amp;sheet=Isotopes&amp;row=289&amp;col=7&amp;number=0.001&amp;sourceID=21","0.001")</f>
        <v>0.001</v>
      </c>
    </row>
    <row r="290" spans="1:7">
      <c r="A290" s="3">
        <v>82</v>
      </c>
      <c r="B290" s="3">
        <v>206</v>
      </c>
      <c r="C290" s="3" t="s">
        <v>294</v>
      </c>
      <c r="D290" s="4" t="str">
        <f>HYPERLINK("http://141.218.60.56/~jnz1568/getInfo.php?workbook=isotopes.xlsx&amp;sheet=Isotopes&amp;row=290&amp;col=4&amp;number=205.9744653&amp;sourceID=21","205.9744653")</f>
        <v>205.9744653</v>
      </c>
      <c r="E290" s="4" t="str">
        <f>HYPERLINK("http://141.218.60.56/~jnz1568/getInfo.php?workbook=isotopes.xlsx&amp;sheet=Isotopes&amp;row=290&amp;col=5&amp;number=1.3e-06&amp;sourceID=21","1.3e-06")</f>
        <v>1.3e-06</v>
      </c>
      <c r="F290" s="4" t="str">
        <f>HYPERLINK("http://141.218.60.56/~jnz1568/getInfo.php?workbook=isotopes.xlsx&amp;sheet=Isotopes&amp;row=290&amp;col=6&amp;number=0.241&amp;sourceID=21","0.241")</f>
        <v>0.241</v>
      </c>
      <c r="G290" s="4" t="str">
        <f>HYPERLINK("http://141.218.60.56/~jnz1568/getInfo.php?workbook=isotopes.xlsx&amp;sheet=Isotopes&amp;row=290&amp;col=7&amp;number=0.001&amp;sourceID=21","0.001")</f>
        <v>0.001</v>
      </c>
    </row>
    <row r="291" spans="1:7">
      <c r="A291" s="3">
        <v>82</v>
      </c>
      <c r="B291" s="3">
        <v>207</v>
      </c>
      <c r="C291" s="3" t="s">
        <v>295</v>
      </c>
      <c r="D291" s="4" t="str">
        <f>HYPERLINK("http://141.218.60.56/~jnz1568/getInfo.php?workbook=isotopes.xlsx&amp;sheet=Isotopes&amp;row=291&amp;col=4&amp;number=206.9758969&amp;sourceID=21","206.9758969")</f>
        <v>206.9758969</v>
      </c>
      <c r="E291" s="4" t="str">
        <f>HYPERLINK("http://141.218.60.56/~jnz1568/getInfo.php?workbook=isotopes.xlsx&amp;sheet=Isotopes&amp;row=291&amp;col=5&amp;number=1.3e-06&amp;sourceID=21","1.3e-06")</f>
        <v>1.3e-06</v>
      </c>
      <c r="F291" s="4" t="str">
        <f>HYPERLINK("http://141.218.60.56/~jnz1568/getInfo.php?workbook=isotopes.xlsx&amp;sheet=Isotopes&amp;row=291&amp;col=6&amp;number=0.221&amp;sourceID=21","0.221")</f>
        <v>0.221</v>
      </c>
      <c r="G291" s="4" t="str">
        <f>HYPERLINK("http://141.218.60.56/~jnz1568/getInfo.php?workbook=isotopes.xlsx&amp;sheet=Isotopes&amp;row=291&amp;col=7&amp;number=0.001&amp;sourceID=21","0.001")</f>
        <v>0.001</v>
      </c>
    </row>
    <row r="292" spans="1:7">
      <c r="A292" s="3">
        <v>82</v>
      </c>
      <c r="B292" s="3">
        <v>208</v>
      </c>
      <c r="C292" s="3" t="s">
        <v>296</v>
      </c>
      <c r="D292" s="4" t="str">
        <f>HYPERLINK("http://141.218.60.56/~jnz1568/getInfo.php?workbook=isotopes.xlsx&amp;sheet=Isotopes&amp;row=292&amp;col=4&amp;number=207.9766521&amp;sourceID=21","207.9766521")</f>
        <v>207.9766521</v>
      </c>
      <c r="E292" s="4" t="str">
        <f>HYPERLINK("http://141.218.60.56/~jnz1568/getInfo.php?workbook=isotopes.xlsx&amp;sheet=Isotopes&amp;row=292&amp;col=5&amp;number=1.3e-06&amp;sourceID=21","1.3e-06")</f>
        <v>1.3e-06</v>
      </c>
      <c r="F292" s="4" t="str">
        <f>HYPERLINK("http://141.218.60.56/~jnz1568/getInfo.php?workbook=isotopes.xlsx&amp;sheet=Isotopes&amp;row=292&amp;col=6&amp;number=0.524&amp;sourceID=21","0.524")</f>
        <v>0.524</v>
      </c>
      <c r="G292" s="4" t="str">
        <f>HYPERLINK("http://141.218.60.56/~jnz1568/getInfo.php?workbook=isotopes.xlsx&amp;sheet=Isotopes&amp;row=292&amp;col=7&amp;number=0.001&amp;sourceID=21","0.001")</f>
        <v>0.001</v>
      </c>
    </row>
    <row r="293" spans="1:7">
      <c r="A293" s="3">
        <v>83</v>
      </c>
      <c r="B293" s="3">
        <v>209</v>
      </c>
      <c r="C293" s="3" t="s">
        <v>297</v>
      </c>
      <c r="D293" s="4" t="str">
        <f>HYPERLINK("http://141.218.60.56/~jnz1568/getInfo.php?workbook=isotopes.xlsx&amp;sheet=Isotopes&amp;row=293&amp;col=4&amp;number=208.9803987&amp;sourceID=21","208.9803987")</f>
        <v>208.9803987</v>
      </c>
      <c r="E293" s="4" t="str">
        <f>HYPERLINK("http://141.218.60.56/~jnz1568/getInfo.php?workbook=isotopes.xlsx&amp;sheet=Isotopes&amp;row=293&amp;col=5&amp;number=1.6e-06&amp;sourceID=21","1.6e-06")</f>
        <v>1.6e-06</v>
      </c>
      <c r="F293" s="4" t="str">
        <f>HYPERLINK("http://141.218.60.56/~jnz1568/getInfo.php?workbook=isotopes.xlsx&amp;sheet=Isotopes&amp;row=293&amp;col=6&amp;number=1&amp;sourceID=21","1")</f>
        <v>1</v>
      </c>
      <c r="G293" s="4" t="str">
        <f>HYPERLINK("http://141.218.60.56/~jnz1568/getInfo.php?workbook=isotopes.xlsx&amp;sheet=Isotopes&amp;row=293&amp;col=7&amp;number=&amp;sourceID=21","")</f>
        <v/>
      </c>
    </row>
    <row r="294" spans="1:7">
      <c r="A294" s="3">
        <v>84</v>
      </c>
      <c r="B294" s="3">
        <v>209</v>
      </c>
      <c r="C294" s="3" t="s">
        <v>298</v>
      </c>
      <c r="D294" s="4" t="str">
        <f>HYPERLINK("http://141.218.60.56/~jnz1568/getInfo.php?workbook=isotopes.xlsx&amp;sheet=Isotopes&amp;row=294&amp;col=4&amp;number=208.9824304&amp;sourceID=21","208.9824304")</f>
        <v>208.9824304</v>
      </c>
      <c r="E294" s="4" t="str">
        <f>HYPERLINK("http://141.218.60.56/~jnz1568/getInfo.php?workbook=isotopes.xlsx&amp;sheet=Isotopes&amp;row=294&amp;col=5&amp;number=2e-06&amp;sourceID=21","2e-06")</f>
        <v>2e-06</v>
      </c>
      <c r="F294" s="4" t="str">
        <f>HYPERLINK("http://141.218.60.56/~jnz1568/getInfo.php?workbook=isotopes.xlsx&amp;sheet=Isotopes&amp;row=294&amp;col=6&amp;number=&amp;sourceID=21","")</f>
        <v/>
      </c>
      <c r="G294" s="4" t="str">
        <f>HYPERLINK("http://141.218.60.56/~jnz1568/getInfo.php?workbook=isotopes.xlsx&amp;sheet=Isotopes&amp;row=294&amp;col=7&amp;number=&amp;sourceID=21","")</f>
        <v/>
      </c>
    </row>
    <row r="295" spans="1:7">
      <c r="A295" s="3">
        <v>84</v>
      </c>
      <c r="B295" s="3">
        <v>210</v>
      </c>
      <c r="C295" s="3" t="s">
        <v>299</v>
      </c>
      <c r="D295" s="4" t="str">
        <f>HYPERLINK("http://141.218.60.56/~jnz1568/getInfo.php?workbook=isotopes.xlsx&amp;sheet=Isotopes&amp;row=295&amp;col=4&amp;number=209.9828737&amp;sourceID=21","209.9828737")</f>
        <v>209.9828737</v>
      </c>
      <c r="E295" s="4" t="str">
        <f>HYPERLINK("http://141.218.60.56/~jnz1568/getInfo.php?workbook=isotopes.xlsx&amp;sheet=Isotopes&amp;row=295&amp;col=5&amp;number=1.3e-06&amp;sourceID=21","1.3e-06")</f>
        <v>1.3e-06</v>
      </c>
      <c r="F295" s="4" t="str">
        <f>HYPERLINK("http://141.218.60.56/~jnz1568/getInfo.php?workbook=isotopes.xlsx&amp;sheet=Isotopes&amp;row=295&amp;col=6&amp;number=&amp;sourceID=21","")</f>
        <v/>
      </c>
      <c r="G295" s="4" t="str">
        <f>HYPERLINK("http://141.218.60.56/~jnz1568/getInfo.php?workbook=isotopes.xlsx&amp;sheet=Isotopes&amp;row=295&amp;col=7&amp;number=&amp;sourceID=21","")</f>
        <v/>
      </c>
    </row>
    <row r="296" spans="1:7">
      <c r="A296" s="3">
        <v>85</v>
      </c>
      <c r="B296" s="3">
        <v>210</v>
      </c>
      <c r="C296" s="3" t="s">
        <v>300</v>
      </c>
      <c r="D296" s="4" t="str">
        <f>HYPERLINK("http://141.218.60.56/~jnz1568/getInfo.php?workbook=isotopes.xlsx&amp;sheet=Isotopes&amp;row=296&amp;col=4&amp;number=209.987148&amp;sourceID=21","209.987148")</f>
        <v>209.987148</v>
      </c>
      <c r="E296" s="4" t="str">
        <f>HYPERLINK("http://141.218.60.56/~jnz1568/getInfo.php?workbook=isotopes.xlsx&amp;sheet=Isotopes&amp;row=296&amp;col=5&amp;number=8e-06&amp;sourceID=21","8e-06")</f>
        <v>8e-06</v>
      </c>
      <c r="F296" s="4" t="str">
        <f>HYPERLINK("http://141.218.60.56/~jnz1568/getInfo.php?workbook=isotopes.xlsx&amp;sheet=Isotopes&amp;row=296&amp;col=6&amp;number=&amp;sourceID=21","")</f>
        <v/>
      </c>
      <c r="G296" s="4" t="str">
        <f>HYPERLINK("http://141.218.60.56/~jnz1568/getInfo.php?workbook=isotopes.xlsx&amp;sheet=Isotopes&amp;row=296&amp;col=7&amp;number=&amp;sourceID=21","")</f>
        <v/>
      </c>
    </row>
    <row r="297" spans="1:7">
      <c r="A297" s="3">
        <v>85</v>
      </c>
      <c r="B297" s="3">
        <v>211</v>
      </c>
      <c r="C297" s="3" t="s">
        <v>301</v>
      </c>
      <c r="D297" s="4" t="str">
        <f>HYPERLINK("http://141.218.60.56/~jnz1568/getInfo.php?workbook=isotopes.xlsx&amp;sheet=Isotopes&amp;row=297&amp;col=4&amp;number=210.9874963&amp;sourceID=21","210.9874963")</f>
        <v>210.9874963</v>
      </c>
      <c r="E297" s="4" t="str">
        <f>HYPERLINK("http://141.218.60.56/~jnz1568/getInfo.php?workbook=isotopes.xlsx&amp;sheet=Isotopes&amp;row=297&amp;col=5&amp;number=3e-06&amp;sourceID=21","3e-06")</f>
        <v>3e-06</v>
      </c>
      <c r="F297" s="4" t="str">
        <f>HYPERLINK("http://141.218.60.56/~jnz1568/getInfo.php?workbook=isotopes.xlsx&amp;sheet=Isotopes&amp;row=297&amp;col=6&amp;number=&amp;sourceID=21","")</f>
        <v/>
      </c>
      <c r="G297" s="4" t="str">
        <f>HYPERLINK("http://141.218.60.56/~jnz1568/getInfo.php?workbook=isotopes.xlsx&amp;sheet=Isotopes&amp;row=297&amp;col=7&amp;number=&amp;sourceID=21","")</f>
        <v/>
      </c>
    </row>
    <row r="298" spans="1:7">
      <c r="A298" s="3">
        <v>86</v>
      </c>
      <c r="B298" s="3">
        <v>211</v>
      </c>
      <c r="C298" s="3" t="s">
        <v>302</v>
      </c>
      <c r="D298" s="4" t="str">
        <f>HYPERLINK("http://141.218.60.56/~jnz1568/getInfo.php?workbook=isotopes.xlsx&amp;sheet=Isotopes&amp;row=298&amp;col=4&amp;number=210.990601&amp;sourceID=21","210.990601")</f>
        <v>210.990601</v>
      </c>
      <c r="E298" s="4" t="str">
        <f>HYPERLINK("http://141.218.60.56/~jnz1568/getInfo.php?workbook=isotopes.xlsx&amp;sheet=Isotopes&amp;row=298&amp;col=5&amp;number=7e-06&amp;sourceID=21","7e-06")</f>
        <v>7e-06</v>
      </c>
      <c r="F298" s="4" t="str">
        <f>HYPERLINK("http://141.218.60.56/~jnz1568/getInfo.php?workbook=isotopes.xlsx&amp;sheet=Isotopes&amp;row=298&amp;col=6&amp;number=&amp;sourceID=21","")</f>
        <v/>
      </c>
      <c r="G298" s="4" t="str">
        <f>HYPERLINK("http://141.218.60.56/~jnz1568/getInfo.php?workbook=isotopes.xlsx&amp;sheet=Isotopes&amp;row=298&amp;col=7&amp;number=&amp;sourceID=21","")</f>
        <v/>
      </c>
    </row>
    <row r="299" spans="1:7">
      <c r="A299" s="3">
        <v>86</v>
      </c>
      <c r="B299" s="3">
        <v>220</v>
      </c>
      <c r="C299" s="3" t="s">
        <v>303</v>
      </c>
      <c r="D299" s="4" t="str">
        <f>HYPERLINK("http://141.218.60.56/~jnz1568/getInfo.php?workbook=isotopes.xlsx&amp;sheet=Isotopes&amp;row=299&amp;col=4&amp;number=220.011394&amp;sourceID=21","220.011394")</f>
        <v>220.011394</v>
      </c>
      <c r="E299" s="4" t="str">
        <f>HYPERLINK("http://141.218.60.56/~jnz1568/getInfo.php?workbook=isotopes.xlsx&amp;sheet=Isotopes&amp;row=299&amp;col=5&amp;number=2.4e-06&amp;sourceID=21","2.4e-06")</f>
        <v>2.4e-06</v>
      </c>
      <c r="F299" s="4" t="str">
        <f>HYPERLINK("http://141.218.60.56/~jnz1568/getInfo.php?workbook=isotopes.xlsx&amp;sheet=Isotopes&amp;row=299&amp;col=6&amp;number=&amp;sourceID=21","")</f>
        <v/>
      </c>
      <c r="G299" s="4" t="str">
        <f>HYPERLINK("http://141.218.60.56/~jnz1568/getInfo.php?workbook=isotopes.xlsx&amp;sheet=Isotopes&amp;row=299&amp;col=7&amp;number=&amp;sourceID=21","")</f>
        <v/>
      </c>
    </row>
    <row r="300" spans="1:7">
      <c r="A300" s="3">
        <v>86</v>
      </c>
      <c r="B300" s="3">
        <v>222</v>
      </c>
      <c r="C300" s="3" t="s">
        <v>304</v>
      </c>
      <c r="D300" s="4" t="str">
        <f>HYPERLINK("http://141.218.60.56/~jnz1568/getInfo.php?workbook=isotopes.xlsx&amp;sheet=Isotopes&amp;row=300&amp;col=4&amp;number=222.0175777&amp;sourceID=21","222.0175777")</f>
        <v>222.0175777</v>
      </c>
      <c r="E300" s="4" t="str">
        <f>HYPERLINK("http://141.218.60.56/~jnz1568/getInfo.php?workbook=isotopes.xlsx&amp;sheet=Isotopes&amp;row=300&amp;col=5&amp;number=2.5e-06&amp;sourceID=21","2.5e-06")</f>
        <v>2.5e-06</v>
      </c>
      <c r="F300" s="4" t="str">
        <f>HYPERLINK("http://141.218.60.56/~jnz1568/getInfo.php?workbook=isotopes.xlsx&amp;sheet=Isotopes&amp;row=300&amp;col=6&amp;number=&amp;sourceID=21","")</f>
        <v/>
      </c>
      <c r="G300" s="4" t="str">
        <f>HYPERLINK("http://141.218.60.56/~jnz1568/getInfo.php?workbook=isotopes.xlsx&amp;sheet=Isotopes&amp;row=300&amp;col=7&amp;number=&amp;sourceID=21","")</f>
        <v/>
      </c>
    </row>
    <row r="301" spans="1:7">
      <c r="A301" s="3">
        <v>87</v>
      </c>
      <c r="B301" s="3">
        <v>223</v>
      </c>
      <c r="C301" s="3" t="s">
        <v>305</v>
      </c>
      <c r="D301" s="4" t="str">
        <f>HYPERLINK("http://141.218.60.56/~jnz1568/getInfo.php?workbook=isotopes.xlsx&amp;sheet=Isotopes&amp;row=301&amp;col=4&amp;number=223.0197359&amp;sourceID=21","223.0197359")</f>
        <v>223.0197359</v>
      </c>
      <c r="E301" s="4" t="str">
        <f>HYPERLINK("http://141.218.60.56/~jnz1568/getInfo.php?workbook=isotopes.xlsx&amp;sheet=Isotopes&amp;row=301&amp;col=5&amp;number=2.6e-06&amp;sourceID=21","2.6e-06")</f>
        <v>2.6e-06</v>
      </c>
      <c r="F301" s="4" t="str">
        <f>HYPERLINK("http://141.218.60.56/~jnz1568/getInfo.php?workbook=isotopes.xlsx&amp;sheet=Isotopes&amp;row=301&amp;col=6&amp;number=&amp;sourceID=21","")</f>
        <v/>
      </c>
      <c r="G301" s="4" t="str">
        <f>HYPERLINK("http://141.218.60.56/~jnz1568/getInfo.php?workbook=isotopes.xlsx&amp;sheet=Isotopes&amp;row=301&amp;col=7&amp;number=&amp;sourceID=21","")</f>
        <v/>
      </c>
    </row>
    <row r="302" spans="1:7">
      <c r="A302" s="3">
        <v>88</v>
      </c>
      <c r="B302" s="3">
        <v>223</v>
      </c>
      <c r="C302" s="3" t="s">
        <v>306</v>
      </c>
      <c r="D302" s="4" t="str">
        <f>HYPERLINK("http://141.218.60.56/~jnz1568/getInfo.php?workbook=isotopes.xlsx&amp;sheet=Isotopes&amp;row=302&amp;col=4&amp;number=223.0185022&amp;sourceID=21","223.0185022")</f>
        <v>223.0185022</v>
      </c>
      <c r="E302" s="4" t="str">
        <f>HYPERLINK("http://141.218.60.56/~jnz1568/getInfo.php?workbook=isotopes.xlsx&amp;sheet=Isotopes&amp;row=302&amp;col=5&amp;number=2.7e-06&amp;sourceID=21","2.7e-06")</f>
        <v>2.7e-06</v>
      </c>
      <c r="F302" s="4" t="str">
        <f>HYPERLINK("http://141.218.60.56/~jnz1568/getInfo.php?workbook=isotopes.xlsx&amp;sheet=Isotopes&amp;row=302&amp;col=6&amp;number=&amp;sourceID=21","")</f>
        <v/>
      </c>
      <c r="G302" s="4" t="str">
        <f>HYPERLINK("http://141.218.60.56/~jnz1568/getInfo.php?workbook=isotopes.xlsx&amp;sheet=Isotopes&amp;row=302&amp;col=7&amp;number=&amp;sourceID=21","")</f>
        <v/>
      </c>
    </row>
    <row r="303" spans="1:7">
      <c r="A303" s="3">
        <v>88</v>
      </c>
      <c r="B303" s="3">
        <v>224</v>
      </c>
      <c r="C303" s="3" t="s">
        <v>307</v>
      </c>
      <c r="D303" s="4" t="str">
        <f>HYPERLINK("http://141.218.60.56/~jnz1568/getInfo.php?workbook=isotopes.xlsx&amp;sheet=Isotopes&amp;row=303&amp;col=4&amp;number=224.0202118&amp;sourceID=21","224.0202118")</f>
        <v>224.0202118</v>
      </c>
      <c r="E303" s="4" t="str">
        <f>HYPERLINK("http://141.218.60.56/~jnz1568/getInfo.php?workbook=isotopes.xlsx&amp;sheet=Isotopes&amp;row=303&amp;col=5&amp;number=2.4e-06&amp;sourceID=21","2.4e-06")</f>
        <v>2.4e-06</v>
      </c>
      <c r="F303" s="4" t="str">
        <f>HYPERLINK("http://141.218.60.56/~jnz1568/getInfo.php?workbook=isotopes.xlsx&amp;sheet=Isotopes&amp;row=303&amp;col=6&amp;number=&amp;sourceID=21","")</f>
        <v/>
      </c>
      <c r="G303" s="4" t="str">
        <f>HYPERLINK("http://141.218.60.56/~jnz1568/getInfo.php?workbook=isotopes.xlsx&amp;sheet=Isotopes&amp;row=303&amp;col=7&amp;number=&amp;sourceID=21","")</f>
        <v/>
      </c>
    </row>
    <row r="304" spans="1:7">
      <c r="A304" s="3">
        <v>88</v>
      </c>
      <c r="B304" s="3">
        <v>226</v>
      </c>
      <c r="C304" s="3" t="s">
        <v>308</v>
      </c>
      <c r="D304" s="4" t="str">
        <f>HYPERLINK("http://141.218.60.56/~jnz1568/getInfo.php?workbook=isotopes.xlsx&amp;sheet=Isotopes&amp;row=304&amp;col=4&amp;number=226.0254098&amp;sourceID=21","226.0254098")</f>
        <v>226.0254098</v>
      </c>
      <c r="E304" s="4" t="str">
        <f>HYPERLINK("http://141.218.60.56/~jnz1568/getInfo.php?workbook=isotopes.xlsx&amp;sheet=Isotopes&amp;row=304&amp;col=5&amp;number=2.5e-06&amp;sourceID=21","2.5e-06")</f>
        <v>2.5e-06</v>
      </c>
      <c r="F304" s="4" t="str">
        <f>HYPERLINK("http://141.218.60.56/~jnz1568/getInfo.php?workbook=isotopes.xlsx&amp;sheet=Isotopes&amp;row=304&amp;col=6&amp;number=&amp;sourceID=21","")</f>
        <v/>
      </c>
      <c r="G304" s="4" t="str">
        <f>HYPERLINK("http://141.218.60.56/~jnz1568/getInfo.php?workbook=isotopes.xlsx&amp;sheet=Isotopes&amp;row=304&amp;col=7&amp;number=&amp;sourceID=21","")</f>
        <v/>
      </c>
    </row>
    <row r="305" spans="1:7">
      <c r="A305" s="3">
        <v>88</v>
      </c>
      <c r="B305" s="3">
        <v>228</v>
      </c>
      <c r="C305" s="3" t="s">
        <v>309</v>
      </c>
      <c r="D305" s="4" t="str">
        <f>HYPERLINK("http://141.218.60.56/~jnz1568/getInfo.php?workbook=isotopes.xlsx&amp;sheet=Isotopes&amp;row=305&amp;col=4&amp;number=228.0310703&amp;sourceID=21","228.0310703")</f>
        <v>228.0310703</v>
      </c>
      <c r="E305" s="4" t="str">
        <f>HYPERLINK("http://141.218.60.56/~jnz1568/getInfo.php?workbook=isotopes.xlsx&amp;sheet=Isotopes&amp;row=305&amp;col=5&amp;number=2.6e-06&amp;sourceID=21","2.6e-06")</f>
        <v>2.6e-06</v>
      </c>
      <c r="F305" s="4" t="str">
        <f>HYPERLINK("http://141.218.60.56/~jnz1568/getInfo.php?workbook=isotopes.xlsx&amp;sheet=Isotopes&amp;row=305&amp;col=6&amp;number=&amp;sourceID=21","")</f>
        <v/>
      </c>
      <c r="G305" s="4" t="str">
        <f>HYPERLINK("http://141.218.60.56/~jnz1568/getInfo.php?workbook=isotopes.xlsx&amp;sheet=Isotopes&amp;row=305&amp;col=7&amp;number=&amp;sourceID=21","")</f>
        <v/>
      </c>
    </row>
    <row r="306" spans="1:7">
      <c r="A306" s="3">
        <v>89</v>
      </c>
      <c r="B306" s="3">
        <v>227</v>
      </c>
      <c r="C306" s="3" t="s">
        <v>310</v>
      </c>
      <c r="D306" s="4" t="str">
        <f>HYPERLINK("http://141.218.60.56/~jnz1568/getInfo.php?workbook=isotopes.xlsx&amp;sheet=Isotopes&amp;row=306&amp;col=4&amp;number=227.0277521&amp;sourceID=21","227.0277521")</f>
        <v>227.0277521</v>
      </c>
      <c r="E306" s="4" t="str">
        <f>HYPERLINK("http://141.218.60.56/~jnz1568/getInfo.php?workbook=isotopes.xlsx&amp;sheet=Isotopes&amp;row=306&amp;col=5&amp;number=2.6e-06&amp;sourceID=21","2.6e-06")</f>
        <v>2.6e-06</v>
      </c>
      <c r="F306" s="4" t="str">
        <f>HYPERLINK("http://141.218.60.56/~jnz1568/getInfo.php?workbook=isotopes.xlsx&amp;sheet=Isotopes&amp;row=306&amp;col=6&amp;number=&amp;sourceID=21","")</f>
        <v/>
      </c>
      <c r="G306" s="4" t="str">
        <f>HYPERLINK("http://141.218.60.56/~jnz1568/getInfo.php?workbook=isotopes.xlsx&amp;sheet=Isotopes&amp;row=306&amp;col=7&amp;number=&amp;sourceID=21","")</f>
        <v/>
      </c>
    </row>
    <row r="307" spans="1:7">
      <c r="A307" s="3">
        <v>90</v>
      </c>
      <c r="B307" s="3">
        <v>230</v>
      </c>
      <c r="C307" s="3" t="s">
        <v>311</v>
      </c>
      <c r="D307" s="4" t="str">
        <f>HYPERLINK("http://141.218.60.56/~jnz1568/getInfo.php?workbook=isotopes.xlsx&amp;sheet=Isotopes&amp;row=307&amp;col=4&amp;number=230.0331338&amp;sourceID=21","230.0331338")</f>
        <v>230.0331338</v>
      </c>
      <c r="E307" s="4" t="str">
        <f>HYPERLINK("http://141.218.60.56/~jnz1568/getInfo.php?workbook=isotopes.xlsx&amp;sheet=Isotopes&amp;row=307&amp;col=5&amp;number=1.9e-06&amp;sourceID=21","1.9e-06")</f>
        <v>1.9e-06</v>
      </c>
      <c r="F307" s="4" t="str">
        <f>HYPERLINK("http://141.218.60.56/~jnz1568/getInfo.php?workbook=isotopes.xlsx&amp;sheet=Isotopes&amp;row=307&amp;col=6&amp;number=&amp;sourceID=21","")</f>
        <v/>
      </c>
      <c r="G307" s="4" t="str">
        <f>HYPERLINK("http://141.218.60.56/~jnz1568/getInfo.php?workbook=isotopes.xlsx&amp;sheet=Isotopes&amp;row=307&amp;col=7&amp;number=&amp;sourceID=21","")</f>
        <v/>
      </c>
    </row>
    <row r="308" spans="1:7">
      <c r="A308" s="3">
        <v>90</v>
      </c>
      <c r="B308" s="3">
        <v>232</v>
      </c>
      <c r="C308" s="3" t="s">
        <v>312</v>
      </c>
      <c r="D308" s="4" t="str">
        <f>HYPERLINK("http://141.218.60.56/~jnz1568/getInfo.php?workbook=isotopes.xlsx&amp;sheet=Isotopes&amp;row=308&amp;col=4&amp;number=232.0380553&amp;sourceID=21","232.0380553")</f>
        <v>232.0380553</v>
      </c>
      <c r="E308" s="4" t="str">
        <f>HYPERLINK("http://141.218.60.56/~jnz1568/getInfo.php?workbook=isotopes.xlsx&amp;sheet=Isotopes&amp;row=308&amp;col=5&amp;number=2.1e-06&amp;sourceID=21","2.1e-06")</f>
        <v>2.1e-06</v>
      </c>
      <c r="F308" s="4" t="str">
        <f>HYPERLINK("http://141.218.60.56/~jnz1568/getInfo.php?workbook=isotopes.xlsx&amp;sheet=Isotopes&amp;row=308&amp;col=6&amp;number=1&amp;sourceID=21","1")</f>
        <v>1</v>
      </c>
      <c r="G308" s="4" t="str">
        <f>HYPERLINK("http://141.218.60.56/~jnz1568/getInfo.php?workbook=isotopes.xlsx&amp;sheet=Isotopes&amp;row=308&amp;col=7&amp;number=&amp;sourceID=21","")</f>
        <v/>
      </c>
    </row>
    <row r="309" spans="1:7">
      <c r="A309" s="3">
        <v>91</v>
      </c>
      <c r="B309" s="3">
        <v>231</v>
      </c>
      <c r="C309" s="3" t="s">
        <v>313</v>
      </c>
      <c r="D309" s="4" t="str">
        <f>HYPERLINK("http://141.218.60.56/~jnz1568/getInfo.php?workbook=isotopes.xlsx&amp;sheet=Isotopes&amp;row=309&amp;col=4&amp;number=231.035884&amp;sourceID=21","231.035884")</f>
        <v>231.035884</v>
      </c>
      <c r="E309" s="4" t="str">
        <f>HYPERLINK("http://141.218.60.56/~jnz1568/getInfo.php?workbook=isotopes.xlsx&amp;sheet=Isotopes&amp;row=309&amp;col=5&amp;number=2.4e-06&amp;sourceID=21","2.4e-06")</f>
        <v>2.4e-06</v>
      </c>
      <c r="F309" s="4" t="str">
        <f>HYPERLINK("http://141.218.60.56/~jnz1568/getInfo.php?workbook=isotopes.xlsx&amp;sheet=Isotopes&amp;row=309&amp;col=6&amp;number=1&amp;sourceID=21","1")</f>
        <v>1</v>
      </c>
      <c r="G309" s="4" t="str">
        <f>HYPERLINK("http://141.218.60.56/~jnz1568/getInfo.php?workbook=isotopes.xlsx&amp;sheet=Isotopes&amp;row=309&amp;col=7&amp;number=&amp;sourceID=21","")</f>
        <v/>
      </c>
    </row>
    <row r="310" spans="1:7">
      <c r="A310" s="3">
        <v>92</v>
      </c>
      <c r="B310" s="3">
        <v>233</v>
      </c>
      <c r="C310" s="3" t="s">
        <v>314</v>
      </c>
      <c r="D310" s="4" t="str">
        <f>HYPERLINK("http://141.218.60.56/~jnz1568/getInfo.php?workbook=isotopes.xlsx&amp;sheet=Isotopes&amp;row=310&amp;col=4&amp;number=233.0396352&amp;sourceID=21","233.0396352")</f>
        <v>233.0396352</v>
      </c>
      <c r="E310" s="4" t="str">
        <f>HYPERLINK("http://141.218.60.56/~jnz1568/getInfo.php?workbook=isotopes.xlsx&amp;sheet=Isotopes&amp;row=310&amp;col=5&amp;number=2.9e-06&amp;sourceID=21","2.9e-06")</f>
        <v>2.9e-06</v>
      </c>
      <c r="F310" s="4" t="str">
        <f>HYPERLINK("http://141.218.60.56/~jnz1568/getInfo.php?workbook=isotopes.xlsx&amp;sheet=Isotopes&amp;row=310&amp;col=6&amp;number=&amp;sourceID=21","")</f>
        <v/>
      </c>
      <c r="G310" s="4" t="str">
        <f>HYPERLINK("http://141.218.60.56/~jnz1568/getInfo.php?workbook=isotopes.xlsx&amp;sheet=Isotopes&amp;row=310&amp;col=7&amp;number=&amp;sourceID=21","")</f>
        <v/>
      </c>
    </row>
    <row r="311" spans="1:7">
      <c r="A311" s="3">
        <v>92</v>
      </c>
      <c r="B311" s="3">
        <v>234</v>
      </c>
      <c r="C311" s="3" t="s">
        <v>315</v>
      </c>
      <c r="D311" s="4" t="str">
        <f>HYPERLINK("http://141.218.60.56/~jnz1568/getInfo.php?workbook=isotopes.xlsx&amp;sheet=Isotopes&amp;row=311&amp;col=4&amp;number=234.0409521&amp;sourceID=21","234.0409521")</f>
        <v>234.0409521</v>
      </c>
      <c r="E311" s="4" t="str">
        <f>HYPERLINK("http://141.218.60.56/~jnz1568/getInfo.php?workbook=isotopes.xlsx&amp;sheet=Isotopes&amp;row=311&amp;col=5&amp;number=2e-06&amp;sourceID=21","2e-06")</f>
        <v>2e-06</v>
      </c>
      <c r="F311" s="4" t="str">
        <f>HYPERLINK("http://141.218.60.56/~jnz1568/getInfo.php?workbook=isotopes.xlsx&amp;sheet=Isotopes&amp;row=311&amp;col=6&amp;number=5.4e-05&amp;sourceID=21","5.4e-05")</f>
        <v>5.4e-05</v>
      </c>
      <c r="G311" s="4" t="str">
        <f>HYPERLINK("http://141.218.60.56/~jnz1568/getInfo.php?workbook=isotopes.xlsx&amp;sheet=Isotopes&amp;row=311&amp;col=7&amp;number=5e-06&amp;sourceID=21","5e-06")</f>
        <v>5e-06</v>
      </c>
    </row>
    <row r="312" spans="1:7">
      <c r="A312" s="3">
        <v>92</v>
      </c>
      <c r="B312" s="3">
        <v>235</v>
      </c>
      <c r="C312" s="3" t="s">
        <v>316</v>
      </c>
      <c r="D312" s="4" t="str">
        <f>HYPERLINK("http://141.218.60.56/~jnz1568/getInfo.php?workbook=isotopes.xlsx&amp;sheet=Isotopes&amp;row=312&amp;col=4&amp;number=235.0439299&amp;sourceID=21","235.0439299")</f>
        <v>235.0439299</v>
      </c>
      <c r="E312" s="4" t="str">
        <f>HYPERLINK("http://141.218.60.56/~jnz1568/getInfo.php?workbook=isotopes.xlsx&amp;sheet=Isotopes&amp;row=312&amp;col=5&amp;number=2e-06&amp;sourceID=21","2e-06")</f>
        <v>2e-06</v>
      </c>
      <c r="F312" s="4" t="str">
        <f>HYPERLINK("http://141.218.60.56/~jnz1568/getInfo.php?workbook=isotopes.xlsx&amp;sheet=Isotopes&amp;row=312&amp;col=6&amp;number=0.007204&amp;sourceID=21","0.007204")</f>
        <v>0.007204</v>
      </c>
      <c r="G312" s="4" t="str">
        <f>HYPERLINK("http://141.218.60.56/~jnz1568/getInfo.php?workbook=isotopes.xlsx&amp;sheet=Isotopes&amp;row=312&amp;col=7&amp;number=6e-06&amp;sourceID=21","6e-06")</f>
        <v>6e-06</v>
      </c>
    </row>
    <row r="313" spans="1:7">
      <c r="A313" s="3">
        <v>92</v>
      </c>
      <c r="B313" s="3">
        <v>236</v>
      </c>
      <c r="C313" s="3" t="s">
        <v>317</v>
      </c>
      <c r="D313" s="4" t="str">
        <f>HYPERLINK("http://141.218.60.56/~jnz1568/getInfo.php?workbook=isotopes.xlsx&amp;sheet=Isotopes&amp;row=313&amp;col=4&amp;number=236.045568&amp;sourceID=21","236.045568")</f>
        <v>236.045568</v>
      </c>
      <c r="E313" s="4" t="str">
        <f>HYPERLINK("http://141.218.60.56/~jnz1568/getInfo.php?workbook=isotopes.xlsx&amp;sheet=Isotopes&amp;row=313&amp;col=5&amp;number=2e-06&amp;sourceID=21","2e-06")</f>
        <v>2e-06</v>
      </c>
      <c r="F313" s="4" t="str">
        <f>HYPERLINK("http://141.218.60.56/~jnz1568/getInfo.php?workbook=isotopes.xlsx&amp;sheet=Isotopes&amp;row=313&amp;col=6&amp;number=&amp;sourceID=21","")</f>
        <v/>
      </c>
      <c r="G313" s="4" t="str">
        <f>HYPERLINK("http://141.218.60.56/~jnz1568/getInfo.php?workbook=isotopes.xlsx&amp;sheet=Isotopes&amp;row=313&amp;col=7&amp;number=&amp;sourceID=21","")</f>
        <v/>
      </c>
    </row>
    <row r="314" spans="1:7">
      <c r="A314" s="3">
        <v>92</v>
      </c>
      <c r="B314" s="3">
        <v>238</v>
      </c>
      <c r="C314" s="3" t="s">
        <v>318</v>
      </c>
      <c r="D314" s="4" t="str">
        <f>HYPERLINK("http://141.218.60.56/~jnz1568/getInfo.php?workbook=isotopes.xlsx&amp;sheet=Isotopes&amp;row=314&amp;col=4&amp;number=238.0507882&amp;sourceID=21","238.0507882")</f>
        <v>238.0507882</v>
      </c>
      <c r="E314" s="4" t="str">
        <f>HYPERLINK("http://141.218.60.56/~jnz1568/getInfo.php?workbook=isotopes.xlsx&amp;sheet=Isotopes&amp;row=314&amp;col=5&amp;number=2e-06&amp;sourceID=21","2e-06")</f>
        <v>2e-06</v>
      </c>
      <c r="F314" s="4" t="str">
        <f>HYPERLINK("http://141.218.60.56/~jnz1568/getInfo.php?workbook=isotopes.xlsx&amp;sheet=Isotopes&amp;row=314&amp;col=6&amp;number=0.992742&amp;sourceID=21","0.992742")</f>
        <v>0.992742</v>
      </c>
      <c r="G314" s="4" t="str">
        <f>HYPERLINK("http://141.218.60.56/~jnz1568/getInfo.php?workbook=isotopes.xlsx&amp;sheet=Isotopes&amp;row=314&amp;col=7&amp;number=1e-05&amp;sourceID=21","1e-05")</f>
        <v>1e-05</v>
      </c>
    </row>
    <row r="315" spans="1:7">
      <c r="A315" s="3">
        <v>93</v>
      </c>
      <c r="B315" s="3">
        <v>236</v>
      </c>
      <c r="C315" s="3" t="s">
        <v>319</v>
      </c>
      <c r="D315" s="4" t="str">
        <f>HYPERLINK("http://141.218.60.56/~jnz1568/getInfo.php?workbook=isotopes.xlsx&amp;sheet=Isotopes&amp;row=315&amp;col=4&amp;number=236.04657&amp;sourceID=21","236.04657")</f>
        <v>236.04657</v>
      </c>
      <c r="E315" s="4" t="str">
        <f>HYPERLINK("http://141.218.60.56/~jnz1568/getInfo.php?workbook=isotopes.xlsx&amp;sheet=Isotopes&amp;row=315&amp;col=5&amp;number=5e-05&amp;sourceID=21","5e-05")</f>
        <v>5e-05</v>
      </c>
      <c r="F315" s="4" t="str">
        <f>HYPERLINK("http://141.218.60.56/~jnz1568/getInfo.php?workbook=isotopes.xlsx&amp;sheet=Isotopes&amp;row=315&amp;col=6&amp;number=&amp;sourceID=21","")</f>
        <v/>
      </c>
      <c r="G315" s="4" t="str">
        <f>HYPERLINK("http://141.218.60.56/~jnz1568/getInfo.php?workbook=isotopes.xlsx&amp;sheet=Isotopes&amp;row=315&amp;col=7&amp;number=&amp;sourceID=21","")</f>
        <v/>
      </c>
    </row>
    <row r="316" spans="1:7">
      <c r="A316" s="3">
        <v>93</v>
      </c>
      <c r="B316" s="3">
        <v>237</v>
      </c>
      <c r="C316" s="3" t="s">
        <v>320</v>
      </c>
      <c r="D316" s="4" t="str">
        <f>HYPERLINK("http://141.218.60.56/~jnz1568/getInfo.php?workbook=isotopes.xlsx&amp;sheet=Isotopes&amp;row=316&amp;col=4&amp;number=237.0481734&amp;sourceID=21","237.0481734")</f>
        <v>237.0481734</v>
      </c>
      <c r="E316" s="4" t="str">
        <f>HYPERLINK("http://141.218.60.56/~jnz1568/getInfo.php?workbook=isotopes.xlsx&amp;sheet=Isotopes&amp;row=316&amp;col=5&amp;number=2e-06&amp;sourceID=21","2e-06")</f>
        <v>2e-06</v>
      </c>
      <c r="F316" s="4" t="str">
        <f>HYPERLINK("http://141.218.60.56/~jnz1568/getInfo.php?workbook=isotopes.xlsx&amp;sheet=Isotopes&amp;row=316&amp;col=6&amp;number=&amp;sourceID=21","")</f>
        <v/>
      </c>
      <c r="G316" s="4" t="str">
        <f>HYPERLINK("http://141.218.60.56/~jnz1568/getInfo.php?workbook=isotopes.xlsx&amp;sheet=Isotopes&amp;row=316&amp;col=7&amp;number=&amp;sourceID=21","")</f>
        <v/>
      </c>
    </row>
    <row r="317" spans="1:7">
      <c r="A317" s="3">
        <v>94</v>
      </c>
      <c r="B317" s="3">
        <v>238</v>
      </c>
      <c r="C317" s="3" t="s">
        <v>321</v>
      </c>
      <c r="D317" s="4" t="str">
        <f>HYPERLINK("http://141.218.60.56/~jnz1568/getInfo.php?workbook=isotopes.xlsx&amp;sheet=Isotopes&amp;row=317&amp;col=4&amp;number=238.0495599&amp;sourceID=21","238.0495599")</f>
        <v>238.0495599</v>
      </c>
      <c r="E317" s="4" t="str">
        <f>HYPERLINK("http://141.218.60.56/~jnz1568/getInfo.php?workbook=isotopes.xlsx&amp;sheet=Isotopes&amp;row=317&amp;col=5&amp;number=2e-06&amp;sourceID=21","2e-06")</f>
        <v>2e-06</v>
      </c>
      <c r="F317" s="4" t="str">
        <f>HYPERLINK("http://141.218.60.56/~jnz1568/getInfo.php?workbook=isotopes.xlsx&amp;sheet=Isotopes&amp;row=317&amp;col=6&amp;number=&amp;sourceID=21","")</f>
        <v/>
      </c>
      <c r="G317" s="4" t="str">
        <f>HYPERLINK("http://141.218.60.56/~jnz1568/getInfo.php?workbook=isotopes.xlsx&amp;sheet=Isotopes&amp;row=317&amp;col=7&amp;number=&amp;sourceID=21","")</f>
        <v/>
      </c>
    </row>
    <row r="318" spans="1:7">
      <c r="A318" s="3">
        <v>94</v>
      </c>
      <c r="B318" s="3">
        <v>239</v>
      </c>
      <c r="C318" s="3" t="s">
        <v>322</v>
      </c>
      <c r="D318" s="4" t="str">
        <f>HYPERLINK("http://141.218.60.56/~jnz1568/getInfo.php?workbook=isotopes.xlsx&amp;sheet=Isotopes&amp;row=318&amp;col=4&amp;number=239.0521634&amp;sourceID=21","239.0521634")</f>
        <v>239.0521634</v>
      </c>
      <c r="E318" s="4" t="str">
        <f>HYPERLINK("http://141.218.60.56/~jnz1568/getInfo.php?workbook=isotopes.xlsx&amp;sheet=Isotopes&amp;row=318&amp;col=5&amp;number=2e-06&amp;sourceID=21","2e-06")</f>
        <v>2e-06</v>
      </c>
      <c r="F318" s="4" t="str">
        <f>HYPERLINK("http://141.218.60.56/~jnz1568/getInfo.php?workbook=isotopes.xlsx&amp;sheet=Isotopes&amp;row=318&amp;col=6&amp;number=&amp;sourceID=21","")</f>
        <v/>
      </c>
      <c r="G318" s="4" t="str">
        <f>HYPERLINK("http://141.218.60.56/~jnz1568/getInfo.php?workbook=isotopes.xlsx&amp;sheet=Isotopes&amp;row=318&amp;col=7&amp;number=&amp;sourceID=21","")</f>
        <v/>
      </c>
    </row>
    <row r="319" spans="1:7">
      <c r="A319" s="3">
        <v>94</v>
      </c>
      <c r="B319" s="3">
        <v>240</v>
      </c>
      <c r="C319" s="3" t="s">
        <v>323</v>
      </c>
      <c r="D319" s="4" t="str">
        <f>HYPERLINK("http://141.218.60.56/~jnz1568/getInfo.php?workbook=isotopes.xlsx&amp;sheet=Isotopes&amp;row=319&amp;col=4&amp;number=240.0538135&amp;sourceID=21","240.0538135")</f>
        <v>240.0538135</v>
      </c>
      <c r="E319" s="4" t="str">
        <f>HYPERLINK("http://141.218.60.56/~jnz1568/getInfo.php?workbook=isotopes.xlsx&amp;sheet=Isotopes&amp;row=319&amp;col=5&amp;number=2e-06&amp;sourceID=21","2e-06")</f>
        <v>2e-06</v>
      </c>
      <c r="F319" s="4" t="str">
        <f>HYPERLINK("http://141.218.60.56/~jnz1568/getInfo.php?workbook=isotopes.xlsx&amp;sheet=Isotopes&amp;row=319&amp;col=6&amp;number=&amp;sourceID=21","")</f>
        <v/>
      </c>
      <c r="G319" s="4" t="str">
        <f>HYPERLINK("http://141.218.60.56/~jnz1568/getInfo.php?workbook=isotopes.xlsx&amp;sheet=Isotopes&amp;row=319&amp;col=7&amp;number=&amp;sourceID=21","")</f>
        <v/>
      </c>
    </row>
    <row r="320" spans="1:7">
      <c r="A320" s="3">
        <v>94</v>
      </c>
      <c r="B320" s="3">
        <v>241</v>
      </c>
      <c r="C320" s="3" t="s">
        <v>324</v>
      </c>
      <c r="D320" s="4" t="str">
        <f>HYPERLINK("http://141.218.60.56/~jnz1568/getInfo.php?workbook=isotopes.xlsx&amp;sheet=Isotopes&amp;row=320&amp;col=4&amp;number=241.0568515&amp;sourceID=21","241.0568515")</f>
        <v>241.0568515</v>
      </c>
      <c r="E320" s="4" t="str">
        <f>HYPERLINK("http://141.218.60.56/~jnz1568/getInfo.php?workbook=isotopes.xlsx&amp;sheet=Isotopes&amp;row=320&amp;col=5&amp;number=2e-06&amp;sourceID=21","2e-06")</f>
        <v>2e-06</v>
      </c>
      <c r="F320" s="4" t="str">
        <f>HYPERLINK("http://141.218.60.56/~jnz1568/getInfo.php?workbook=isotopes.xlsx&amp;sheet=Isotopes&amp;row=320&amp;col=6&amp;number=&amp;sourceID=21","")</f>
        <v/>
      </c>
      <c r="G320" s="4" t="str">
        <f>HYPERLINK("http://141.218.60.56/~jnz1568/getInfo.php?workbook=isotopes.xlsx&amp;sheet=Isotopes&amp;row=320&amp;col=7&amp;number=&amp;sourceID=21","")</f>
        <v/>
      </c>
    </row>
    <row r="321" spans="1:7">
      <c r="A321" s="3">
        <v>94</v>
      </c>
      <c r="B321" s="3">
        <v>242</v>
      </c>
      <c r="C321" s="3" t="s">
        <v>325</v>
      </c>
      <c r="D321" s="4" t="str">
        <f>HYPERLINK("http://141.218.60.56/~jnz1568/getInfo.php?workbook=isotopes.xlsx&amp;sheet=Isotopes&amp;row=321&amp;col=4&amp;number=242.0587426&amp;sourceID=21","242.0587426")</f>
        <v>242.0587426</v>
      </c>
      <c r="E321" s="4" t="str">
        <f>HYPERLINK("http://141.218.60.56/~jnz1568/getInfo.php?workbook=isotopes.xlsx&amp;sheet=Isotopes&amp;row=321&amp;col=5&amp;number=2e-06&amp;sourceID=21","2e-06")</f>
        <v>2e-06</v>
      </c>
      <c r="F321" s="4" t="str">
        <f>HYPERLINK("http://141.218.60.56/~jnz1568/getInfo.php?workbook=isotopes.xlsx&amp;sheet=Isotopes&amp;row=321&amp;col=6&amp;number=&amp;sourceID=21","")</f>
        <v/>
      </c>
      <c r="G321" s="4" t="str">
        <f>HYPERLINK("http://141.218.60.56/~jnz1568/getInfo.php?workbook=isotopes.xlsx&amp;sheet=Isotopes&amp;row=321&amp;col=7&amp;number=&amp;sourceID=21","")</f>
        <v/>
      </c>
    </row>
    <row r="322" spans="1:7">
      <c r="A322" s="3">
        <v>94</v>
      </c>
      <c r="B322" s="3">
        <v>244</v>
      </c>
      <c r="C322" s="3" t="s">
        <v>326</v>
      </c>
      <c r="D322" s="4" t="str">
        <f>HYPERLINK("http://141.218.60.56/~jnz1568/getInfo.php?workbook=isotopes.xlsx&amp;sheet=Isotopes&amp;row=322&amp;col=4&amp;number=244.064204&amp;sourceID=21","244.064204")</f>
        <v>244.064204</v>
      </c>
      <c r="E322" s="4" t="str">
        <f>HYPERLINK("http://141.218.60.56/~jnz1568/getInfo.php?workbook=isotopes.xlsx&amp;sheet=Isotopes&amp;row=322&amp;col=5&amp;number=5e-06&amp;sourceID=21","5e-06")</f>
        <v>5e-06</v>
      </c>
      <c r="F322" s="4" t="str">
        <f>HYPERLINK("http://141.218.60.56/~jnz1568/getInfo.php?workbook=isotopes.xlsx&amp;sheet=Isotopes&amp;row=322&amp;col=6&amp;number=&amp;sourceID=21","")</f>
        <v/>
      </c>
      <c r="G322" s="4" t="str">
        <f>HYPERLINK("http://141.218.60.56/~jnz1568/getInfo.php?workbook=isotopes.xlsx&amp;sheet=Isotopes&amp;row=322&amp;col=7&amp;number=&amp;sourceID=21","")</f>
        <v/>
      </c>
    </row>
    <row r="323" spans="1:7">
      <c r="A323" s="3">
        <v>95</v>
      </c>
      <c r="B323" s="3">
        <v>241</v>
      </c>
      <c r="C323" s="3" t="s">
        <v>327</v>
      </c>
      <c r="D323" s="4" t="str">
        <f>HYPERLINK("http://141.218.60.56/~jnz1568/getInfo.php?workbook=isotopes.xlsx&amp;sheet=Isotopes&amp;row=323&amp;col=4&amp;number=241.0568291&amp;sourceID=21","241.0568291")</f>
        <v>241.0568291</v>
      </c>
      <c r="E323" s="4" t="str">
        <f>HYPERLINK("http://141.218.60.56/~jnz1568/getInfo.php?workbook=isotopes.xlsx&amp;sheet=Isotopes&amp;row=323&amp;col=5&amp;number=2e-06&amp;sourceID=21","2e-06")</f>
        <v>2e-06</v>
      </c>
      <c r="F323" s="4" t="str">
        <f>HYPERLINK("http://141.218.60.56/~jnz1568/getInfo.php?workbook=isotopes.xlsx&amp;sheet=Isotopes&amp;row=323&amp;col=6&amp;number=&amp;sourceID=21","")</f>
        <v/>
      </c>
      <c r="G323" s="4" t="str">
        <f>HYPERLINK("http://141.218.60.56/~jnz1568/getInfo.php?workbook=isotopes.xlsx&amp;sheet=Isotopes&amp;row=323&amp;col=7&amp;number=&amp;sourceID=21","")</f>
        <v/>
      </c>
    </row>
    <row r="324" spans="1:7">
      <c r="A324" s="3">
        <v>95</v>
      </c>
      <c r="B324" s="3">
        <v>243</v>
      </c>
      <c r="C324" s="3" t="s">
        <v>328</v>
      </c>
      <c r="D324" s="4" t="str">
        <f>HYPERLINK("http://141.218.60.56/~jnz1568/getInfo.php?workbook=isotopes.xlsx&amp;sheet=Isotopes&amp;row=324&amp;col=4&amp;number=243.0613811&amp;sourceID=21","243.0613811")</f>
        <v>243.0613811</v>
      </c>
      <c r="E324" s="4" t="str">
        <f>HYPERLINK("http://141.218.60.56/~jnz1568/getInfo.php?workbook=isotopes.xlsx&amp;sheet=Isotopes&amp;row=324&amp;col=5&amp;number=2.5e-06&amp;sourceID=21","2.5e-06")</f>
        <v>2.5e-06</v>
      </c>
      <c r="F324" s="4" t="str">
        <f>HYPERLINK("http://141.218.60.56/~jnz1568/getInfo.php?workbook=isotopes.xlsx&amp;sheet=Isotopes&amp;row=324&amp;col=6&amp;number=&amp;sourceID=21","")</f>
        <v/>
      </c>
      <c r="G324" s="4" t="str">
        <f>HYPERLINK("http://141.218.60.56/~jnz1568/getInfo.php?workbook=isotopes.xlsx&amp;sheet=Isotopes&amp;row=324&amp;col=7&amp;number=&amp;sourceID=21","")</f>
        <v/>
      </c>
    </row>
    <row r="325" spans="1:7">
      <c r="A325" s="3">
        <v>96</v>
      </c>
      <c r="B325" s="3">
        <v>243</v>
      </c>
      <c r="C325" s="3" t="s">
        <v>329</v>
      </c>
      <c r="D325" s="4" t="str">
        <f>HYPERLINK("http://141.218.60.56/~jnz1568/getInfo.php?workbook=isotopes.xlsx&amp;sheet=Isotopes&amp;row=325&amp;col=4&amp;number=243.0613891&amp;sourceID=21","243.0613891")</f>
        <v>243.0613891</v>
      </c>
      <c r="E325" s="4" t="str">
        <f>HYPERLINK("http://141.218.60.56/~jnz1568/getInfo.php?workbook=isotopes.xlsx&amp;sheet=Isotopes&amp;row=325&amp;col=5&amp;number=2.2e-06&amp;sourceID=21","2.2e-06")</f>
        <v>2.2e-06</v>
      </c>
      <c r="F325" s="4" t="str">
        <f>HYPERLINK("http://141.218.60.56/~jnz1568/getInfo.php?workbook=isotopes.xlsx&amp;sheet=Isotopes&amp;row=325&amp;col=6&amp;number=&amp;sourceID=21","")</f>
        <v/>
      </c>
      <c r="G325" s="4" t="str">
        <f>HYPERLINK("http://141.218.60.56/~jnz1568/getInfo.php?workbook=isotopes.xlsx&amp;sheet=Isotopes&amp;row=325&amp;col=7&amp;number=&amp;sourceID=21","")</f>
        <v/>
      </c>
    </row>
    <row r="326" spans="1:7">
      <c r="A326" s="3">
        <v>96</v>
      </c>
      <c r="B326" s="3">
        <v>244</v>
      </c>
      <c r="C326" s="3" t="s">
        <v>330</v>
      </c>
      <c r="D326" s="4" t="str">
        <f>HYPERLINK("http://141.218.60.56/~jnz1568/getInfo.php?workbook=isotopes.xlsx&amp;sheet=Isotopes&amp;row=326&amp;col=4&amp;number=244.0627526&amp;sourceID=21","244.0627526")</f>
        <v>244.0627526</v>
      </c>
      <c r="E326" s="4" t="str">
        <f>HYPERLINK("http://141.218.60.56/~jnz1568/getInfo.php?workbook=isotopes.xlsx&amp;sheet=Isotopes&amp;row=326&amp;col=5&amp;number=2e-06&amp;sourceID=21","2e-06")</f>
        <v>2e-06</v>
      </c>
      <c r="F326" s="4" t="str">
        <f>HYPERLINK("http://141.218.60.56/~jnz1568/getInfo.php?workbook=isotopes.xlsx&amp;sheet=Isotopes&amp;row=326&amp;col=6&amp;number=&amp;sourceID=21","")</f>
        <v/>
      </c>
      <c r="G326" s="4" t="str">
        <f>HYPERLINK("http://141.218.60.56/~jnz1568/getInfo.php?workbook=isotopes.xlsx&amp;sheet=Isotopes&amp;row=326&amp;col=7&amp;number=&amp;sourceID=21","")</f>
        <v/>
      </c>
    </row>
    <row r="327" spans="1:7">
      <c r="A327" s="3">
        <v>96</v>
      </c>
      <c r="B327" s="3">
        <v>245</v>
      </c>
      <c r="C327" s="3" t="s">
        <v>331</v>
      </c>
      <c r="D327" s="4" t="str">
        <f>HYPERLINK("http://141.218.60.56/~jnz1568/getInfo.php?workbook=isotopes.xlsx&amp;sheet=Isotopes&amp;row=327&amp;col=4&amp;number=245.0654912&amp;sourceID=21","245.0654912")</f>
        <v>245.0654912</v>
      </c>
      <c r="E327" s="4" t="str">
        <f>HYPERLINK("http://141.218.60.56/~jnz1568/getInfo.php?workbook=isotopes.xlsx&amp;sheet=Isotopes&amp;row=327&amp;col=5&amp;number=2.2e-06&amp;sourceID=21","2.2e-06")</f>
        <v>2.2e-06</v>
      </c>
      <c r="F327" s="4" t="str">
        <f>HYPERLINK("http://141.218.60.56/~jnz1568/getInfo.php?workbook=isotopes.xlsx&amp;sheet=Isotopes&amp;row=327&amp;col=6&amp;number=&amp;sourceID=21","")</f>
        <v/>
      </c>
      <c r="G327" s="4" t="str">
        <f>HYPERLINK("http://141.218.60.56/~jnz1568/getInfo.php?workbook=isotopes.xlsx&amp;sheet=Isotopes&amp;row=327&amp;col=7&amp;number=&amp;sourceID=21","")</f>
        <v/>
      </c>
    </row>
    <row r="328" spans="1:7">
      <c r="A328" s="3">
        <v>96</v>
      </c>
      <c r="B328" s="3">
        <v>246</v>
      </c>
      <c r="C328" s="3" t="s">
        <v>332</v>
      </c>
      <c r="D328" s="4" t="str">
        <f>HYPERLINK("http://141.218.60.56/~jnz1568/getInfo.php?workbook=isotopes.xlsx&amp;sheet=Isotopes&amp;row=328&amp;col=4&amp;number=246.0672237&amp;sourceID=21","246.0672237")</f>
        <v>246.0672237</v>
      </c>
      <c r="E328" s="4" t="str">
        <f>HYPERLINK("http://141.218.60.56/~jnz1568/getInfo.php?workbook=isotopes.xlsx&amp;sheet=Isotopes&amp;row=328&amp;col=5&amp;number=2.2e-06&amp;sourceID=21","2.2e-06")</f>
        <v>2.2e-06</v>
      </c>
      <c r="F328" s="4" t="str">
        <f>HYPERLINK("http://141.218.60.56/~jnz1568/getInfo.php?workbook=isotopes.xlsx&amp;sheet=Isotopes&amp;row=328&amp;col=6&amp;number=&amp;sourceID=21","")</f>
        <v/>
      </c>
      <c r="G328" s="4" t="str">
        <f>HYPERLINK("http://141.218.60.56/~jnz1568/getInfo.php?workbook=isotopes.xlsx&amp;sheet=Isotopes&amp;row=328&amp;col=7&amp;number=&amp;sourceID=21","")</f>
        <v/>
      </c>
    </row>
    <row r="329" spans="1:7">
      <c r="A329" s="3">
        <v>96</v>
      </c>
      <c r="B329" s="3">
        <v>247</v>
      </c>
      <c r="C329" s="3" t="s">
        <v>333</v>
      </c>
      <c r="D329" s="4" t="str">
        <f>HYPERLINK("http://141.218.60.56/~jnz1568/getInfo.php?workbook=isotopes.xlsx&amp;sheet=Isotopes&amp;row=329&amp;col=4&amp;number=247.070354&amp;sourceID=21","247.070354")</f>
        <v>247.070354</v>
      </c>
      <c r="E329" s="4" t="str">
        <f>HYPERLINK("http://141.218.60.56/~jnz1568/getInfo.php?workbook=isotopes.xlsx&amp;sheet=Isotopes&amp;row=329&amp;col=5&amp;number=5e-06&amp;sourceID=21","5e-06")</f>
        <v>5e-06</v>
      </c>
      <c r="F329" s="4" t="str">
        <f>HYPERLINK("http://141.218.60.56/~jnz1568/getInfo.php?workbook=isotopes.xlsx&amp;sheet=Isotopes&amp;row=329&amp;col=6&amp;number=&amp;sourceID=21","")</f>
        <v/>
      </c>
      <c r="G329" s="4" t="str">
        <f>HYPERLINK("http://141.218.60.56/~jnz1568/getInfo.php?workbook=isotopes.xlsx&amp;sheet=Isotopes&amp;row=329&amp;col=7&amp;number=&amp;sourceID=21","")</f>
        <v/>
      </c>
    </row>
    <row r="330" spans="1:7">
      <c r="A330" s="3">
        <v>96</v>
      </c>
      <c r="B330" s="3">
        <v>248</v>
      </c>
      <c r="C330" s="3" t="s">
        <v>334</v>
      </c>
      <c r="D330" s="4" t="str">
        <f>HYPERLINK("http://141.218.60.56/~jnz1568/getInfo.php?workbook=isotopes.xlsx&amp;sheet=Isotopes&amp;row=330&amp;col=4&amp;number=248.072349&amp;sourceID=21","248.072349")</f>
        <v>248.072349</v>
      </c>
      <c r="E330" s="4" t="str">
        <f>HYPERLINK("http://141.218.60.56/~jnz1568/getInfo.php?workbook=isotopes.xlsx&amp;sheet=Isotopes&amp;row=330&amp;col=5&amp;number=5e-06&amp;sourceID=21","5e-06")</f>
        <v>5e-06</v>
      </c>
      <c r="F330" s="4" t="str">
        <f>HYPERLINK("http://141.218.60.56/~jnz1568/getInfo.php?workbook=isotopes.xlsx&amp;sheet=Isotopes&amp;row=330&amp;col=6&amp;number=&amp;sourceID=21","")</f>
        <v/>
      </c>
      <c r="G330" s="4" t="str">
        <f>HYPERLINK("http://141.218.60.56/~jnz1568/getInfo.php?workbook=isotopes.xlsx&amp;sheet=Isotopes&amp;row=330&amp;col=7&amp;number=&amp;sourceID=21","")</f>
        <v/>
      </c>
    </row>
    <row r="331" spans="1:7">
      <c r="A331" s="3">
        <v>97</v>
      </c>
      <c r="B331" s="3">
        <v>247</v>
      </c>
      <c r="C331" s="3" t="s">
        <v>335</v>
      </c>
      <c r="D331" s="4" t="str">
        <f>HYPERLINK("http://141.218.60.56/~jnz1568/getInfo.php?workbook=isotopes.xlsx&amp;sheet=Isotopes&amp;row=331&amp;col=4&amp;number=247.070307&amp;sourceID=21","247.070307")</f>
        <v>247.070307</v>
      </c>
      <c r="E331" s="4" t="str">
        <f>HYPERLINK("http://141.218.60.56/~jnz1568/getInfo.php?workbook=isotopes.xlsx&amp;sheet=Isotopes&amp;row=331&amp;col=5&amp;number=6e-06&amp;sourceID=21","6e-06")</f>
        <v>6e-06</v>
      </c>
      <c r="F331" s="4" t="str">
        <f>HYPERLINK("http://141.218.60.56/~jnz1568/getInfo.php?workbook=isotopes.xlsx&amp;sheet=Isotopes&amp;row=331&amp;col=6&amp;number=&amp;sourceID=21","")</f>
        <v/>
      </c>
      <c r="G331" s="4" t="str">
        <f>HYPERLINK("http://141.218.60.56/~jnz1568/getInfo.php?workbook=isotopes.xlsx&amp;sheet=Isotopes&amp;row=331&amp;col=7&amp;number=&amp;sourceID=21","")</f>
        <v/>
      </c>
    </row>
    <row r="332" spans="1:7">
      <c r="A332" s="3">
        <v>97</v>
      </c>
      <c r="B332" s="3">
        <v>249</v>
      </c>
      <c r="C332" s="3" t="s">
        <v>336</v>
      </c>
      <c r="D332" s="4" t="str">
        <f>HYPERLINK("http://141.218.60.56/~jnz1568/getInfo.php?workbook=isotopes.xlsx&amp;sheet=Isotopes&amp;row=332&amp;col=4&amp;number=249.0749867&amp;sourceID=21","249.0749867")</f>
        <v>249.0749867</v>
      </c>
      <c r="E332" s="4" t="str">
        <f>HYPERLINK("http://141.218.60.56/~jnz1568/getInfo.php?workbook=isotopes.xlsx&amp;sheet=Isotopes&amp;row=332&amp;col=5&amp;number=2.8e-06&amp;sourceID=21","2.8e-06")</f>
        <v>2.8e-06</v>
      </c>
      <c r="F332" s="4" t="str">
        <f>HYPERLINK("http://141.218.60.56/~jnz1568/getInfo.php?workbook=isotopes.xlsx&amp;sheet=Isotopes&amp;row=332&amp;col=6&amp;number=&amp;sourceID=21","")</f>
        <v/>
      </c>
      <c r="G332" s="4" t="str">
        <f>HYPERLINK("http://141.218.60.56/~jnz1568/getInfo.php?workbook=isotopes.xlsx&amp;sheet=Isotopes&amp;row=332&amp;col=7&amp;number=&amp;sourceID=21","")</f>
        <v/>
      </c>
    </row>
    <row r="333" spans="1:7">
      <c r="A333" s="3">
        <v>98</v>
      </c>
      <c r="B333" s="3">
        <v>249</v>
      </c>
      <c r="C333" s="3" t="s">
        <v>337</v>
      </c>
      <c r="D333" s="4" t="str">
        <f>HYPERLINK("http://141.218.60.56/~jnz1568/getInfo.php?workbook=isotopes.xlsx&amp;sheet=Isotopes&amp;row=333&amp;col=4&amp;number=249.0748535&amp;sourceID=21","249.0748535")</f>
        <v>249.0748535</v>
      </c>
      <c r="E333" s="4" t="str">
        <f>HYPERLINK("http://141.218.60.56/~jnz1568/getInfo.php?workbook=isotopes.xlsx&amp;sheet=Isotopes&amp;row=333&amp;col=5&amp;number=2.4e-06&amp;sourceID=21","2.4e-06")</f>
        <v>2.4e-06</v>
      </c>
      <c r="F333" s="4" t="str">
        <f>HYPERLINK("http://141.218.60.56/~jnz1568/getInfo.php?workbook=isotopes.xlsx&amp;sheet=Isotopes&amp;row=333&amp;col=6&amp;number=&amp;sourceID=21","")</f>
        <v/>
      </c>
      <c r="G333" s="4" t="str">
        <f>HYPERLINK("http://141.218.60.56/~jnz1568/getInfo.php?workbook=isotopes.xlsx&amp;sheet=Isotopes&amp;row=333&amp;col=7&amp;number=&amp;sourceID=21","")</f>
        <v/>
      </c>
    </row>
    <row r="334" spans="1:7">
      <c r="A334" s="3">
        <v>98</v>
      </c>
      <c r="B334" s="3">
        <v>250</v>
      </c>
      <c r="C334" s="3" t="s">
        <v>338</v>
      </c>
      <c r="D334" s="4" t="str">
        <f>HYPERLINK("http://141.218.60.56/~jnz1568/getInfo.php?workbook=isotopes.xlsx&amp;sheet=Isotopes&amp;row=334&amp;col=4&amp;number=250.0764061&amp;sourceID=21","250.0764061")</f>
        <v>250.0764061</v>
      </c>
      <c r="E334" s="4" t="str">
        <f>HYPERLINK("http://141.218.60.56/~jnz1568/getInfo.php?workbook=isotopes.xlsx&amp;sheet=Isotopes&amp;row=334&amp;col=5&amp;number=2.2e-06&amp;sourceID=21","2.2e-06")</f>
        <v>2.2e-06</v>
      </c>
      <c r="F334" s="4" t="str">
        <f>HYPERLINK("http://141.218.60.56/~jnz1568/getInfo.php?workbook=isotopes.xlsx&amp;sheet=Isotopes&amp;row=334&amp;col=6&amp;number=&amp;sourceID=21","")</f>
        <v/>
      </c>
      <c r="G334" s="4" t="str">
        <f>HYPERLINK("http://141.218.60.56/~jnz1568/getInfo.php?workbook=isotopes.xlsx&amp;sheet=Isotopes&amp;row=334&amp;col=7&amp;number=&amp;sourceID=21","")</f>
        <v/>
      </c>
    </row>
    <row r="335" spans="1:7">
      <c r="A335" s="3">
        <v>98</v>
      </c>
      <c r="B335" s="3">
        <v>251</v>
      </c>
      <c r="C335" s="3" t="s">
        <v>339</v>
      </c>
      <c r="D335" s="4" t="str">
        <f>HYPERLINK("http://141.218.60.56/~jnz1568/getInfo.php?workbook=isotopes.xlsx&amp;sheet=Isotopes&amp;row=335&amp;col=4&amp;number=251.079587&amp;sourceID=21","251.079587")</f>
        <v>251.079587</v>
      </c>
      <c r="E335" s="4" t="str">
        <f>HYPERLINK("http://141.218.60.56/~jnz1568/getInfo.php?workbook=isotopes.xlsx&amp;sheet=Isotopes&amp;row=335&amp;col=5&amp;number=5e-06&amp;sourceID=21","5e-06")</f>
        <v>5e-06</v>
      </c>
      <c r="F335" s="4" t="str">
        <f>HYPERLINK("http://141.218.60.56/~jnz1568/getInfo.php?workbook=isotopes.xlsx&amp;sheet=Isotopes&amp;row=335&amp;col=6&amp;number=&amp;sourceID=21","")</f>
        <v/>
      </c>
      <c r="G335" s="4" t="str">
        <f>HYPERLINK("http://141.218.60.56/~jnz1568/getInfo.php?workbook=isotopes.xlsx&amp;sheet=Isotopes&amp;row=335&amp;col=7&amp;number=&amp;sourceID=21","")</f>
        <v/>
      </c>
    </row>
    <row r="336" spans="1:7">
      <c r="A336" s="3">
        <v>98</v>
      </c>
      <c r="B336" s="3">
        <v>252</v>
      </c>
      <c r="C336" s="3" t="s">
        <v>340</v>
      </c>
      <c r="D336" s="4" t="str">
        <f>HYPERLINK("http://141.218.60.56/~jnz1568/getInfo.php?workbook=isotopes.xlsx&amp;sheet=Isotopes&amp;row=336&amp;col=4&amp;number=252.081626&amp;sourceID=21","252.081626")</f>
        <v>252.081626</v>
      </c>
      <c r="E336" s="4" t="str">
        <f>HYPERLINK("http://141.218.60.56/~jnz1568/getInfo.php?workbook=isotopes.xlsx&amp;sheet=Isotopes&amp;row=336&amp;col=5&amp;number=5e-06&amp;sourceID=21","5e-06")</f>
        <v>5e-06</v>
      </c>
      <c r="F336" s="4" t="str">
        <f>HYPERLINK("http://141.218.60.56/~jnz1568/getInfo.php?workbook=isotopes.xlsx&amp;sheet=Isotopes&amp;row=336&amp;col=6&amp;number=&amp;sourceID=21","")</f>
        <v/>
      </c>
      <c r="G336" s="4" t="str">
        <f>HYPERLINK("http://141.218.60.56/~jnz1568/getInfo.php?workbook=isotopes.xlsx&amp;sheet=Isotopes&amp;row=336&amp;col=7&amp;number=&amp;sourceID=21","")</f>
        <v/>
      </c>
    </row>
    <row r="337" spans="1:7">
      <c r="A337" s="3">
        <v>99</v>
      </c>
      <c r="B337" s="3">
        <v>252</v>
      </c>
      <c r="C337" s="3" t="s">
        <v>341</v>
      </c>
      <c r="D337" s="4" t="str">
        <f>HYPERLINK("http://141.218.60.56/~jnz1568/getInfo.php?workbook=isotopes.xlsx&amp;sheet=Isotopes&amp;row=337&amp;col=4&amp;number=252.08298&amp;sourceID=21","252.08298")</f>
        <v>252.08298</v>
      </c>
      <c r="E337" s="4" t="str">
        <f>HYPERLINK("http://141.218.60.56/~jnz1568/getInfo.php?workbook=isotopes.xlsx&amp;sheet=Isotopes&amp;row=337&amp;col=5&amp;number=5e-05&amp;sourceID=21","5e-05")</f>
        <v>5e-05</v>
      </c>
      <c r="F337" s="4" t="str">
        <f>HYPERLINK("http://141.218.60.56/~jnz1568/getInfo.php?workbook=isotopes.xlsx&amp;sheet=Isotopes&amp;row=337&amp;col=6&amp;number=&amp;sourceID=21","")</f>
        <v/>
      </c>
      <c r="G337" s="4" t="str">
        <f>HYPERLINK("http://141.218.60.56/~jnz1568/getInfo.php?workbook=isotopes.xlsx&amp;sheet=Isotopes&amp;row=337&amp;col=7&amp;number=&amp;sourceID=21","")</f>
        <v/>
      </c>
    </row>
    <row r="338" spans="1:7">
      <c r="A338" s="3">
        <v>100</v>
      </c>
      <c r="B338" s="3">
        <v>257</v>
      </c>
      <c r="C338" s="3" t="s">
        <v>342</v>
      </c>
      <c r="D338" s="4" t="str">
        <f>HYPERLINK("http://141.218.60.56/~jnz1568/getInfo.php?workbook=isotopes.xlsx&amp;sheet=Isotopes&amp;row=338&amp;col=4&amp;number=257.095105&amp;sourceID=21","257.095105")</f>
        <v>257.095105</v>
      </c>
      <c r="E338" s="4" t="str">
        <f>HYPERLINK("http://141.218.60.56/~jnz1568/getInfo.php?workbook=isotopes.xlsx&amp;sheet=Isotopes&amp;row=338&amp;col=5&amp;number=7e-06&amp;sourceID=21","7e-06")</f>
        <v>7e-06</v>
      </c>
      <c r="F338" s="4" t="str">
        <f>HYPERLINK("http://141.218.60.56/~jnz1568/getInfo.php?workbook=isotopes.xlsx&amp;sheet=Isotopes&amp;row=338&amp;col=6&amp;number=&amp;sourceID=21","")</f>
        <v/>
      </c>
      <c r="G338" s="4" t="str">
        <f>HYPERLINK("http://141.218.60.56/~jnz1568/getInfo.php?workbook=isotopes.xlsx&amp;sheet=Isotopes&amp;row=338&amp;col=7&amp;number=&amp;sourceID=21","")</f>
        <v/>
      </c>
    </row>
    <row r="339" spans="1:7">
      <c r="A339" s="3">
        <v>101</v>
      </c>
      <c r="B339" s="3">
        <v>258</v>
      </c>
      <c r="C339" s="3" t="s">
        <v>343</v>
      </c>
      <c r="D339" s="4" t="str">
        <f>HYPERLINK("http://141.218.60.56/~jnz1568/getInfo.php?workbook=isotopes.xlsx&amp;sheet=Isotopes&amp;row=339&amp;col=4&amp;number=258.098431&amp;sourceID=21","258.098431")</f>
        <v>258.098431</v>
      </c>
      <c r="E339" s="4" t="str">
        <f>HYPERLINK("http://141.218.60.56/~jnz1568/getInfo.php?workbook=isotopes.xlsx&amp;sheet=Isotopes&amp;row=339&amp;col=5&amp;number=5e-06&amp;sourceID=21","5e-06")</f>
        <v>5e-06</v>
      </c>
      <c r="F339" s="4" t="str">
        <f>HYPERLINK("http://141.218.60.56/~jnz1568/getInfo.php?workbook=isotopes.xlsx&amp;sheet=Isotopes&amp;row=339&amp;col=6&amp;number=&amp;sourceID=21","")</f>
        <v/>
      </c>
      <c r="G339" s="4" t="str">
        <f>HYPERLINK("http://141.218.60.56/~jnz1568/getInfo.php?workbook=isotopes.xlsx&amp;sheet=Isotopes&amp;row=339&amp;col=7&amp;number=&amp;sourceID=21","")</f>
        <v/>
      </c>
    </row>
    <row r="340" spans="1:7">
      <c r="A340" s="3">
        <v>101</v>
      </c>
      <c r="B340" s="3">
        <v>260</v>
      </c>
      <c r="C340" s="3" t="s">
        <v>344</v>
      </c>
      <c r="D340" s="4" t="str">
        <f>HYPERLINK("http://141.218.60.56/~jnz1568/getInfo.php?workbook=isotopes.xlsx&amp;sheet=Isotopes&amp;row=340&amp;col=4&amp;number=260.10365&amp;sourceID=21","260.10365")</f>
        <v>260.10365</v>
      </c>
      <c r="E340" s="4" t="str">
        <f>HYPERLINK("http://141.218.60.56/~jnz1568/getInfo.php?workbook=isotopes.xlsx&amp;sheet=Isotopes&amp;row=340&amp;col=5&amp;number=0.00034&amp;sourceID=21","0.00034")</f>
        <v>0.00034</v>
      </c>
      <c r="F340" s="4" t="str">
        <f>HYPERLINK("http://141.218.60.56/~jnz1568/getInfo.php?workbook=isotopes.xlsx&amp;sheet=Isotopes&amp;row=340&amp;col=6&amp;number=&amp;sourceID=21","")</f>
        <v/>
      </c>
      <c r="G340" s="4" t="str">
        <f>HYPERLINK("http://141.218.60.56/~jnz1568/getInfo.php?workbook=isotopes.xlsx&amp;sheet=Isotopes&amp;row=340&amp;col=7&amp;number=&amp;sourceID=21","")</f>
        <v/>
      </c>
    </row>
    <row r="341" spans="1:7">
      <c r="A341" s="3">
        <v>102</v>
      </c>
      <c r="B341" s="3">
        <v>259</v>
      </c>
      <c r="C341" s="3" t="s">
        <v>345</v>
      </c>
      <c r="D341" s="4" t="str">
        <f>HYPERLINK("http://141.218.60.56/~jnz1568/getInfo.php?workbook=isotopes.xlsx&amp;sheet=Isotopes&amp;row=341&amp;col=4&amp;number=259.10103&amp;sourceID=21","259.10103")</f>
        <v>259.10103</v>
      </c>
      <c r="E341" s="4" t="str">
        <f>HYPERLINK("http://141.218.60.56/~jnz1568/getInfo.php?workbook=isotopes.xlsx&amp;sheet=Isotopes&amp;row=341&amp;col=5&amp;number=0.00011&amp;sourceID=21","0.00011")</f>
        <v>0.00011</v>
      </c>
      <c r="F341" s="4" t="str">
        <f>HYPERLINK("http://141.218.60.56/~jnz1568/getInfo.php?workbook=isotopes.xlsx&amp;sheet=Isotopes&amp;row=341&amp;col=6&amp;number=&amp;sourceID=21","")</f>
        <v/>
      </c>
      <c r="G341" s="4" t="str">
        <f>HYPERLINK("http://141.218.60.56/~jnz1568/getInfo.php?workbook=isotopes.xlsx&amp;sheet=Isotopes&amp;row=341&amp;col=7&amp;number=&amp;sourceID=21","")</f>
        <v/>
      </c>
    </row>
    <row r="342" spans="1:7">
      <c r="A342" s="3">
        <v>103</v>
      </c>
      <c r="B342" s="3">
        <v>262</v>
      </c>
      <c r="C342" s="3" t="s">
        <v>346</v>
      </c>
      <c r="D342" s="4" t="str">
        <f>HYPERLINK("http://141.218.60.56/~jnz1568/getInfo.php?workbook=isotopes.xlsx&amp;sheet=Isotopes&amp;row=342&amp;col=4&amp;number=262.10963&amp;sourceID=21","262.10963")</f>
        <v>262.10963</v>
      </c>
      <c r="E342" s="4" t="str">
        <f>HYPERLINK("http://141.218.60.56/~jnz1568/getInfo.php?workbook=isotopes.xlsx&amp;sheet=Isotopes&amp;row=342&amp;col=5&amp;number=0.00022&amp;sourceID=21","0.00022")</f>
        <v>0.00022</v>
      </c>
      <c r="F342" s="4" t="str">
        <f>HYPERLINK("http://141.218.60.56/~jnz1568/getInfo.php?workbook=isotopes.xlsx&amp;sheet=Isotopes&amp;row=342&amp;col=6&amp;number=&amp;sourceID=21","")</f>
        <v/>
      </c>
      <c r="G342" s="4" t="str">
        <f>HYPERLINK("http://141.218.60.56/~jnz1568/getInfo.php?workbook=isotopes.xlsx&amp;sheet=Isotopes&amp;row=342&amp;col=7&amp;number=&amp;sourceID=21","")</f>
        <v/>
      </c>
    </row>
    <row r="343" spans="1:7">
      <c r="A343" s="3">
        <v>104</v>
      </c>
      <c r="B343" s="3">
        <v>265</v>
      </c>
      <c r="C343" s="3" t="s">
        <v>347</v>
      </c>
      <c r="D343" s="4" t="str">
        <f>HYPERLINK("http://141.218.60.56/~jnz1568/getInfo.php?workbook=isotopes.xlsx&amp;sheet=Isotopes&amp;row=343&amp;col=4&amp;number=265.1167&amp;sourceID=21","265.1167")</f>
        <v>265.1167</v>
      </c>
      <c r="E343" s="4" t="str">
        <f>HYPERLINK("http://141.218.60.56/~jnz1568/getInfo.php?workbook=isotopes.xlsx&amp;sheet=Isotopes&amp;row=343&amp;col=5&amp;number=0.00046&amp;sourceID=21","0.00046")</f>
        <v>0.00046</v>
      </c>
      <c r="F343" s="4" t="str">
        <f>HYPERLINK("http://141.218.60.56/~jnz1568/getInfo.php?workbook=isotopes.xlsx&amp;sheet=Isotopes&amp;row=343&amp;col=6&amp;number=&amp;sourceID=21","")</f>
        <v/>
      </c>
      <c r="G343" s="4" t="str">
        <f>HYPERLINK("http://141.218.60.56/~jnz1568/getInfo.php?workbook=isotopes.xlsx&amp;sheet=Isotopes&amp;row=343&amp;col=7&amp;number=&amp;sourceID=21","")</f>
        <v/>
      </c>
    </row>
    <row r="344" spans="1:7">
      <c r="A344" s="3">
        <v>105</v>
      </c>
      <c r="B344" s="3">
        <v>268</v>
      </c>
      <c r="C344" s="3" t="s">
        <v>348</v>
      </c>
      <c r="D344" s="4" t="str">
        <f>HYPERLINK("http://141.218.60.56/~jnz1568/getInfo.php?workbook=isotopes.xlsx&amp;sheet=Isotopes&amp;row=344&amp;col=4&amp;number=268.12545&amp;sourceID=21","268.12545")</f>
        <v>268.12545</v>
      </c>
      <c r="E344" s="4" t="str">
        <f>HYPERLINK("http://141.218.60.56/~jnz1568/getInfo.php?workbook=isotopes.xlsx&amp;sheet=Isotopes&amp;row=344&amp;col=5&amp;number=0.00057&amp;sourceID=21","0.00057")</f>
        <v>0.00057</v>
      </c>
      <c r="F344" s="4" t="str">
        <f>HYPERLINK("http://141.218.60.56/~jnz1568/getInfo.php?workbook=isotopes.xlsx&amp;sheet=Isotopes&amp;row=344&amp;col=6&amp;number=&amp;sourceID=21","")</f>
        <v/>
      </c>
      <c r="G344" s="4" t="str">
        <f>HYPERLINK("http://141.218.60.56/~jnz1568/getInfo.php?workbook=isotopes.xlsx&amp;sheet=Isotopes&amp;row=344&amp;col=7&amp;number=&amp;sourceID=21","")</f>
        <v/>
      </c>
    </row>
    <row r="345" spans="1:7">
      <c r="A345" s="3">
        <v>106</v>
      </c>
      <c r="B345" s="3">
        <v>271</v>
      </c>
      <c r="C345" s="3" t="s">
        <v>349</v>
      </c>
      <c r="D345" s="4" t="str">
        <f>HYPERLINK("http://141.218.60.56/~jnz1568/getInfo.php?workbook=isotopes.xlsx&amp;sheet=Isotopes&amp;row=345&amp;col=4&amp;number=271.13347&amp;sourceID=21","271.13347")</f>
        <v>271.13347</v>
      </c>
      <c r="E345" s="4" t="str">
        <f>HYPERLINK("http://141.218.60.56/~jnz1568/getInfo.php?workbook=isotopes.xlsx&amp;sheet=Isotopes&amp;row=345&amp;col=5&amp;number=0.0007&amp;sourceID=21","0.0007")</f>
        <v>0.0007</v>
      </c>
      <c r="F345" s="4" t="str">
        <f>HYPERLINK("http://141.218.60.56/~jnz1568/getInfo.php?workbook=isotopes.xlsx&amp;sheet=Isotopes&amp;row=345&amp;col=6&amp;number=&amp;sourceID=21","")</f>
        <v/>
      </c>
      <c r="G345" s="4" t="str">
        <f>HYPERLINK("http://141.218.60.56/~jnz1568/getInfo.php?workbook=isotopes.xlsx&amp;sheet=Isotopes&amp;row=345&amp;col=7&amp;number=&amp;sourceID=21","")</f>
        <v/>
      </c>
    </row>
    <row r="346" spans="1:7">
      <c r="A346" s="3">
        <v>107</v>
      </c>
      <c r="B346" s="3">
        <v>272</v>
      </c>
      <c r="C346" s="3" t="s">
        <v>350</v>
      </c>
      <c r="D346" s="4" t="str">
        <f>HYPERLINK("http://141.218.60.56/~jnz1568/getInfo.php?workbook=isotopes.xlsx&amp;sheet=Isotopes&amp;row=346&amp;col=4&amp;number=272.13803&amp;sourceID=21","272.13803")</f>
        <v>272.13803</v>
      </c>
      <c r="E346" s="4" t="str">
        <f>HYPERLINK("http://141.218.60.56/~jnz1568/getInfo.php?workbook=isotopes.xlsx&amp;sheet=Isotopes&amp;row=346&amp;col=5&amp;number=0.00065&amp;sourceID=21","0.00065")</f>
        <v>0.00065</v>
      </c>
      <c r="F346" s="4" t="str">
        <f>HYPERLINK("http://141.218.60.56/~jnz1568/getInfo.php?workbook=isotopes.xlsx&amp;sheet=Isotopes&amp;row=346&amp;col=6&amp;number=&amp;sourceID=21","")</f>
        <v/>
      </c>
      <c r="G346" s="4" t="str">
        <f>HYPERLINK("http://141.218.60.56/~jnz1568/getInfo.php?workbook=isotopes.xlsx&amp;sheet=Isotopes&amp;row=346&amp;col=7&amp;number=&amp;sourceID=21","")</f>
        <v/>
      </c>
    </row>
    <row r="347" spans="1:7">
      <c r="A347" s="3">
        <v>108</v>
      </c>
      <c r="B347" s="3">
        <v>270</v>
      </c>
      <c r="C347" s="3" t="s">
        <v>351</v>
      </c>
      <c r="D347" s="4" t="str">
        <f>HYPERLINK("http://141.218.60.56/~jnz1568/getInfo.php?workbook=isotopes.xlsx&amp;sheet=Isotopes&amp;row=347&amp;col=4&amp;number=270.13465&amp;sourceID=21","270.13465")</f>
        <v>270.13465</v>
      </c>
      <c r="E347" s="4" t="str">
        <f>HYPERLINK("http://141.218.60.56/~jnz1568/getInfo.php?workbook=isotopes.xlsx&amp;sheet=Isotopes&amp;row=347&amp;col=5&amp;number=0.00031&amp;sourceID=21","0.00031")</f>
        <v>0.00031</v>
      </c>
      <c r="F347" s="4" t="str">
        <f>HYPERLINK("http://141.218.60.56/~jnz1568/getInfo.php?workbook=isotopes.xlsx&amp;sheet=Isotopes&amp;row=347&amp;col=6&amp;number=&amp;sourceID=21","")</f>
        <v/>
      </c>
      <c r="G347" s="4" t="str">
        <f>HYPERLINK("http://141.218.60.56/~jnz1568/getInfo.php?workbook=isotopes.xlsx&amp;sheet=Isotopes&amp;row=347&amp;col=7&amp;number=&amp;sourceID=21","")</f>
        <v/>
      </c>
    </row>
    <row r="348" spans="1:7">
      <c r="A348" s="3">
        <v>109</v>
      </c>
      <c r="B348" s="3">
        <v>276</v>
      </c>
      <c r="C348" s="3" t="s">
        <v>352</v>
      </c>
      <c r="D348" s="4" t="str">
        <f>HYPERLINK("http://141.218.60.56/~jnz1568/getInfo.php?workbook=isotopes.xlsx&amp;sheet=Isotopes&amp;row=348&amp;col=4&amp;number=276.15116&amp;sourceID=21","276.15116")</f>
        <v>276.15116</v>
      </c>
      <c r="E348" s="4" t="str">
        <f>HYPERLINK("http://141.218.60.56/~jnz1568/getInfo.php?workbook=isotopes.xlsx&amp;sheet=Isotopes&amp;row=348&amp;col=5&amp;number=0.00073&amp;sourceID=21","0.00073")</f>
        <v>0.00073</v>
      </c>
      <c r="F348" s="4" t="str">
        <f>HYPERLINK("http://141.218.60.56/~jnz1568/getInfo.php?workbook=isotopes.xlsx&amp;sheet=Isotopes&amp;row=348&amp;col=6&amp;number=&amp;sourceID=21","")</f>
        <v/>
      </c>
      <c r="G348" s="4" t="str">
        <f>HYPERLINK("http://141.218.60.56/~jnz1568/getInfo.php?workbook=isotopes.xlsx&amp;sheet=Isotopes&amp;row=348&amp;col=7&amp;number=&amp;sourceID=21","")</f>
        <v/>
      </c>
    </row>
    <row r="349" spans="1:7">
      <c r="A349" s="3">
        <v>110</v>
      </c>
      <c r="B349" s="3">
        <v>281</v>
      </c>
      <c r="C349" s="3" t="s">
        <v>353</v>
      </c>
      <c r="D349" s="4" t="str">
        <f>HYPERLINK("http://141.218.60.56/~jnz1568/getInfo.php?workbook=isotopes.xlsx&amp;sheet=Isotopes&amp;row=349&amp;col=4&amp;number=281.16206&amp;sourceID=21","281.16206")</f>
        <v>281.16206</v>
      </c>
      <c r="E349" s="4" t="str">
        <f>HYPERLINK("http://141.218.60.56/~jnz1568/getInfo.php?workbook=isotopes.xlsx&amp;sheet=Isotopes&amp;row=349&amp;col=5&amp;number=0.00078&amp;sourceID=21","0.00078")</f>
        <v>0.00078</v>
      </c>
      <c r="F349" s="4" t="str">
        <f>HYPERLINK("http://141.218.60.56/~jnz1568/getInfo.php?workbook=isotopes.xlsx&amp;sheet=Isotopes&amp;row=349&amp;col=6&amp;number=&amp;sourceID=21","")</f>
        <v/>
      </c>
      <c r="G349" s="4" t="str">
        <f>HYPERLINK("http://141.218.60.56/~jnz1568/getInfo.php?workbook=isotopes.xlsx&amp;sheet=Isotopes&amp;row=349&amp;col=7&amp;number=&amp;sourceID=21","")</f>
        <v/>
      </c>
    </row>
    <row r="350" spans="1:7">
      <c r="A350" s="3">
        <v>111</v>
      </c>
      <c r="B350" s="3">
        <v>280</v>
      </c>
      <c r="C350" s="3" t="s">
        <v>354</v>
      </c>
      <c r="D350" s="4" t="str">
        <f>HYPERLINK("http://141.218.60.56/~jnz1568/getInfo.php?workbook=isotopes.xlsx&amp;sheet=Isotopes&amp;row=350&amp;col=4&amp;number=280.16447&amp;sourceID=21","280.16447")</f>
        <v>280.16447</v>
      </c>
      <c r="E350" s="4" t="str">
        <f>HYPERLINK("http://141.218.60.56/~jnz1568/getInfo.php?workbook=isotopes.xlsx&amp;sheet=Isotopes&amp;row=350&amp;col=5&amp;number=0.0008&amp;sourceID=21","0.0008")</f>
        <v>0.0008</v>
      </c>
      <c r="F350" s="4" t="str">
        <f>HYPERLINK("http://141.218.60.56/~jnz1568/getInfo.php?workbook=isotopes.xlsx&amp;sheet=Isotopes&amp;row=350&amp;col=6&amp;number=&amp;sourceID=21","")</f>
        <v/>
      </c>
      <c r="G350" s="4" t="str">
        <f>HYPERLINK("http://141.218.60.56/~jnz1568/getInfo.php?workbook=isotopes.xlsx&amp;sheet=Isotopes&amp;row=350&amp;col=7&amp;number=&amp;sourceID=21","")</f>
        <v/>
      </c>
    </row>
    <row r="351" spans="1:7">
      <c r="A351" s="3">
        <v>112</v>
      </c>
      <c r="B351" s="3">
        <v>285</v>
      </c>
      <c r="C351" s="3" t="s">
        <v>355</v>
      </c>
      <c r="D351" s="4" t="str">
        <f>HYPERLINK("http://141.218.60.56/~jnz1568/getInfo.php?workbook=isotopes.xlsx&amp;sheet=Isotopes&amp;row=351&amp;col=4&amp;number=285.17411&amp;sourceID=21","285.17411")</f>
        <v>285.17411</v>
      </c>
      <c r="E351" s="4" t="str">
        <f>HYPERLINK("http://141.218.60.56/~jnz1568/getInfo.php?workbook=isotopes.xlsx&amp;sheet=Isotopes&amp;row=351&amp;col=5&amp;number=0.00078&amp;sourceID=21","0.00078")</f>
        <v>0.00078</v>
      </c>
      <c r="F351" s="4" t="str">
        <f>HYPERLINK("http://141.218.60.56/~jnz1568/getInfo.php?workbook=isotopes.xlsx&amp;sheet=Isotopes&amp;row=351&amp;col=6&amp;number=&amp;sourceID=21","")</f>
        <v/>
      </c>
      <c r="G351" s="4" t="str">
        <f>HYPERLINK("http://141.218.60.56/~jnz1568/getInfo.php?workbook=isotopes.xlsx&amp;sheet=Isotopes&amp;row=351&amp;col=7&amp;number=&amp;sourceID=21","")</f>
        <v/>
      </c>
    </row>
    <row r="352" spans="1:7">
      <c r="A352" s="3">
        <v>113</v>
      </c>
      <c r="B352" s="3">
        <v>284</v>
      </c>
      <c r="C352" s="3" t="s">
        <v>356</v>
      </c>
      <c r="D352" s="4" t="str">
        <f>HYPERLINK("http://141.218.60.56/~jnz1568/getInfo.php?workbook=isotopes.xlsx&amp;sheet=Isotopes&amp;row=352&amp;col=4&amp;number=284.17808&amp;sourceID=21","284.17808")</f>
        <v>284.17808</v>
      </c>
      <c r="E352" s="4" t="str">
        <f>HYPERLINK("http://141.218.60.56/~jnz1568/getInfo.php?workbook=isotopes.xlsx&amp;sheet=Isotopes&amp;row=352&amp;col=5&amp;number=0.00086&amp;sourceID=21","0.00086")</f>
        <v>0.00086</v>
      </c>
      <c r="F352" s="4" t="str">
        <f>HYPERLINK("http://141.218.60.56/~jnz1568/getInfo.php?workbook=isotopes.xlsx&amp;sheet=Isotopes&amp;row=352&amp;col=6&amp;number=&amp;sourceID=21","")</f>
        <v/>
      </c>
      <c r="G352" s="4" t="str">
        <f>HYPERLINK("http://141.218.60.56/~jnz1568/getInfo.php?workbook=isotopes.xlsx&amp;sheet=Isotopes&amp;row=352&amp;col=7&amp;number=&amp;sourceID=21","")</f>
        <v/>
      </c>
    </row>
    <row r="353" spans="1:7">
      <c r="A353" s="3">
        <v>114</v>
      </c>
      <c r="B353" s="3">
        <v>289</v>
      </c>
      <c r="C353" s="3" t="s">
        <v>357</v>
      </c>
      <c r="D353" s="4" t="str">
        <f>HYPERLINK("http://141.218.60.56/~jnz1568/getInfo.php?workbook=isotopes.xlsx&amp;sheet=Isotopes&amp;row=353&amp;col=4&amp;number=289.18728&amp;sourceID=21","289.18728")</f>
        <v>289.18728</v>
      </c>
      <c r="E353" s="4" t="str">
        <f>HYPERLINK("http://141.218.60.56/~jnz1568/getInfo.php?workbook=isotopes.xlsx&amp;sheet=Isotopes&amp;row=353&amp;col=5&amp;number=0.00079&amp;sourceID=21","0.00079")</f>
        <v>0.00079</v>
      </c>
      <c r="F353" s="4" t="str">
        <f>HYPERLINK("http://141.218.60.56/~jnz1568/getInfo.php?workbook=isotopes.xlsx&amp;sheet=Isotopes&amp;row=353&amp;col=6&amp;number=&amp;sourceID=21","")</f>
        <v/>
      </c>
      <c r="G353" s="4" t="str">
        <f>HYPERLINK("http://141.218.60.56/~jnz1568/getInfo.php?workbook=isotopes.xlsx&amp;sheet=Isotopes&amp;row=353&amp;col=7&amp;number=&amp;sourceID=21","")</f>
        <v/>
      </c>
    </row>
    <row r="354" spans="1:7">
      <c r="A354" s="3">
        <v>115</v>
      </c>
      <c r="B354" s="3">
        <v>288</v>
      </c>
      <c r="C354" s="3" t="s">
        <v>358</v>
      </c>
      <c r="D354" s="4" t="str">
        <f>HYPERLINK("http://141.218.60.56/~jnz1568/getInfo.php?workbook=isotopes.xlsx&amp;sheet=Isotopes&amp;row=354&amp;col=4&amp;number=288.19249&amp;sourceID=21","288.19249")</f>
        <v>288.19249</v>
      </c>
      <c r="E354" s="4" t="str">
        <f>HYPERLINK("http://141.218.60.56/~jnz1568/getInfo.php?workbook=isotopes.xlsx&amp;sheet=Isotopes&amp;row=354&amp;col=5&amp;number=0.00092&amp;sourceID=21","0.00092")</f>
        <v>0.00092</v>
      </c>
      <c r="F354" s="4" t="str">
        <f>HYPERLINK("http://141.218.60.56/~jnz1568/getInfo.php?workbook=isotopes.xlsx&amp;sheet=Isotopes&amp;row=354&amp;col=6&amp;number=&amp;sourceID=21","")</f>
        <v/>
      </c>
      <c r="G354" s="4" t="str">
        <f>HYPERLINK("http://141.218.60.56/~jnz1568/getInfo.php?workbook=isotopes.xlsx&amp;sheet=Isotopes&amp;row=354&amp;col=7&amp;number=&amp;sourceID=21","")</f>
        <v/>
      </c>
    </row>
    <row r="355" spans="1:7">
      <c r="A355" s="3">
        <v>116</v>
      </c>
      <c r="B355" s="3">
        <v>293</v>
      </c>
      <c r="C355" s="3" t="s">
        <v>359</v>
      </c>
      <c r="D355" s="4" t="str">
        <f>HYPERLINK("http://141.218.60.56/~jnz1568/getInfo.php?workbook=isotopes.xlsx&amp;sheet=Isotopes&amp;row=355&amp;col=4&amp;number=&amp;sourceID=21","")</f>
        <v/>
      </c>
      <c r="E355" s="4" t="str">
        <f>HYPERLINK("http://141.218.60.56/~jnz1568/getInfo.php?workbook=isotopes.xlsx&amp;sheet=Isotopes&amp;row=355&amp;col=5&amp;number=&amp;sourceID=21","")</f>
        <v/>
      </c>
      <c r="F355" s="4" t="str">
        <f>HYPERLINK("http://141.218.60.56/~jnz1568/getInfo.php?workbook=isotopes.xlsx&amp;sheet=Isotopes&amp;row=355&amp;col=6&amp;number=&amp;sourceID=21","")</f>
        <v/>
      </c>
      <c r="G355" s="4" t="str">
        <f>HYPERLINK("http://141.218.60.56/~jnz1568/getInfo.php?workbook=isotopes.xlsx&amp;sheet=Isotopes&amp;row=355&amp;col=7&amp;number=&amp;sourceID=21","")</f>
        <v/>
      </c>
    </row>
    <row r="356" spans="1:7">
      <c r="A356" s="3">
        <v>117</v>
      </c>
      <c r="B356" s="3">
        <v>292</v>
      </c>
      <c r="C356" s="3" t="s">
        <v>360</v>
      </c>
      <c r="D356" s="4" t="str">
        <f>HYPERLINK("http://141.218.60.56/~jnz1568/getInfo.php?workbook=isotopes.xlsx&amp;sheet=Isotopes&amp;row=356&amp;col=4&amp;number=292.20755&amp;sourceID=21","292.20755")</f>
        <v>292.20755</v>
      </c>
      <c r="E356" s="4" t="str">
        <f>HYPERLINK("http://141.218.60.56/~jnz1568/getInfo.php?workbook=isotopes.xlsx&amp;sheet=Isotopes&amp;row=356&amp;col=5&amp;number=0.00101&amp;sourceID=21","0.00101")</f>
        <v>0.00101</v>
      </c>
      <c r="F356" s="4" t="str">
        <f>HYPERLINK("http://141.218.60.56/~jnz1568/getInfo.php?workbook=isotopes.xlsx&amp;sheet=Isotopes&amp;row=356&amp;col=6&amp;number=&amp;sourceID=21","")</f>
        <v/>
      </c>
      <c r="G356" s="4" t="str">
        <f>HYPERLINK("http://141.218.60.56/~jnz1568/getInfo.php?workbook=isotopes.xlsx&amp;sheet=Isotopes&amp;row=356&amp;col=7&amp;number=&amp;sourceID=21","")</f>
        <v/>
      </c>
    </row>
    <row r="357" spans="1:7">
      <c r="A357" s="3">
        <v>118</v>
      </c>
      <c r="B357" s="3">
        <v>294</v>
      </c>
      <c r="C357" s="3" t="s">
        <v>361</v>
      </c>
      <c r="D357" s="4" t="str">
        <f>HYPERLINK("http://141.218.60.56/~jnz1568/getInfo.php?workbook=isotopes.xlsx&amp;sheet=Isotopes&amp;row=357&amp;col=4&amp;number=&amp;sourceID=21","")</f>
        <v/>
      </c>
      <c r="E357" s="4" t="str">
        <f>HYPERLINK("http://141.218.60.56/~jnz1568/getInfo.php?workbook=isotopes.xlsx&amp;sheet=Isotopes&amp;row=357&amp;col=5&amp;number=&amp;sourceID=21","")</f>
        <v/>
      </c>
      <c r="F357" s="4" t="str">
        <f>HYPERLINK("http://141.218.60.56/~jnz1568/getInfo.php?workbook=isotopes.xlsx&amp;sheet=Isotopes&amp;row=357&amp;col=6&amp;number=&amp;sourceID=21","")</f>
        <v/>
      </c>
      <c r="G357" s="4" t="str">
        <f>HYPERLINK("http://141.218.60.56/~jnz1568/getInfo.php?workbook=isotopes.xlsx&amp;sheet=Isotopes&amp;row=357&amp;col=7&amp;number=&amp;sourceID=21","")</f>
        <v/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Isotopes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2015-04-10T05:22:07Z</dcterms:created>
  <dcterms:modified xsi:type="dcterms:W3CDTF">2015-04-10T05:22:07Z</dcterms:modified>
</cp:coreProperties>
</file>