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<sst xmlns="http://schemas.openxmlformats.org/spreadsheetml/2006/main" count="130" uniqueCount="46">
  <si>
    <t>Fine Structure Energy Levels for Na 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</si>
  <si>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</si>
  <si>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</si>
  <si>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</si>
  <si>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</si>
  <si>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</si>
  <si>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</si>
  <si>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</si>
  <si>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</si>
  <si>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</si>
  <si>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</si>
  <si>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</si>
  <si>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1s2</t>
  </si>
  <si>
    <t>1S</t>
  </si>
  <si>
    <t>1s.2s</t>
  </si>
  <si>
    <t>3S</t>
  </si>
  <si>
    <t>1s.2p</t>
  </si>
  <si>
    <t>3P</t>
  </si>
  <si>
    <t>1P</t>
  </si>
  <si>
    <t>1s.3s</t>
  </si>
  <si>
    <t>1s.3p</t>
  </si>
  <si>
    <t>1s.3d</t>
  </si>
  <si>
    <t>3D</t>
  </si>
  <si>
    <t>1D</t>
  </si>
  <si>
    <t>1s.4s</t>
  </si>
  <si>
    <t>1s.4p</t>
  </si>
  <si>
    <t>1s.4d</t>
  </si>
  <si>
    <t>1s.4f</t>
  </si>
  <si>
    <t>3F</t>
  </si>
  <si>
    <t>1F</t>
  </si>
  <si>
    <t>1s.5s</t>
  </si>
  <si>
    <t>1s.5p</t>
  </si>
  <si>
    <t>1s.5d</t>
  </si>
  <si>
    <t>1s.5f</t>
  </si>
  <si>
    <t>1s.5g</t>
  </si>
  <si>
    <t>3G</t>
  </si>
  <si>
    <t>1G</t>
  </si>
  <si>
    <t>A-values for fine-structure transitions in Na X</t>
  </si>
  <si>
    <t>k</t>
  </si>
  <si>
    <t>WL Vac (A)</t>
  </si>
  <si>
    <t>A (s-1)</t>
  </si>
  <si>
    <t>A2E1(s-1)</t>
  </si>
  <si>
    <t>Effective Collision Strengths for Na 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</si>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</sst>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1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11</v>
      </c>
      <c r="B4" s="3">
        <v>2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HYPERLINK("http://141.218.60.56/~jnz1568/getInfo.php?workbook=11_02.xlsx&amp;sheet=E0&amp;row=4&amp;col=10&amp;number=0&amp;sourceID=14","0")</f>
        <v>0</v>
      </c>
    </row>
    <row r="5" spans="1:10">
      <c r="A5" s="3">
        <v>11</v>
      </c>
      <c r="B5" s="3">
        <v>2</v>
      </c>
      <c r="C5" s="3">
        <v>2</v>
      </c>
      <c r="D5" s="3" t="s">
        <v>14</v>
      </c>
      <c r="E5" s="3" t="s">
        <v>15</v>
      </c>
      <c r="F5" s="3">
        <v>3</v>
      </c>
      <c r="G5" s="3">
        <v>0</v>
      </c>
      <c r="H5" s="3">
        <v>0</v>
      </c>
      <c r="I5" s="3">
        <v>1</v>
      </c>
      <c r="J5" s="4" t="str">
        <f>HYPERLINK("http://141.218.60.56/~jnz1568/getInfo.php?workbook=11_02.xlsx&amp;sheet=E0&amp;row=5&amp;col=10&amp;number=8935337&amp;sourceID=14","8935337")</f>
        <v>8935337</v>
      </c>
    </row>
    <row r="6" spans="1:10">
      <c r="A6" s="3">
        <v>11</v>
      </c>
      <c r="B6" s="3">
        <v>2</v>
      </c>
      <c r="C6" s="3">
        <v>3</v>
      </c>
      <c r="D6" s="3" t="s">
        <v>16</v>
      </c>
      <c r="E6" s="3" t="s">
        <v>17</v>
      </c>
      <c r="F6" s="3">
        <v>3</v>
      </c>
      <c r="G6" s="3">
        <v>1</v>
      </c>
      <c r="H6" s="3">
        <v>1</v>
      </c>
      <c r="I6" s="3">
        <v>0</v>
      </c>
      <c r="J6" s="4" t="str">
        <f>HYPERLINK("http://141.218.60.56/~jnz1568/getInfo.php?workbook=11_02.xlsx&amp;sheet=E0&amp;row=6&amp;col=10&amp;number=9022345&amp;sourceID=14","9022345")</f>
        <v>9022345</v>
      </c>
    </row>
    <row r="7" spans="1:10">
      <c r="A7" s="3">
        <v>11</v>
      </c>
      <c r="B7" s="3">
        <v>2</v>
      </c>
      <c r="C7" s="3">
        <v>4</v>
      </c>
      <c r="D7" s="3" t="s">
        <v>16</v>
      </c>
      <c r="E7" s="3" t="s">
        <v>17</v>
      </c>
      <c r="F7" s="3">
        <v>3</v>
      </c>
      <c r="G7" s="3">
        <v>1</v>
      </c>
      <c r="H7" s="3">
        <v>1</v>
      </c>
      <c r="I7" s="3">
        <v>1</v>
      </c>
      <c r="J7" s="4" t="str">
        <f>HYPERLINK("http://141.218.60.56/~jnz1568/getInfo.php?workbook=11_02.xlsx&amp;sheet=E0&amp;row=7&amp;col=10&amp;number=9022867&amp;sourceID=14","9022867")</f>
        <v>9022867</v>
      </c>
    </row>
    <row r="8" spans="1:10">
      <c r="A8" s="3">
        <v>11</v>
      </c>
      <c r="B8" s="3">
        <v>2</v>
      </c>
      <c r="C8" s="3">
        <v>5</v>
      </c>
      <c r="D8" s="3" t="s">
        <v>16</v>
      </c>
      <c r="E8" s="3" t="s">
        <v>17</v>
      </c>
      <c r="F8" s="3">
        <v>3</v>
      </c>
      <c r="G8" s="3">
        <v>1</v>
      </c>
      <c r="H8" s="3">
        <v>1</v>
      </c>
      <c r="I8" s="3">
        <v>2</v>
      </c>
      <c r="J8" s="4" t="str">
        <f>HYPERLINK("http://141.218.60.56/~jnz1568/getInfo.php?workbook=11_02.xlsx&amp;sheet=E0&amp;row=8&amp;col=10&amp;number=9025283.66&amp;sourceID=14","9025283.66")</f>
        <v>9025283.66</v>
      </c>
    </row>
    <row r="9" spans="1:10">
      <c r="A9" s="3">
        <v>11</v>
      </c>
      <c r="B9" s="3">
        <v>2</v>
      </c>
      <c r="C9" s="3">
        <v>6</v>
      </c>
      <c r="D9" s="3" t="s">
        <v>14</v>
      </c>
      <c r="E9" s="3" t="s">
        <v>13</v>
      </c>
      <c r="F9" s="3">
        <v>1</v>
      </c>
      <c r="G9" s="3">
        <v>0</v>
      </c>
      <c r="H9" s="3">
        <v>0</v>
      </c>
      <c r="I9" s="3">
        <v>0</v>
      </c>
      <c r="J9" s="4" t="str">
        <f>HYPERLINK("http://141.218.60.56/~jnz1568/getInfo.php?workbook=11_02.xlsx&amp;sheet=E0&amp;row=9&amp;col=10&amp;number=9027981&amp;sourceID=14","9027981")</f>
        <v>9027981</v>
      </c>
    </row>
    <row r="10" spans="1:10">
      <c r="A10" s="3">
        <v>11</v>
      </c>
      <c r="B10" s="3">
        <v>2</v>
      </c>
      <c r="C10" s="3">
        <v>7</v>
      </c>
      <c r="D10" s="3" t="s">
        <v>16</v>
      </c>
      <c r="E10" s="3" t="s">
        <v>18</v>
      </c>
      <c r="F10" s="3">
        <v>1</v>
      </c>
      <c r="G10" s="3">
        <v>1</v>
      </c>
      <c r="H10" s="3">
        <v>1</v>
      </c>
      <c r="I10" s="3">
        <v>1</v>
      </c>
      <c r="J10" s="4" t="str">
        <f>HYPERLINK("http://141.218.60.56/~jnz1568/getInfo.php?workbook=11_02.xlsx&amp;sheet=E0&amp;row=10&amp;col=10&amp;number=9088700&amp;sourceID=14","9088700")</f>
        <v>9088700</v>
      </c>
    </row>
    <row r="11" spans="1:10">
      <c r="A11" s="3">
        <v>11</v>
      </c>
      <c r="B11" s="3">
        <v>2</v>
      </c>
      <c r="C11" s="3">
        <v>8</v>
      </c>
      <c r="D11" s="3" t="s">
        <v>19</v>
      </c>
      <c r="E11" s="3" t="s">
        <v>15</v>
      </c>
      <c r="F11" s="3">
        <v>3</v>
      </c>
      <c r="G11" s="3">
        <v>0</v>
      </c>
      <c r="H11" s="3">
        <v>0</v>
      </c>
      <c r="I11" s="3">
        <v>1</v>
      </c>
      <c r="J11" s="4" t="str">
        <f>HYPERLINK("http://141.218.60.56/~jnz1568/getInfo.php?workbook=11_02.xlsx&amp;sheet=E0&amp;row=11&amp;col=10&amp;number=10558946&amp;sourceID=14","10558946")</f>
        <v>10558946</v>
      </c>
    </row>
    <row r="12" spans="1:10">
      <c r="A12" s="3">
        <v>11</v>
      </c>
      <c r="B12" s="3">
        <v>2</v>
      </c>
      <c r="C12" s="3">
        <v>9</v>
      </c>
      <c r="D12" s="3" t="s">
        <v>20</v>
      </c>
      <c r="E12" s="3" t="s">
        <v>17</v>
      </c>
      <c r="F12" s="3">
        <v>3</v>
      </c>
      <c r="G12" s="3">
        <v>1</v>
      </c>
      <c r="H12" s="3">
        <v>1</v>
      </c>
      <c r="I12" s="3">
        <v>0</v>
      </c>
      <c r="J12" s="4" t="str">
        <f>HYPERLINK("http://141.218.60.56/~jnz1568/getInfo.php?workbook=11_02.xlsx&amp;sheet=E0&amp;row=12&amp;col=10&amp;number=10582781&amp;sourceID=14","10582781")</f>
        <v>10582781</v>
      </c>
    </row>
    <row r="13" spans="1:10">
      <c r="A13" s="3">
        <v>11</v>
      </c>
      <c r="B13" s="3">
        <v>2</v>
      </c>
      <c r="C13" s="3">
        <v>10</v>
      </c>
      <c r="D13" s="3" t="s">
        <v>20</v>
      </c>
      <c r="E13" s="3" t="s">
        <v>17</v>
      </c>
      <c r="F13" s="3">
        <v>3</v>
      </c>
      <c r="G13" s="3">
        <v>1</v>
      </c>
      <c r="H13" s="3">
        <v>1</v>
      </c>
      <c r="I13" s="3">
        <v>1</v>
      </c>
      <c r="J13" s="4" t="str">
        <f>HYPERLINK("http://141.218.60.56/~jnz1568/getInfo.php?workbook=11_02.xlsx&amp;sheet=E0&amp;row=13&amp;col=10&amp;number=10582947&amp;sourceID=14","10582947")</f>
        <v>10582947</v>
      </c>
    </row>
    <row r="14" spans="1:10">
      <c r="A14" s="3">
        <v>11</v>
      </c>
      <c r="B14" s="3">
        <v>2</v>
      </c>
      <c r="C14" s="3">
        <v>11</v>
      </c>
      <c r="D14" s="3" t="s">
        <v>20</v>
      </c>
      <c r="E14" s="3" t="s">
        <v>17</v>
      </c>
      <c r="F14" s="3">
        <v>3</v>
      </c>
      <c r="G14" s="3">
        <v>1</v>
      </c>
      <c r="H14" s="3">
        <v>1</v>
      </c>
      <c r="I14" s="3">
        <v>2</v>
      </c>
      <c r="J14" s="4" t="str">
        <f>HYPERLINK("http://141.218.60.56/~jnz1568/getInfo.php?workbook=11_02.xlsx&amp;sheet=E0&amp;row=14&amp;col=10&amp;number=10583658&amp;sourceID=14","10583658")</f>
        <v>10583658</v>
      </c>
    </row>
    <row r="15" spans="1:10">
      <c r="A15" s="3">
        <v>11</v>
      </c>
      <c r="B15" s="3">
        <v>2</v>
      </c>
      <c r="C15" s="3">
        <v>12</v>
      </c>
      <c r="D15" s="3" t="s">
        <v>19</v>
      </c>
      <c r="E15" s="3" t="s">
        <v>13</v>
      </c>
      <c r="F15" s="3">
        <v>1</v>
      </c>
      <c r="G15" s="3">
        <v>0</v>
      </c>
      <c r="H15" s="3">
        <v>0</v>
      </c>
      <c r="I15" s="3">
        <v>0</v>
      </c>
      <c r="J15" s="4" t="str">
        <f>HYPERLINK("http://141.218.60.56/~jnz1568/getInfo.php?workbook=11_02.xlsx&amp;sheet=E0&amp;row=15&amp;col=10&amp;number=10583431&amp;sourceID=14","10583431")</f>
        <v>10583431</v>
      </c>
    </row>
    <row r="16" spans="1:10">
      <c r="A16" s="3">
        <v>11</v>
      </c>
      <c r="B16" s="3">
        <v>2</v>
      </c>
      <c r="C16" s="3">
        <v>13</v>
      </c>
      <c r="D16" s="3" t="s">
        <v>21</v>
      </c>
      <c r="E16" s="3" t="s">
        <v>22</v>
      </c>
      <c r="F16" s="3">
        <v>3</v>
      </c>
      <c r="G16" s="3">
        <v>2</v>
      </c>
      <c r="H16" s="3">
        <v>0</v>
      </c>
      <c r="I16" s="3">
        <v>1</v>
      </c>
      <c r="J16" s="4" t="str">
        <f>HYPERLINK("http://141.218.60.56/~jnz1568/getInfo.php?workbook=11_02.xlsx&amp;sheet=E0&amp;row=16&amp;col=10&amp;number=10596647&amp;sourceID=14","10596647")</f>
        <v>10596647</v>
      </c>
    </row>
    <row r="17" spans="1:10">
      <c r="A17" s="3">
        <v>11</v>
      </c>
      <c r="B17" s="3">
        <v>2</v>
      </c>
      <c r="C17" s="3">
        <v>14</v>
      </c>
      <c r="D17" s="3" t="s">
        <v>21</v>
      </c>
      <c r="E17" s="3" t="s">
        <v>22</v>
      </c>
      <c r="F17" s="3">
        <v>3</v>
      </c>
      <c r="G17" s="3">
        <v>2</v>
      </c>
      <c r="H17" s="3">
        <v>0</v>
      </c>
      <c r="I17" s="3">
        <v>2</v>
      </c>
      <c r="J17" s="4" t="str">
        <f>HYPERLINK("http://141.218.60.56/~jnz1568/getInfo.php?workbook=11_02.xlsx&amp;sheet=E0&amp;row=17&amp;col=10&amp;number=10596667&amp;sourceID=14","10596667")</f>
        <v>10596667</v>
      </c>
    </row>
    <row r="18" spans="1:10">
      <c r="A18" s="3">
        <v>11</v>
      </c>
      <c r="B18" s="3">
        <v>2</v>
      </c>
      <c r="C18" s="3">
        <v>15</v>
      </c>
      <c r="D18" s="3" t="s">
        <v>21</v>
      </c>
      <c r="E18" s="3" t="s">
        <v>22</v>
      </c>
      <c r="F18" s="3">
        <v>3</v>
      </c>
      <c r="G18" s="3">
        <v>2</v>
      </c>
      <c r="H18" s="3">
        <v>0</v>
      </c>
      <c r="I18" s="3">
        <v>3</v>
      </c>
      <c r="J18" s="4" t="str">
        <f>HYPERLINK("http://141.218.60.56/~jnz1568/getInfo.php?workbook=11_02.xlsx&amp;sheet=E0&amp;row=18&amp;col=10&amp;number=10596925&amp;sourceID=14","10596925")</f>
        <v>10596925</v>
      </c>
    </row>
    <row r="19" spans="1:10">
      <c r="A19" s="3">
        <v>11</v>
      </c>
      <c r="B19" s="3">
        <v>2</v>
      </c>
      <c r="C19" s="3">
        <v>16</v>
      </c>
      <c r="D19" s="3" t="s">
        <v>21</v>
      </c>
      <c r="E19" s="3" t="s">
        <v>23</v>
      </c>
      <c r="F19" s="3">
        <v>1</v>
      </c>
      <c r="G19" s="3">
        <v>2</v>
      </c>
      <c r="H19" s="3">
        <v>0</v>
      </c>
      <c r="I19" s="3">
        <v>2</v>
      </c>
      <c r="J19" s="4" t="str">
        <f>HYPERLINK("http://141.218.60.56/~jnz1568/getInfo.php?workbook=11_02.xlsx&amp;sheet=E0&amp;row=19&amp;col=10&amp;number=10597475&amp;sourceID=14","10597475")</f>
        <v>10597475</v>
      </c>
    </row>
    <row r="20" spans="1:10">
      <c r="A20" s="3">
        <v>11</v>
      </c>
      <c r="B20" s="3">
        <v>2</v>
      </c>
      <c r="C20" s="3">
        <v>17</v>
      </c>
      <c r="D20" s="3" t="s">
        <v>20</v>
      </c>
      <c r="E20" s="3" t="s">
        <v>18</v>
      </c>
      <c r="F20" s="3">
        <v>1</v>
      </c>
      <c r="G20" s="3">
        <v>1</v>
      </c>
      <c r="H20" s="3">
        <v>1</v>
      </c>
      <c r="I20" s="3">
        <v>1</v>
      </c>
      <c r="J20" s="4" t="str">
        <f>HYPERLINK("http://141.218.60.56/~jnz1568/getInfo.php?workbook=11_02.xlsx&amp;sheet=E0&amp;row=20&amp;col=10&amp;number=10601080&amp;sourceID=14","10601080")</f>
        <v>10601080</v>
      </c>
    </row>
    <row r="21" spans="1:10">
      <c r="A21" s="3">
        <v>11</v>
      </c>
      <c r="B21" s="3">
        <v>2</v>
      </c>
      <c r="C21" s="3">
        <v>18</v>
      </c>
      <c r="D21" s="3" t="s">
        <v>24</v>
      </c>
      <c r="E21" s="3" t="s">
        <v>15</v>
      </c>
      <c r="F21" s="3">
        <v>3</v>
      </c>
      <c r="G21" s="3">
        <v>0</v>
      </c>
      <c r="H21" s="3">
        <v>0</v>
      </c>
      <c r="I21" s="3">
        <v>1</v>
      </c>
      <c r="J21" s="4" t="str">
        <f>HYPERLINK("http://141.218.60.56/~jnz1568/getInfo.php?workbook=11_02.xlsx&amp;sheet=E0&amp;row=21&amp;col=10&amp;number=11115065&amp;sourceID=14","11115065")</f>
        <v>11115065</v>
      </c>
    </row>
    <row r="22" spans="1:10">
      <c r="A22" s="3">
        <v>11</v>
      </c>
      <c r="B22" s="3">
        <v>2</v>
      </c>
      <c r="C22" s="3">
        <v>19</v>
      </c>
      <c r="D22" s="3" t="s">
        <v>25</v>
      </c>
      <c r="E22" s="3" t="s">
        <v>17</v>
      </c>
      <c r="F22" s="3">
        <v>3</v>
      </c>
      <c r="G22" s="3">
        <v>1</v>
      </c>
      <c r="H22" s="3">
        <v>1</v>
      </c>
      <c r="I22" s="3">
        <v>0</v>
      </c>
      <c r="J22" s="4" t="str">
        <f>HYPERLINK("http://141.218.60.56/~jnz1568/getInfo.php?workbook=11_02.xlsx&amp;sheet=E0&amp;row=22&amp;col=10&amp;number=11124873&amp;sourceID=14","11124873")</f>
        <v>11124873</v>
      </c>
    </row>
    <row r="23" spans="1:10">
      <c r="A23" s="3">
        <v>11</v>
      </c>
      <c r="B23" s="3">
        <v>2</v>
      </c>
      <c r="C23" s="3">
        <v>20</v>
      </c>
      <c r="D23" s="3" t="s">
        <v>25</v>
      </c>
      <c r="E23" s="3" t="s">
        <v>17</v>
      </c>
      <c r="F23" s="3">
        <v>3</v>
      </c>
      <c r="G23" s="3">
        <v>1</v>
      </c>
      <c r="H23" s="3">
        <v>1</v>
      </c>
      <c r="I23" s="3">
        <v>1</v>
      </c>
      <c r="J23" s="4" t="str">
        <f>HYPERLINK("http://141.218.60.56/~jnz1568/getInfo.php?workbook=11_02.xlsx&amp;sheet=E0&amp;row=23&amp;col=10&amp;number=11124944&amp;sourceID=14","11124944")</f>
        <v>11124944</v>
      </c>
    </row>
    <row r="24" spans="1:10">
      <c r="A24" s="3">
        <v>11</v>
      </c>
      <c r="B24" s="3">
        <v>2</v>
      </c>
      <c r="C24" s="3">
        <v>21</v>
      </c>
      <c r="D24" s="3" t="s">
        <v>25</v>
      </c>
      <c r="E24" s="3" t="s">
        <v>17</v>
      </c>
      <c r="F24" s="3">
        <v>3</v>
      </c>
      <c r="G24" s="3">
        <v>1</v>
      </c>
      <c r="H24" s="3">
        <v>1</v>
      </c>
      <c r="I24" s="3">
        <v>2</v>
      </c>
      <c r="J24" s="4" t="str">
        <f>HYPERLINK("http://141.218.60.56/~jnz1568/getInfo.php?workbook=11_02.xlsx&amp;sheet=E0&amp;row=24&amp;col=10&amp;number=11125244&amp;sourceID=14","11125244")</f>
        <v>11125244</v>
      </c>
    </row>
    <row r="25" spans="1:10">
      <c r="A25" s="3">
        <v>11</v>
      </c>
      <c r="B25" s="3">
        <v>2</v>
      </c>
      <c r="C25" s="3">
        <v>22</v>
      </c>
      <c r="D25" s="3" t="s">
        <v>24</v>
      </c>
      <c r="E25" s="3" t="s">
        <v>13</v>
      </c>
      <c r="F25" s="3">
        <v>1</v>
      </c>
      <c r="G25" s="3">
        <v>0</v>
      </c>
      <c r="H25" s="3">
        <v>0</v>
      </c>
      <c r="I25" s="3">
        <v>0</v>
      </c>
      <c r="J25" s="4" t="str">
        <f>HYPERLINK("http://141.218.60.56/~jnz1568/getInfo.php?workbook=11_02.xlsx&amp;sheet=E0&amp;row=25&amp;col=10&amp;number=11124986&amp;sourceID=14","11124986")</f>
        <v>11124986</v>
      </c>
    </row>
    <row r="26" spans="1:10">
      <c r="A26" s="3">
        <v>11</v>
      </c>
      <c r="B26" s="3">
        <v>2</v>
      </c>
      <c r="C26" s="3">
        <v>23</v>
      </c>
      <c r="D26" s="3" t="s">
        <v>26</v>
      </c>
      <c r="E26" s="3" t="s">
        <v>22</v>
      </c>
      <c r="F26" s="3">
        <v>3</v>
      </c>
      <c r="G26" s="3">
        <v>2</v>
      </c>
      <c r="H26" s="3">
        <v>0</v>
      </c>
      <c r="I26" s="3">
        <v>1</v>
      </c>
      <c r="J26" s="4" t="str">
        <f>HYPERLINK("http://141.218.60.56/~jnz1568/getInfo.php?workbook=11_02.xlsx&amp;sheet=E0&amp;row=26&amp;col=10&amp;number=11130639&amp;sourceID=14","11130639")</f>
        <v>11130639</v>
      </c>
    </row>
    <row r="27" spans="1:10">
      <c r="A27" s="3">
        <v>11</v>
      </c>
      <c r="B27" s="3">
        <v>2</v>
      </c>
      <c r="C27" s="3">
        <v>24</v>
      </c>
      <c r="D27" s="3" t="s">
        <v>26</v>
      </c>
      <c r="E27" s="3" t="s">
        <v>22</v>
      </c>
      <c r="F27" s="3">
        <v>3</v>
      </c>
      <c r="G27" s="3">
        <v>2</v>
      </c>
      <c r="H27" s="3">
        <v>0</v>
      </c>
      <c r="I27" s="3">
        <v>2</v>
      </c>
      <c r="J27" s="4" t="str">
        <f>HYPERLINK("http://141.218.60.56/~jnz1568/getInfo.php?workbook=11_02.xlsx&amp;sheet=E0&amp;row=27&amp;col=10&amp;number=11130639&amp;sourceID=14","11130639")</f>
        <v>11130639</v>
      </c>
    </row>
    <row r="28" spans="1:10">
      <c r="A28" s="3">
        <v>11</v>
      </c>
      <c r="B28" s="3">
        <v>2</v>
      </c>
      <c r="C28" s="3">
        <v>25</v>
      </c>
      <c r="D28" s="3" t="s">
        <v>26</v>
      </c>
      <c r="E28" s="3" t="s">
        <v>22</v>
      </c>
      <c r="F28" s="3">
        <v>3</v>
      </c>
      <c r="G28" s="3">
        <v>2</v>
      </c>
      <c r="H28" s="3">
        <v>0</v>
      </c>
      <c r="I28" s="3">
        <v>3</v>
      </c>
      <c r="J28" s="4" t="str">
        <f>HYPERLINK("http://141.218.60.56/~jnz1568/getInfo.php?workbook=11_02.xlsx&amp;sheet=E0&amp;row=28&amp;col=10&amp;number=11130639&amp;sourceID=14","11130639")</f>
        <v>11130639</v>
      </c>
    </row>
    <row r="29" spans="1:10">
      <c r="A29" s="3">
        <v>11</v>
      </c>
      <c r="B29" s="3">
        <v>2</v>
      </c>
      <c r="C29" s="3">
        <v>26</v>
      </c>
      <c r="D29" s="3" t="s">
        <v>27</v>
      </c>
      <c r="E29" s="3" t="s">
        <v>28</v>
      </c>
      <c r="F29" s="3">
        <v>3</v>
      </c>
      <c r="G29" s="3">
        <v>3</v>
      </c>
      <c r="H29" s="3">
        <v>1</v>
      </c>
      <c r="I29" s="3">
        <v>2</v>
      </c>
      <c r="J29" s="4" t="str">
        <f>HYPERLINK("http://141.218.60.56/~jnz1568/getInfo.php?workbook=11_02.xlsx&amp;sheet=E0&amp;row=29&amp;col=10&amp;number=11131051&amp;sourceID=14","11131051")</f>
        <v>11131051</v>
      </c>
    </row>
    <row r="30" spans="1:10">
      <c r="A30" s="3">
        <v>11</v>
      </c>
      <c r="B30" s="3">
        <v>2</v>
      </c>
      <c r="C30" s="3">
        <v>27</v>
      </c>
      <c r="D30" s="3" t="s">
        <v>27</v>
      </c>
      <c r="E30" s="3" t="s">
        <v>28</v>
      </c>
      <c r="F30" s="3">
        <v>3</v>
      </c>
      <c r="G30" s="3">
        <v>3</v>
      </c>
      <c r="H30" s="3">
        <v>1</v>
      </c>
      <c r="I30" s="3">
        <v>3</v>
      </c>
      <c r="J30" s="4" t="str">
        <f>HYPERLINK("http://141.218.60.56/~jnz1568/getInfo.php?workbook=11_02.xlsx&amp;sheet=E0&amp;row=30&amp;col=10&amp;number=11131051&amp;sourceID=14","11131051")</f>
        <v>11131051</v>
      </c>
    </row>
    <row r="31" spans="1:10">
      <c r="A31" s="3">
        <v>11</v>
      </c>
      <c r="B31" s="3">
        <v>2</v>
      </c>
      <c r="C31" s="3">
        <v>28</v>
      </c>
      <c r="D31" s="3" t="s">
        <v>27</v>
      </c>
      <c r="E31" s="3" t="s">
        <v>28</v>
      </c>
      <c r="F31" s="3">
        <v>3</v>
      </c>
      <c r="G31" s="3">
        <v>3</v>
      </c>
      <c r="H31" s="3">
        <v>1</v>
      </c>
      <c r="I31" s="3">
        <v>4</v>
      </c>
      <c r="J31" s="4" t="str">
        <f>HYPERLINK("http://141.218.60.56/~jnz1568/getInfo.php?workbook=11_02.xlsx&amp;sheet=E0&amp;row=31&amp;col=10&amp;number=11131051&amp;sourceID=14","11131051")</f>
        <v>11131051</v>
      </c>
    </row>
    <row r="32" spans="1:10">
      <c r="A32" s="3">
        <v>11</v>
      </c>
      <c r="B32" s="3">
        <v>2</v>
      </c>
      <c r="C32" s="3">
        <v>29</v>
      </c>
      <c r="D32" s="3" t="s">
        <v>27</v>
      </c>
      <c r="E32" s="3" t="s">
        <v>29</v>
      </c>
      <c r="F32" s="3">
        <v>1</v>
      </c>
      <c r="G32" s="3">
        <v>3</v>
      </c>
      <c r="H32" s="3">
        <v>1</v>
      </c>
      <c r="I32" s="3">
        <v>3</v>
      </c>
      <c r="J32" s="4" t="str">
        <f>HYPERLINK("http://141.218.60.56/~jnz1568/getInfo.php?workbook=11_02.xlsx&amp;sheet=E0&amp;row=32&amp;col=10&amp;number=11131056&amp;sourceID=14","11131056")</f>
        <v>11131056</v>
      </c>
    </row>
    <row r="33" spans="1:10">
      <c r="A33" s="3">
        <v>11</v>
      </c>
      <c r="B33" s="3">
        <v>2</v>
      </c>
      <c r="C33" s="3">
        <v>30</v>
      </c>
      <c r="D33" s="3" t="s">
        <v>26</v>
      </c>
      <c r="E33" s="3" t="s">
        <v>23</v>
      </c>
      <c r="F33" s="3">
        <v>1</v>
      </c>
      <c r="G33" s="3">
        <v>2</v>
      </c>
      <c r="H33" s="3">
        <v>0</v>
      </c>
      <c r="I33" s="3">
        <v>2</v>
      </c>
      <c r="J33" s="4" t="str">
        <f>HYPERLINK("http://141.218.60.56/~jnz1568/getInfo.php?workbook=11_02.xlsx&amp;sheet=E0&amp;row=33&amp;col=10&amp;number=11131017&amp;sourceID=14","11131017")</f>
        <v>11131017</v>
      </c>
    </row>
    <row r="34" spans="1:10">
      <c r="A34" s="3">
        <v>11</v>
      </c>
      <c r="B34" s="3">
        <v>2</v>
      </c>
      <c r="C34" s="3">
        <v>31</v>
      </c>
      <c r="D34" s="3" t="s">
        <v>25</v>
      </c>
      <c r="E34" s="3" t="s">
        <v>18</v>
      </c>
      <c r="F34" s="3">
        <v>1</v>
      </c>
      <c r="G34" s="3">
        <v>1</v>
      </c>
      <c r="H34" s="3">
        <v>1</v>
      </c>
      <c r="I34" s="3">
        <v>1</v>
      </c>
      <c r="J34" s="4" t="str">
        <f>HYPERLINK("http://141.218.60.56/~jnz1568/getInfo.php?workbook=11_02.xlsx&amp;sheet=E0&amp;row=34&amp;col=10&amp;number=11132393&amp;sourceID=14","11132393")</f>
        <v>11132393</v>
      </c>
    </row>
    <row r="35" spans="1:10">
      <c r="A35" s="3">
        <v>11</v>
      </c>
      <c r="B35" s="3">
        <v>2</v>
      </c>
      <c r="C35" s="3">
        <v>32</v>
      </c>
      <c r="D35" s="3" t="s">
        <v>30</v>
      </c>
      <c r="E35" s="3" t="s">
        <v>15</v>
      </c>
      <c r="F35" s="3">
        <v>3</v>
      </c>
      <c r="G35" s="3">
        <v>0</v>
      </c>
      <c r="H35" s="3">
        <v>0</v>
      </c>
      <c r="I35" s="3">
        <v>1</v>
      </c>
      <c r="J35" s="4" t="str">
        <f>HYPERLINK("http://141.218.60.56/~jnz1568/getInfo.php?workbook=11_02.xlsx&amp;sheet=E0&amp;row=35&amp;col=10&amp;number=11369887&amp;sourceID=14","11369887")</f>
        <v>11369887</v>
      </c>
    </row>
    <row r="36" spans="1:10">
      <c r="A36" s="3">
        <v>11</v>
      </c>
      <c r="B36" s="3">
        <v>2</v>
      </c>
      <c r="C36" s="3">
        <v>33</v>
      </c>
      <c r="D36" s="3" t="s">
        <v>31</v>
      </c>
      <c r="E36" s="3" t="s">
        <v>17</v>
      </c>
      <c r="F36" s="3">
        <v>3</v>
      </c>
      <c r="G36" s="3">
        <v>1</v>
      </c>
      <c r="H36" s="3">
        <v>1</v>
      </c>
      <c r="I36" s="3">
        <v>0</v>
      </c>
      <c r="J36" s="4" t="str">
        <f>HYPERLINK("http://141.218.60.56/~jnz1568/getInfo.php?workbook=11_02.xlsx&amp;sheet=E0&amp;row=36&amp;col=10&amp;number=11374842&amp;sourceID=14","11374842")</f>
        <v>11374842</v>
      </c>
    </row>
    <row r="37" spans="1:10">
      <c r="A37" s="3">
        <v>11</v>
      </c>
      <c r="B37" s="3">
        <v>2</v>
      </c>
      <c r="C37" s="3">
        <v>34</v>
      </c>
      <c r="D37" s="3" t="s">
        <v>31</v>
      </c>
      <c r="E37" s="3" t="s">
        <v>17</v>
      </c>
      <c r="F37" s="3">
        <v>3</v>
      </c>
      <c r="G37" s="3">
        <v>1</v>
      </c>
      <c r="H37" s="3">
        <v>1</v>
      </c>
      <c r="I37" s="3">
        <v>1</v>
      </c>
      <c r="J37" s="4" t="str">
        <f>HYPERLINK("http://141.218.60.56/~jnz1568/getInfo.php?workbook=11_02.xlsx&amp;sheet=E0&amp;row=37&amp;col=10&amp;number=11374879&amp;sourceID=14","11374879")</f>
        <v>11374879</v>
      </c>
    </row>
    <row r="38" spans="1:10">
      <c r="A38" s="3">
        <v>11</v>
      </c>
      <c r="B38" s="3">
        <v>2</v>
      </c>
      <c r="C38" s="3">
        <v>35</v>
      </c>
      <c r="D38" s="3" t="s">
        <v>31</v>
      </c>
      <c r="E38" s="3" t="s">
        <v>17</v>
      </c>
      <c r="F38" s="3">
        <v>3</v>
      </c>
      <c r="G38" s="3">
        <v>1</v>
      </c>
      <c r="H38" s="3">
        <v>1</v>
      </c>
      <c r="I38" s="3">
        <v>2</v>
      </c>
      <c r="J38" s="4" t="str">
        <f>HYPERLINK("http://141.218.60.56/~jnz1568/getInfo.php?workbook=11_02.xlsx&amp;sheet=E0&amp;row=38&amp;col=10&amp;number=11375032&amp;sourceID=14","11375032")</f>
        <v>11375032</v>
      </c>
    </row>
    <row r="39" spans="1:10">
      <c r="A39" s="3">
        <v>11</v>
      </c>
      <c r="B39" s="3">
        <v>2</v>
      </c>
      <c r="C39" s="3">
        <v>36</v>
      </c>
      <c r="D39" s="3" t="s">
        <v>30</v>
      </c>
      <c r="E39" s="3" t="s">
        <v>13</v>
      </c>
      <c r="F39" s="3">
        <v>1</v>
      </c>
      <c r="G39" s="3">
        <v>0</v>
      </c>
      <c r="H39" s="3">
        <v>0</v>
      </c>
      <c r="I39" s="3">
        <v>0</v>
      </c>
      <c r="J39" s="4" t="str">
        <f>HYPERLINK("http://141.218.60.56/~jnz1568/getInfo.php?workbook=11_02.xlsx&amp;sheet=E0&amp;row=39&amp;col=10&amp;number=11374868&amp;sourceID=14","11374868")</f>
        <v>11374868</v>
      </c>
    </row>
    <row r="40" spans="1:10">
      <c r="A40" s="3">
        <v>11</v>
      </c>
      <c r="B40" s="3">
        <v>2</v>
      </c>
      <c r="C40" s="3">
        <v>37</v>
      </c>
      <c r="D40" s="3" t="s">
        <v>32</v>
      </c>
      <c r="E40" s="3" t="s">
        <v>22</v>
      </c>
      <c r="F40" s="3">
        <v>3</v>
      </c>
      <c r="G40" s="3">
        <v>2</v>
      </c>
      <c r="H40" s="3">
        <v>0</v>
      </c>
      <c r="I40" s="3">
        <v>1</v>
      </c>
      <c r="J40" s="4" t="str">
        <f>HYPERLINK("http://141.218.60.56/~jnz1568/getInfo.php?workbook=11_02.xlsx&amp;sheet=E0&amp;row=40&amp;col=10&amp;number=11377767&amp;sourceID=14","11377767")</f>
        <v>11377767</v>
      </c>
    </row>
    <row r="41" spans="1:10">
      <c r="A41" s="3">
        <v>11</v>
      </c>
      <c r="B41" s="3">
        <v>2</v>
      </c>
      <c r="C41" s="3">
        <v>38</v>
      </c>
      <c r="D41" s="3" t="s">
        <v>32</v>
      </c>
      <c r="E41" s="3" t="s">
        <v>22</v>
      </c>
      <c r="F41" s="3">
        <v>3</v>
      </c>
      <c r="G41" s="3">
        <v>2</v>
      </c>
      <c r="H41" s="3">
        <v>0</v>
      </c>
      <c r="I41" s="3">
        <v>2</v>
      </c>
      <c r="J41" s="4" t="str">
        <f>HYPERLINK("http://141.218.60.56/~jnz1568/getInfo.php?workbook=11_02.xlsx&amp;sheet=E0&amp;row=41&amp;col=10&amp;number=11377767&amp;sourceID=14","11377767")</f>
        <v>11377767</v>
      </c>
    </row>
    <row r="42" spans="1:10">
      <c r="A42" s="3">
        <v>11</v>
      </c>
      <c r="B42" s="3">
        <v>2</v>
      </c>
      <c r="C42" s="3">
        <v>39</v>
      </c>
      <c r="D42" s="3" t="s">
        <v>32</v>
      </c>
      <c r="E42" s="3" t="s">
        <v>22</v>
      </c>
      <c r="F42" s="3">
        <v>3</v>
      </c>
      <c r="G42" s="3">
        <v>2</v>
      </c>
      <c r="H42" s="3">
        <v>0</v>
      </c>
      <c r="I42" s="3">
        <v>3</v>
      </c>
      <c r="J42" s="4" t="str">
        <f>HYPERLINK("http://141.218.60.56/~jnz1568/getInfo.php?workbook=11_02.xlsx&amp;sheet=E0&amp;row=42&amp;col=10&amp;number=11377767&amp;sourceID=14","11377767")</f>
        <v>11377767</v>
      </c>
    </row>
    <row r="43" spans="1:10">
      <c r="A43" s="3">
        <v>11</v>
      </c>
      <c r="B43" s="3">
        <v>2</v>
      </c>
      <c r="C43" s="3">
        <v>40</v>
      </c>
      <c r="D43" s="3" t="s">
        <v>33</v>
      </c>
      <c r="E43" s="3" t="s">
        <v>28</v>
      </c>
      <c r="F43" s="3">
        <v>3</v>
      </c>
      <c r="G43" s="3">
        <v>3</v>
      </c>
      <c r="H43" s="3">
        <v>1</v>
      </c>
      <c r="I43" s="3">
        <v>2</v>
      </c>
      <c r="J43" s="4" t="str">
        <f>HYPERLINK("http://141.218.60.56/~jnz1568/getInfo.php?workbook=11_02.xlsx&amp;sheet=E0&amp;row=43&amp;col=10&amp;number=11377987&amp;sourceID=14","11377987")</f>
        <v>11377987</v>
      </c>
    </row>
    <row r="44" spans="1:10">
      <c r="A44" s="3">
        <v>11</v>
      </c>
      <c r="B44" s="3">
        <v>2</v>
      </c>
      <c r="C44" s="3">
        <v>41</v>
      </c>
      <c r="D44" s="3" t="s">
        <v>33</v>
      </c>
      <c r="E44" s="3" t="s">
        <v>28</v>
      </c>
      <c r="F44" s="3">
        <v>3</v>
      </c>
      <c r="G44" s="3">
        <v>3</v>
      </c>
      <c r="H44" s="3">
        <v>1</v>
      </c>
      <c r="I44" s="3">
        <v>3</v>
      </c>
      <c r="J44" s="4" t="str">
        <f>HYPERLINK("http://141.218.60.56/~jnz1568/getInfo.php?workbook=11_02.xlsx&amp;sheet=E0&amp;row=44&amp;col=10&amp;number=11377987&amp;sourceID=14","11377987")</f>
        <v>11377987</v>
      </c>
    </row>
    <row r="45" spans="1:10">
      <c r="A45" s="3">
        <v>11</v>
      </c>
      <c r="B45" s="3">
        <v>2</v>
      </c>
      <c r="C45" s="3">
        <v>42</v>
      </c>
      <c r="D45" s="3" t="s">
        <v>33</v>
      </c>
      <c r="E45" s="3" t="s">
        <v>28</v>
      </c>
      <c r="F45" s="3">
        <v>3</v>
      </c>
      <c r="G45" s="3">
        <v>3</v>
      </c>
      <c r="H45" s="3">
        <v>1</v>
      </c>
      <c r="I45" s="3">
        <v>4</v>
      </c>
      <c r="J45" s="4" t="str">
        <f>HYPERLINK("http://141.218.60.56/~jnz1568/getInfo.php?workbook=11_02.xlsx&amp;sheet=E0&amp;row=45&amp;col=10&amp;number=11377987&amp;sourceID=14","11377987")</f>
        <v>11377987</v>
      </c>
    </row>
    <row r="46" spans="1:10">
      <c r="A46" s="3">
        <v>11</v>
      </c>
      <c r="B46" s="3">
        <v>2</v>
      </c>
      <c r="C46" s="3">
        <v>43</v>
      </c>
      <c r="D46" s="3" t="s">
        <v>33</v>
      </c>
      <c r="E46" s="3" t="s">
        <v>29</v>
      </c>
      <c r="F46" s="3">
        <v>1</v>
      </c>
      <c r="G46" s="3">
        <v>3</v>
      </c>
      <c r="H46" s="3">
        <v>1</v>
      </c>
      <c r="I46" s="3">
        <v>3</v>
      </c>
      <c r="J46" s="4" t="str">
        <f>HYPERLINK("http://141.218.60.56/~jnz1568/getInfo.php?workbook=11_02.xlsx&amp;sheet=E0&amp;row=46&amp;col=10&amp;number=11377991&amp;sourceID=14","11377991")</f>
        <v>11377991</v>
      </c>
    </row>
    <row r="47" spans="1:10">
      <c r="A47" s="3">
        <v>11</v>
      </c>
      <c r="B47" s="3">
        <v>2</v>
      </c>
      <c r="C47" s="3">
        <v>44</v>
      </c>
      <c r="D47" s="3" t="s">
        <v>34</v>
      </c>
      <c r="E47" s="3" t="s">
        <v>35</v>
      </c>
      <c r="F47" s="3">
        <v>3</v>
      </c>
      <c r="G47" s="3">
        <v>4</v>
      </c>
      <c r="H47" s="3">
        <v>0</v>
      </c>
      <c r="I47" s="3">
        <v>3</v>
      </c>
      <c r="J47" s="4" t="str">
        <f>HYPERLINK("http://141.218.60.56/~jnz1568/getInfo.php?workbook=11_02.xlsx&amp;sheet=E0&amp;row=47&amp;col=10&amp;number=0&amp;sourceID=14","0")</f>
        <v>0</v>
      </c>
    </row>
    <row r="48" spans="1:10">
      <c r="A48" s="3">
        <v>11</v>
      </c>
      <c r="B48" s="3">
        <v>2</v>
      </c>
      <c r="C48" s="3">
        <v>45</v>
      </c>
      <c r="D48" s="3" t="s">
        <v>34</v>
      </c>
      <c r="E48" s="3" t="s">
        <v>35</v>
      </c>
      <c r="F48" s="3">
        <v>3</v>
      </c>
      <c r="G48" s="3">
        <v>4</v>
      </c>
      <c r="H48" s="3">
        <v>0</v>
      </c>
      <c r="I48" s="3">
        <v>4</v>
      </c>
      <c r="J48" s="4" t="str">
        <f>HYPERLINK("http://141.218.60.56/~jnz1568/getInfo.php?workbook=11_02.xlsx&amp;sheet=E0&amp;row=48&amp;col=10&amp;number=0&amp;sourceID=14","0")</f>
        <v>0</v>
      </c>
    </row>
    <row r="49" spans="1:10">
      <c r="A49" s="3">
        <v>11</v>
      </c>
      <c r="B49" s="3">
        <v>2</v>
      </c>
      <c r="C49" s="3">
        <v>46</v>
      </c>
      <c r="D49" s="3" t="s">
        <v>32</v>
      </c>
      <c r="E49" s="3" t="s">
        <v>23</v>
      </c>
      <c r="F49" s="3">
        <v>1</v>
      </c>
      <c r="G49" s="3">
        <v>2</v>
      </c>
      <c r="H49" s="3">
        <v>0</v>
      </c>
      <c r="I49" s="3">
        <v>2</v>
      </c>
      <c r="J49" s="4" t="str">
        <f>HYPERLINK("http://141.218.60.56/~jnz1568/getInfo.php?workbook=11_02.xlsx&amp;sheet=E0&amp;row=49&amp;col=10&amp;number=11377984&amp;sourceID=14","11377984")</f>
        <v>11377984</v>
      </c>
    </row>
    <row r="50" spans="1:10">
      <c r="A50" s="3">
        <v>11</v>
      </c>
      <c r="B50" s="3">
        <v>2</v>
      </c>
      <c r="C50" s="3">
        <v>47</v>
      </c>
      <c r="D50" s="3" t="s">
        <v>34</v>
      </c>
      <c r="E50" s="3" t="s">
        <v>35</v>
      </c>
      <c r="F50" s="3">
        <v>3</v>
      </c>
      <c r="G50" s="3">
        <v>4</v>
      </c>
      <c r="H50" s="3">
        <v>0</v>
      </c>
      <c r="I50" s="3">
        <v>5</v>
      </c>
      <c r="J50" s="4" t="str">
        <f>HYPERLINK("http://141.218.60.56/~jnz1568/getInfo.php?workbook=11_02.xlsx&amp;sheet=E0&amp;row=50&amp;col=10&amp;number=0&amp;sourceID=14","0")</f>
        <v>0</v>
      </c>
    </row>
    <row r="51" spans="1:10">
      <c r="A51" s="3">
        <v>11</v>
      </c>
      <c r="B51" s="3">
        <v>2</v>
      </c>
      <c r="C51" s="3">
        <v>48</v>
      </c>
      <c r="D51" s="3" t="s">
        <v>34</v>
      </c>
      <c r="E51" s="3" t="s">
        <v>36</v>
      </c>
      <c r="F51" s="3">
        <v>1</v>
      </c>
      <c r="G51" s="3">
        <v>4</v>
      </c>
      <c r="H51" s="3">
        <v>0</v>
      </c>
      <c r="I51" s="3">
        <v>4</v>
      </c>
      <c r="J51" s="4" t="str">
        <f>HYPERLINK("http://141.218.60.56/~jnz1568/getInfo.php?workbook=11_02.xlsx&amp;sheet=E0&amp;row=51&amp;col=10&amp;number=0&amp;sourceID=14","0")</f>
        <v>0</v>
      </c>
    </row>
    <row r="52" spans="1:10">
      <c r="A52" s="3">
        <v>11</v>
      </c>
      <c r="B52" s="3">
        <v>2</v>
      </c>
      <c r="C52" s="3">
        <v>49</v>
      </c>
      <c r="D52" s="3" t="s">
        <v>31</v>
      </c>
      <c r="E52" s="3" t="s">
        <v>18</v>
      </c>
      <c r="F52" s="3">
        <v>1</v>
      </c>
      <c r="G52" s="3">
        <v>1</v>
      </c>
      <c r="H52" s="3">
        <v>1</v>
      </c>
      <c r="I52" s="3">
        <v>1</v>
      </c>
      <c r="J52" s="4" t="str">
        <f>HYPERLINK("http://141.218.60.56/~jnz1568/getInfo.php?workbook=11_02.xlsx&amp;sheet=E0&amp;row=52&amp;col=10&amp;number=11378645&amp;sourceID=14","11378645")</f>
        <v>11378645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91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5.7109375" customWidth="1"/>
    <col min="7" max="7" width="10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11</v>
      </c>
      <c r="B4" s="3">
        <v>2</v>
      </c>
      <c r="C4" s="3">
        <v>2</v>
      </c>
      <c r="D4" s="3">
        <v>1</v>
      </c>
      <c r="E4" s="3">
        <v>11.191</v>
      </c>
      <c r="F4" s="4" t="str">
        <f>HYPERLINK("http://141.218.60.56/~jnz1568/getInfo.php?workbook=11_02.xlsx&amp;sheet=A0&amp;row=4&amp;col=6&amp;number=27470&amp;sourceID=14","27470")</f>
        <v>27470</v>
      </c>
      <c r="G4" s="4" t="str">
        <f>HYPERLINK("http://141.218.60.56/~jnz1568/getInfo.php?workbook=11_02.xlsx&amp;sheet=A0&amp;row=4&amp;col=7&amp;number=0&amp;sourceID=14","0")</f>
        <v>0</v>
      </c>
    </row>
    <row r="5" spans="1:7">
      <c r="A5" s="3">
        <v>11</v>
      </c>
      <c r="B5" s="3">
        <v>2</v>
      </c>
      <c r="C5" s="3">
        <v>4</v>
      </c>
      <c r="D5" s="3">
        <v>1</v>
      </c>
      <c r="E5" s="3">
        <v>11.083</v>
      </c>
      <c r="F5" s="4" t="str">
        <f>HYPERLINK("http://141.218.60.56/~jnz1568/getInfo.php?workbook=11_02.xlsx&amp;sheet=A0&amp;row=5&amp;col=6&amp;number=13930000000&amp;sourceID=14","13930000000")</f>
        <v>13930000000</v>
      </c>
      <c r="G5" s="4" t="str">
        <f>HYPERLINK("http://141.218.60.56/~jnz1568/getInfo.php?workbook=11_02.xlsx&amp;sheet=A0&amp;row=5&amp;col=7&amp;number=0&amp;sourceID=14","0")</f>
        <v>0</v>
      </c>
    </row>
    <row r="6" spans="1:7">
      <c r="A6" s="3">
        <v>11</v>
      </c>
      <c r="B6" s="3">
        <v>2</v>
      </c>
      <c r="C6" s="3">
        <v>5</v>
      </c>
      <c r="D6" s="3">
        <v>1</v>
      </c>
      <c r="E6" s="3">
        <v>11.08</v>
      </c>
      <c r="F6" s="4" t="str">
        <f>HYPERLINK("http://141.218.60.56/~jnz1568/getInfo.php?workbook=11_02.xlsx&amp;sheet=A0&amp;row=6&amp;col=6&amp;number=5026000&amp;sourceID=14","5026000")</f>
        <v>5026000</v>
      </c>
      <c r="G6" s="4" t="str">
        <f>HYPERLINK("http://141.218.60.56/~jnz1568/getInfo.php?workbook=11_02.xlsx&amp;sheet=A0&amp;row=6&amp;col=7&amp;number=0&amp;sourceID=14","0")</f>
        <v>0</v>
      </c>
    </row>
    <row r="7" spans="1:7">
      <c r="A7" s="3">
        <v>11</v>
      </c>
      <c r="B7" s="3">
        <v>2</v>
      </c>
      <c r="C7" s="3">
        <v>6</v>
      </c>
      <c r="D7" s="3">
        <v>1</v>
      </c>
      <c r="E7" s="3">
        <v>0</v>
      </c>
      <c r="F7" s="4" t="str">
        <f>HYPERLINK("http://141.218.60.56/~jnz1568/getInfo.php?workbook=11_02.xlsx&amp;sheet=A0&amp;row=7&amp;col=6&amp;number=0&amp;sourceID=14","0")</f>
        <v>0</v>
      </c>
      <c r="G7" s="4" t="str">
        <f>HYPERLINK("http://141.218.60.56/~jnz1568/getInfo.php?workbook=11_02.xlsx&amp;sheet=A0&amp;row=7&amp;col=7&amp;number=18530000&amp;sourceID=14","18530000")</f>
        <v>18530000</v>
      </c>
    </row>
    <row r="8" spans="1:7">
      <c r="A8" s="3">
        <v>11</v>
      </c>
      <c r="B8" s="3">
        <v>2</v>
      </c>
      <c r="C8" s="3">
        <v>7</v>
      </c>
      <c r="D8" s="3">
        <v>1</v>
      </c>
      <c r="E8" s="3">
        <v>11.003</v>
      </c>
      <c r="F8" s="4" t="str">
        <f>HYPERLINK("http://141.218.60.56/~jnz1568/getInfo.php?workbook=11_02.xlsx&amp;sheet=A0&amp;row=8&amp;col=6&amp;number=13960000000000&amp;sourceID=14","13960000000000")</f>
        <v>13960000000000</v>
      </c>
      <c r="G8" s="4" t="str">
        <f>HYPERLINK("http://141.218.60.56/~jnz1568/getInfo.php?workbook=11_02.xlsx&amp;sheet=A0&amp;row=8&amp;col=7&amp;number=0&amp;sourceID=14","0")</f>
        <v>0</v>
      </c>
    </row>
    <row r="9" spans="1:7">
      <c r="A9" s="3">
        <v>11</v>
      </c>
      <c r="B9" s="3">
        <v>2</v>
      </c>
      <c r="C9" s="3">
        <v>8</v>
      </c>
      <c r="D9" s="3">
        <v>1</v>
      </c>
      <c r="E9" s="3">
        <v>9.471</v>
      </c>
      <c r="F9" s="4" t="str">
        <f>HYPERLINK("http://141.218.60.56/~jnz1568/getInfo.php?workbook=11_02.xlsx&amp;sheet=A0&amp;row=9&amp;col=6&amp;number=8576&amp;sourceID=14","8576")</f>
        <v>8576</v>
      </c>
      <c r="G9" s="4" t="str">
        <f>HYPERLINK("http://141.218.60.56/~jnz1568/getInfo.php?workbook=11_02.xlsx&amp;sheet=A0&amp;row=9&amp;col=7&amp;number=0&amp;sourceID=14","0")</f>
        <v>0</v>
      </c>
    </row>
    <row r="10" spans="1:7">
      <c r="A10" s="3">
        <v>11</v>
      </c>
      <c r="B10" s="3">
        <v>2</v>
      </c>
      <c r="C10" s="3">
        <v>10</v>
      </c>
      <c r="D10" s="3">
        <v>1</v>
      </c>
      <c r="E10" s="3">
        <v>9.449</v>
      </c>
      <c r="F10" s="4" t="str">
        <f>HYPERLINK("http://141.218.60.56/~jnz1568/getInfo.php?workbook=11_02.xlsx&amp;sheet=A0&amp;row=10&amp;col=6&amp;number=4508000000&amp;sourceID=14","4508000000")</f>
        <v>4508000000</v>
      </c>
      <c r="G10" s="4" t="str">
        <f>HYPERLINK("http://141.218.60.56/~jnz1568/getInfo.php?workbook=11_02.xlsx&amp;sheet=A0&amp;row=10&amp;col=7&amp;number=0&amp;sourceID=14","0")</f>
        <v>0</v>
      </c>
    </row>
    <row r="11" spans="1:7">
      <c r="A11" s="3">
        <v>11</v>
      </c>
      <c r="B11" s="3">
        <v>2</v>
      </c>
      <c r="C11" s="3">
        <v>11</v>
      </c>
      <c r="D11" s="3">
        <v>1</v>
      </c>
      <c r="E11" s="3">
        <v>9.448</v>
      </c>
      <c r="F11" s="4" t="str">
        <f>HYPERLINK("http://141.218.60.56/~jnz1568/getInfo.php?workbook=11_02.xlsx&amp;sheet=A0&amp;row=11&amp;col=6&amp;number=1922000&amp;sourceID=14","1922000")</f>
        <v>1922000</v>
      </c>
      <c r="G11" s="4" t="str">
        <f>HYPERLINK("http://141.218.60.56/~jnz1568/getInfo.php?workbook=11_02.xlsx&amp;sheet=A0&amp;row=11&amp;col=7&amp;number=0&amp;sourceID=14","0")</f>
        <v>0</v>
      </c>
    </row>
    <row r="12" spans="1:7">
      <c r="A12" s="3">
        <v>11</v>
      </c>
      <c r="B12" s="3">
        <v>2</v>
      </c>
      <c r="C12" s="3">
        <v>13</v>
      </c>
      <c r="D12" s="3">
        <v>1</v>
      </c>
      <c r="E12" s="3">
        <v>9.437</v>
      </c>
      <c r="F12" s="4" t="str">
        <f>HYPERLINK("http://141.218.60.56/~jnz1568/getInfo.php?workbook=11_02.xlsx&amp;sheet=A0&amp;row=12&amp;col=6&amp;number=158.5&amp;sourceID=14","158.5")</f>
        <v>158.5</v>
      </c>
      <c r="G12" s="4" t="str">
        <f>HYPERLINK("http://141.218.60.56/~jnz1568/getInfo.php?workbook=11_02.xlsx&amp;sheet=A0&amp;row=12&amp;col=7&amp;number=0&amp;sourceID=14","0")</f>
        <v>0</v>
      </c>
    </row>
    <row r="13" spans="1:7">
      <c r="A13" s="3">
        <v>11</v>
      </c>
      <c r="B13" s="3">
        <v>2</v>
      </c>
      <c r="C13" s="3">
        <v>14</v>
      </c>
      <c r="D13" s="3">
        <v>1</v>
      </c>
      <c r="E13" s="3">
        <v>9.437</v>
      </c>
      <c r="F13" s="4" t="str">
        <f>HYPERLINK("http://141.218.60.56/~jnz1568/getInfo.php?workbook=11_02.xlsx&amp;sheet=A0&amp;row=13&amp;col=6&amp;number=55610000&amp;sourceID=14","55610000")</f>
        <v>55610000</v>
      </c>
      <c r="G13" s="4" t="str">
        <f>HYPERLINK("http://141.218.60.56/~jnz1568/getInfo.php?workbook=11_02.xlsx&amp;sheet=A0&amp;row=13&amp;col=7&amp;number=0&amp;sourceID=14","0")</f>
        <v>0</v>
      </c>
    </row>
    <row r="14" spans="1:7">
      <c r="A14" s="3">
        <v>11</v>
      </c>
      <c r="B14" s="3">
        <v>2</v>
      </c>
      <c r="C14" s="3">
        <v>16</v>
      </c>
      <c r="D14" s="3">
        <v>1</v>
      </c>
      <c r="E14" s="3">
        <v>9.436</v>
      </c>
      <c r="F14" s="4" t="str">
        <f>HYPERLINK("http://141.218.60.56/~jnz1568/getInfo.php?workbook=11_02.xlsx&amp;sheet=A0&amp;row=14&amp;col=6&amp;number=945300000&amp;sourceID=14","945300000")</f>
        <v>945300000</v>
      </c>
      <c r="G14" s="4" t="str">
        <f>HYPERLINK("http://141.218.60.56/~jnz1568/getInfo.php?workbook=11_02.xlsx&amp;sheet=A0&amp;row=14&amp;col=7&amp;number=0&amp;sourceID=14","0")</f>
        <v>0</v>
      </c>
    </row>
    <row r="15" spans="1:7">
      <c r="A15" s="3">
        <v>11</v>
      </c>
      <c r="B15" s="3">
        <v>2</v>
      </c>
      <c r="C15" s="3">
        <v>17</v>
      </c>
      <c r="D15" s="3">
        <v>1</v>
      </c>
      <c r="E15" s="3">
        <v>9.433</v>
      </c>
      <c r="F15" s="4" t="str">
        <f>HYPERLINK("http://141.218.60.56/~jnz1568/getInfo.php?workbook=11_02.xlsx&amp;sheet=A0&amp;row=15&amp;col=6&amp;number=4202000000000&amp;sourceID=14","4202000000000")</f>
        <v>4202000000000</v>
      </c>
      <c r="G15" s="4" t="str">
        <f>HYPERLINK("http://141.218.60.56/~jnz1568/getInfo.php?workbook=11_02.xlsx&amp;sheet=A0&amp;row=15&amp;col=7&amp;number=0&amp;sourceID=14","0")</f>
        <v>0</v>
      </c>
    </row>
    <row r="16" spans="1:7">
      <c r="A16" s="3">
        <v>11</v>
      </c>
      <c r="B16" s="3">
        <v>2</v>
      </c>
      <c r="C16" s="3">
        <v>18</v>
      </c>
      <c r="D16" s="3">
        <v>1</v>
      </c>
      <c r="E16" s="3">
        <v>8.997</v>
      </c>
      <c r="F16" s="4" t="str">
        <f>HYPERLINK("http://141.218.60.56/~jnz1568/getInfo.php?workbook=11_02.xlsx&amp;sheet=A0&amp;row=16&amp;col=6&amp;number=487.7&amp;sourceID=14","487.7")</f>
        <v>487.7</v>
      </c>
      <c r="G16" s="4" t="str">
        <f>HYPERLINK("http://141.218.60.56/~jnz1568/getInfo.php?workbook=11_02.xlsx&amp;sheet=A0&amp;row=16&amp;col=7&amp;number=0&amp;sourceID=14","0")</f>
        <v>0</v>
      </c>
    </row>
    <row r="17" spans="1:7">
      <c r="A17" s="3">
        <v>11</v>
      </c>
      <c r="B17" s="3">
        <v>2</v>
      </c>
      <c r="C17" s="3">
        <v>20</v>
      </c>
      <c r="D17" s="3">
        <v>1</v>
      </c>
      <c r="E17" s="3">
        <v>8.989</v>
      </c>
      <c r="F17" s="4" t="str">
        <f>HYPERLINK("http://141.218.60.56/~jnz1568/getInfo.php?workbook=11_02.xlsx&amp;sheet=A0&amp;row=17&amp;col=6&amp;number=2133000000&amp;sourceID=14","2133000000")</f>
        <v>2133000000</v>
      </c>
      <c r="G17" s="4" t="str">
        <f>HYPERLINK("http://141.218.60.56/~jnz1568/getInfo.php?workbook=11_02.xlsx&amp;sheet=A0&amp;row=17&amp;col=7&amp;number=0&amp;sourceID=14","0")</f>
        <v>0</v>
      </c>
    </row>
    <row r="18" spans="1:7">
      <c r="A18" s="3">
        <v>11</v>
      </c>
      <c r="B18" s="3">
        <v>2</v>
      </c>
      <c r="C18" s="3">
        <v>21</v>
      </c>
      <c r="D18" s="3">
        <v>1</v>
      </c>
      <c r="E18" s="3">
        <v>8.989</v>
      </c>
      <c r="F18" s="4" t="str">
        <f>HYPERLINK("http://141.218.60.56/~jnz1568/getInfo.php?workbook=11_02.xlsx&amp;sheet=A0&amp;row=18&amp;col=6&amp;number=951700&amp;sourceID=14","951700")</f>
        <v>951700</v>
      </c>
      <c r="G18" s="4" t="str">
        <f>HYPERLINK("http://141.218.60.56/~jnz1568/getInfo.php?workbook=11_02.xlsx&amp;sheet=A0&amp;row=18&amp;col=7&amp;number=0&amp;sourceID=14","0")</f>
        <v>0</v>
      </c>
    </row>
    <row r="19" spans="1:7">
      <c r="A19" s="3">
        <v>11</v>
      </c>
      <c r="B19" s="3">
        <v>2</v>
      </c>
      <c r="C19" s="3">
        <v>23</v>
      </c>
      <c r="D19" s="3">
        <v>1</v>
      </c>
      <c r="E19" s="3">
        <v>8.984</v>
      </c>
      <c r="F19" s="4" t="str">
        <f>HYPERLINK("http://141.218.60.56/~jnz1568/getInfo.php?workbook=11_02.xlsx&amp;sheet=A0&amp;row=19&amp;col=6&amp;number=272.8&amp;sourceID=14","272.8")</f>
        <v>272.8</v>
      </c>
      <c r="G19" s="4" t="str">
        <f>HYPERLINK("http://141.218.60.56/~jnz1568/getInfo.php?workbook=11_02.xlsx&amp;sheet=A0&amp;row=19&amp;col=7&amp;number=0&amp;sourceID=14","0")</f>
        <v>0</v>
      </c>
    </row>
    <row r="20" spans="1:7">
      <c r="A20" s="3">
        <v>11</v>
      </c>
      <c r="B20" s="3">
        <v>2</v>
      </c>
      <c r="C20" s="3">
        <v>24</v>
      </c>
      <c r="D20" s="3">
        <v>1</v>
      </c>
      <c r="E20" s="3">
        <v>8.984</v>
      </c>
      <c r="F20" s="4" t="str">
        <f>HYPERLINK("http://141.218.60.56/~jnz1568/getInfo.php?workbook=11_02.xlsx&amp;sheet=A0&amp;row=20&amp;col=6&amp;number=6467000&amp;sourceID=14","6467000")</f>
        <v>6467000</v>
      </c>
      <c r="G20" s="4" t="str">
        <f>HYPERLINK("http://141.218.60.56/~jnz1568/getInfo.php?workbook=11_02.xlsx&amp;sheet=A0&amp;row=20&amp;col=7&amp;number=0&amp;sourceID=14","0")</f>
        <v>0</v>
      </c>
    </row>
    <row r="21" spans="1:7">
      <c r="A21" s="3">
        <v>11</v>
      </c>
      <c r="B21" s="3">
        <v>2</v>
      </c>
      <c r="C21" s="3">
        <v>30</v>
      </c>
      <c r="D21" s="3">
        <v>1</v>
      </c>
      <c r="E21" s="3">
        <v>8.984</v>
      </c>
      <c r="F21" s="4" t="str">
        <f>HYPERLINK("http://141.218.60.56/~jnz1568/getInfo.php?workbook=11_02.xlsx&amp;sheet=A0&amp;row=21&amp;col=6&amp;number=168900000&amp;sourceID=14","168900000")</f>
        <v>168900000</v>
      </c>
      <c r="G21" s="4" t="str">
        <f>HYPERLINK("http://141.218.60.56/~jnz1568/getInfo.php?workbook=11_02.xlsx&amp;sheet=A0&amp;row=21&amp;col=7&amp;number=0&amp;sourceID=14","0")</f>
        <v>0</v>
      </c>
    </row>
    <row r="22" spans="1:7">
      <c r="A22" s="3">
        <v>11</v>
      </c>
      <c r="B22" s="3">
        <v>2</v>
      </c>
      <c r="C22" s="3">
        <v>31</v>
      </c>
      <c r="D22" s="3">
        <v>1</v>
      </c>
      <c r="E22" s="3">
        <v>8.983</v>
      </c>
      <c r="F22" s="4" t="str">
        <f>HYPERLINK("http://141.218.60.56/~jnz1568/getInfo.php?workbook=11_02.xlsx&amp;sheet=A0&amp;row=22&amp;col=6&amp;number=1971000000000&amp;sourceID=14","1971000000000")</f>
        <v>1971000000000</v>
      </c>
      <c r="G22" s="4" t="str">
        <f>HYPERLINK("http://141.218.60.56/~jnz1568/getInfo.php?workbook=11_02.xlsx&amp;sheet=A0&amp;row=22&amp;col=7&amp;number=0&amp;sourceID=14","0")</f>
        <v>0</v>
      </c>
    </row>
    <row r="23" spans="1:7">
      <c r="A23" s="3">
        <v>11</v>
      </c>
      <c r="B23" s="3">
        <v>2</v>
      </c>
      <c r="C23" s="3">
        <v>32</v>
      </c>
      <c r="D23" s="3">
        <v>1</v>
      </c>
      <c r="E23" s="3">
        <v>8.795</v>
      </c>
      <c r="F23" s="4" t="str">
        <f>HYPERLINK("http://141.218.60.56/~jnz1568/getInfo.php?workbook=11_02.xlsx&amp;sheet=A0&amp;row=23&amp;col=6&amp;number=19940&amp;sourceID=14","19940")</f>
        <v>19940</v>
      </c>
      <c r="G23" s="4" t="str">
        <f>HYPERLINK("http://141.218.60.56/~jnz1568/getInfo.php?workbook=11_02.xlsx&amp;sheet=A0&amp;row=23&amp;col=7&amp;number=0&amp;sourceID=14","0")</f>
        <v>0</v>
      </c>
    </row>
    <row r="24" spans="1:7">
      <c r="A24" s="3">
        <v>11</v>
      </c>
      <c r="B24" s="3">
        <v>2</v>
      </c>
      <c r="C24" s="3">
        <v>34</v>
      </c>
      <c r="D24" s="3">
        <v>1</v>
      </c>
      <c r="E24" s="3">
        <v>8.791</v>
      </c>
      <c r="F24" s="4" t="str">
        <f>HYPERLINK("http://141.218.60.56/~jnz1568/getInfo.php?workbook=11_02.xlsx&amp;sheet=A0&amp;row=24&amp;col=6&amp;number=1283000000&amp;sourceID=14","1283000000")</f>
        <v>1283000000</v>
      </c>
      <c r="G24" s="4" t="str">
        <f>HYPERLINK("http://141.218.60.56/~jnz1568/getInfo.php?workbook=11_02.xlsx&amp;sheet=A0&amp;row=24&amp;col=7&amp;number=0&amp;sourceID=14","0")</f>
        <v>0</v>
      </c>
    </row>
    <row r="25" spans="1:7">
      <c r="A25" s="3">
        <v>11</v>
      </c>
      <c r="B25" s="3">
        <v>2</v>
      </c>
      <c r="C25" s="3">
        <v>35</v>
      </c>
      <c r="D25" s="3">
        <v>1</v>
      </c>
      <c r="E25" s="3">
        <v>8.791</v>
      </c>
      <c r="F25" s="4" t="str">
        <f>HYPERLINK("http://141.218.60.56/~jnz1568/getInfo.php?workbook=11_02.xlsx&amp;sheet=A0&amp;row=25&amp;col=6&amp;number=585600&amp;sourceID=14","585600")</f>
        <v>585600</v>
      </c>
      <c r="G25" s="4" t="str">
        <f>HYPERLINK("http://141.218.60.56/~jnz1568/getInfo.php?workbook=11_02.xlsx&amp;sheet=A0&amp;row=25&amp;col=7&amp;number=0&amp;sourceID=14","0")</f>
        <v>0</v>
      </c>
    </row>
    <row r="26" spans="1:7">
      <c r="A26" s="3">
        <v>11</v>
      </c>
      <c r="B26" s="3">
        <v>2</v>
      </c>
      <c r="C26" s="3">
        <v>37</v>
      </c>
      <c r="D26" s="3">
        <v>1</v>
      </c>
      <c r="E26" s="3">
        <v>8.789</v>
      </c>
      <c r="F26" s="4" t="str">
        <f>HYPERLINK("http://141.218.60.56/~jnz1568/getInfo.php?workbook=11_02.xlsx&amp;sheet=A0&amp;row=26&amp;col=6&amp;number=1530&amp;sourceID=14","1530")</f>
        <v>1530</v>
      </c>
      <c r="G26" s="4" t="str">
        <f>HYPERLINK("http://141.218.60.56/~jnz1568/getInfo.php?workbook=11_02.xlsx&amp;sheet=A0&amp;row=26&amp;col=7&amp;number=0&amp;sourceID=14","0")</f>
        <v>0</v>
      </c>
    </row>
    <row r="27" spans="1:7">
      <c r="A27" s="3">
        <v>11</v>
      </c>
      <c r="B27" s="3">
        <v>2</v>
      </c>
      <c r="C27" s="3">
        <v>38</v>
      </c>
      <c r="D27" s="3">
        <v>1</v>
      </c>
      <c r="E27" s="3">
        <v>8.789</v>
      </c>
      <c r="F27" s="4" t="str">
        <f>HYPERLINK("http://141.218.60.56/~jnz1568/getInfo.php?workbook=11_02.xlsx&amp;sheet=A0&amp;row=27&amp;col=6&amp;number=29430000&amp;sourceID=14","29430000")</f>
        <v>29430000</v>
      </c>
      <c r="G27" s="4" t="str">
        <f>HYPERLINK("http://141.218.60.56/~jnz1568/getInfo.php?workbook=11_02.xlsx&amp;sheet=A0&amp;row=27&amp;col=7&amp;number=0&amp;sourceID=14","0")</f>
        <v>0</v>
      </c>
    </row>
    <row r="28" spans="1:7">
      <c r="A28" s="3">
        <v>11</v>
      </c>
      <c r="B28" s="3">
        <v>2</v>
      </c>
      <c r="C28" s="3">
        <v>40</v>
      </c>
      <c r="D28" s="3">
        <v>1</v>
      </c>
      <c r="E28" s="3">
        <v>8.789</v>
      </c>
      <c r="F28" s="4" t="str">
        <f>HYPERLINK("http://141.218.60.56/~jnz1568/getInfo.php?workbook=11_02.xlsx&amp;sheet=A0&amp;row=28&amp;col=6&amp;number=50.86&amp;sourceID=14","50.86")</f>
        <v>50.86</v>
      </c>
      <c r="G28" s="4" t="str">
        <f>HYPERLINK("http://141.218.60.56/~jnz1568/getInfo.php?workbook=11_02.xlsx&amp;sheet=A0&amp;row=28&amp;col=7&amp;number=0&amp;sourceID=14","0")</f>
        <v>0</v>
      </c>
    </row>
    <row r="29" spans="1:7">
      <c r="A29" s="3">
        <v>11</v>
      </c>
      <c r="B29" s="3">
        <v>2</v>
      </c>
      <c r="C29" s="3">
        <v>46</v>
      </c>
      <c r="D29" s="3">
        <v>1</v>
      </c>
      <c r="E29" s="3">
        <v>8.789</v>
      </c>
      <c r="F29" s="4" t="str">
        <f>HYPERLINK("http://141.218.60.56/~jnz1568/getInfo.php?workbook=11_02.xlsx&amp;sheet=A0&amp;row=29&amp;col=6&amp;number=902000000&amp;sourceID=14","902000000")</f>
        <v>902000000</v>
      </c>
      <c r="G29" s="4" t="str">
        <f>HYPERLINK("http://141.218.60.56/~jnz1568/getInfo.php?workbook=11_02.xlsx&amp;sheet=A0&amp;row=29&amp;col=7&amp;number=0&amp;sourceID=14","0")</f>
        <v>0</v>
      </c>
    </row>
    <row r="30" spans="1:7">
      <c r="A30" s="3">
        <v>11</v>
      </c>
      <c r="B30" s="3">
        <v>2</v>
      </c>
      <c r="C30" s="3">
        <v>49</v>
      </c>
      <c r="D30" s="3">
        <v>1</v>
      </c>
      <c r="E30" s="3">
        <v>8.788</v>
      </c>
      <c r="F30" s="4" t="str">
        <f>HYPERLINK("http://141.218.60.56/~jnz1568/getInfo.php?workbook=11_02.xlsx&amp;sheet=A0&amp;row=30&amp;col=6&amp;number=1222000000000&amp;sourceID=14","1222000000000")</f>
        <v>1222000000000</v>
      </c>
      <c r="G30" s="4" t="str">
        <f>HYPERLINK("http://141.218.60.56/~jnz1568/getInfo.php?workbook=11_02.xlsx&amp;sheet=A0&amp;row=30&amp;col=7&amp;number=0&amp;sourceID=14","0")</f>
        <v>0</v>
      </c>
    </row>
    <row r="31" spans="1:7">
      <c r="A31" s="3">
        <v>11</v>
      </c>
      <c r="B31" s="3">
        <v>2</v>
      </c>
      <c r="C31" s="3">
        <v>3</v>
      </c>
      <c r="D31" s="3">
        <v>2</v>
      </c>
      <c r="E31" s="3">
        <v>1149.322</v>
      </c>
      <c r="F31" s="4" t="str">
        <f>HYPERLINK("http://141.218.60.56/~jnz1568/getInfo.php?workbook=11_02.xlsx&amp;sheet=A0&amp;row=31&amp;col=6&amp;number=118700000&amp;sourceID=14","118700000")</f>
        <v>118700000</v>
      </c>
      <c r="G31" s="4" t="str">
        <f>HYPERLINK("http://141.218.60.56/~jnz1568/getInfo.php?workbook=11_02.xlsx&amp;sheet=A0&amp;row=31&amp;col=7&amp;number=0&amp;sourceID=14","0")</f>
        <v>0</v>
      </c>
    </row>
    <row r="32" spans="1:7">
      <c r="A32" s="3">
        <v>11</v>
      </c>
      <c r="B32" s="3">
        <v>2</v>
      </c>
      <c r="C32" s="3">
        <v>4</v>
      </c>
      <c r="D32" s="3">
        <v>2</v>
      </c>
      <c r="E32" s="3">
        <v>1142.467</v>
      </c>
      <c r="F32" s="4" t="str">
        <f>HYPERLINK("http://141.218.60.56/~jnz1568/getInfo.php?workbook=11_02.xlsx&amp;sheet=A0&amp;row=32&amp;col=6&amp;number=120700000&amp;sourceID=14","120700000")</f>
        <v>120700000</v>
      </c>
      <c r="G32" s="4" t="str">
        <f>HYPERLINK("http://141.218.60.56/~jnz1568/getInfo.php?workbook=11_02.xlsx&amp;sheet=A0&amp;row=32&amp;col=7&amp;number=0&amp;sourceID=14","0")</f>
        <v>0</v>
      </c>
    </row>
    <row r="33" spans="1:7">
      <c r="A33" s="3">
        <v>11</v>
      </c>
      <c r="B33" s="3">
        <v>2</v>
      </c>
      <c r="C33" s="3">
        <v>5</v>
      </c>
      <c r="D33" s="3">
        <v>2</v>
      </c>
      <c r="E33" s="3">
        <v>1111.772</v>
      </c>
      <c r="F33" s="4" t="str">
        <f>HYPERLINK("http://141.218.60.56/~jnz1568/getInfo.php?workbook=11_02.xlsx&amp;sheet=A0&amp;row=33&amp;col=6&amp;number=131200000&amp;sourceID=14","131200000")</f>
        <v>131200000</v>
      </c>
      <c r="G33" s="4" t="str">
        <f>HYPERLINK("http://141.218.60.56/~jnz1568/getInfo.php?workbook=11_02.xlsx&amp;sheet=A0&amp;row=33&amp;col=7&amp;number=0&amp;sourceID=14","0")</f>
        <v>0</v>
      </c>
    </row>
    <row r="34" spans="1:7">
      <c r="A34" s="3">
        <v>11</v>
      </c>
      <c r="B34" s="3">
        <v>2</v>
      </c>
      <c r="C34" s="3">
        <v>7</v>
      </c>
      <c r="D34" s="3">
        <v>2</v>
      </c>
      <c r="E34" s="3">
        <v>652.049</v>
      </c>
      <c r="F34" s="4" t="str">
        <f>HYPERLINK("http://141.218.60.56/~jnz1568/getInfo.php?workbook=11_02.xlsx&amp;sheet=A0&amp;row=34&amp;col=6&amp;number=664200&amp;sourceID=14","664200")</f>
        <v>664200</v>
      </c>
      <c r="G34" s="4" t="str">
        <f>HYPERLINK("http://141.218.60.56/~jnz1568/getInfo.php?workbook=11_02.xlsx&amp;sheet=A0&amp;row=34&amp;col=7&amp;number=0&amp;sourceID=14","0")</f>
        <v>0</v>
      </c>
    </row>
    <row r="35" spans="1:7">
      <c r="A35" s="3">
        <v>11</v>
      </c>
      <c r="B35" s="3">
        <v>2</v>
      </c>
      <c r="C35" s="3">
        <v>8</v>
      </c>
      <c r="D35" s="3">
        <v>2</v>
      </c>
      <c r="E35" s="3">
        <v>61.591</v>
      </c>
      <c r="F35" s="4" t="str">
        <f>HYPERLINK("http://141.218.60.56/~jnz1568/getInfo.php?workbook=11_02.xlsx&amp;sheet=A0&amp;row=35&amp;col=6&amp;number=19.12&amp;sourceID=14","19.12")</f>
        <v>19.12</v>
      </c>
      <c r="G35" s="4" t="str">
        <f>HYPERLINK("http://141.218.60.56/~jnz1568/getInfo.php?workbook=11_02.xlsx&amp;sheet=A0&amp;row=35&amp;col=7&amp;number=0&amp;sourceID=14","0")</f>
        <v>0</v>
      </c>
    </row>
    <row r="36" spans="1:7">
      <c r="A36" s="3">
        <v>11</v>
      </c>
      <c r="B36" s="3">
        <v>2</v>
      </c>
      <c r="C36" s="3">
        <v>9</v>
      </c>
      <c r="D36" s="3">
        <v>2</v>
      </c>
      <c r="E36" s="3">
        <v>60.7</v>
      </c>
      <c r="F36" s="4" t="str">
        <f>HYPERLINK("http://141.218.60.56/~jnz1568/getInfo.php?workbook=11_02.xlsx&amp;sheet=A0&amp;row=36&amp;col=6&amp;number=220400000000&amp;sourceID=14","220400000000")</f>
        <v>220400000000</v>
      </c>
      <c r="G36" s="4" t="str">
        <f>HYPERLINK("http://141.218.60.56/~jnz1568/getInfo.php?workbook=11_02.xlsx&amp;sheet=A0&amp;row=36&amp;col=7&amp;number=0&amp;sourceID=14","0")</f>
        <v>0</v>
      </c>
    </row>
    <row r="37" spans="1:7">
      <c r="A37" s="3">
        <v>11</v>
      </c>
      <c r="B37" s="3">
        <v>2</v>
      </c>
      <c r="C37" s="3">
        <v>10</v>
      </c>
      <c r="D37" s="3">
        <v>2</v>
      </c>
      <c r="E37" s="3">
        <v>60.694</v>
      </c>
      <c r="F37" s="4" t="str">
        <f>HYPERLINK("http://141.218.60.56/~jnz1568/getInfo.php?workbook=11_02.xlsx&amp;sheet=A0&amp;row=37&amp;col=6&amp;number=219900000000&amp;sourceID=14","219900000000")</f>
        <v>219900000000</v>
      </c>
      <c r="G37" s="4" t="str">
        <f>HYPERLINK("http://141.218.60.56/~jnz1568/getInfo.php?workbook=11_02.xlsx&amp;sheet=A0&amp;row=37&amp;col=7&amp;number=0&amp;sourceID=14","0")</f>
        <v>0</v>
      </c>
    </row>
    <row r="38" spans="1:7">
      <c r="A38" s="3">
        <v>11</v>
      </c>
      <c r="B38" s="3">
        <v>2</v>
      </c>
      <c r="C38" s="3">
        <v>11</v>
      </c>
      <c r="D38" s="3">
        <v>2</v>
      </c>
      <c r="E38" s="3">
        <v>60.668</v>
      </c>
      <c r="F38" s="4" t="str">
        <f>HYPERLINK("http://141.218.60.56/~jnz1568/getInfo.php?workbook=11_02.xlsx&amp;sheet=A0&amp;row=38&amp;col=6&amp;number=219300000000&amp;sourceID=14","219300000000")</f>
        <v>219300000000</v>
      </c>
      <c r="G38" s="4" t="str">
        <f>HYPERLINK("http://141.218.60.56/~jnz1568/getInfo.php?workbook=11_02.xlsx&amp;sheet=A0&amp;row=38&amp;col=7&amp;number=0&amp;sourceID=14","0")</f>
        <v>0</v>
      </c>
    </row>
    <row r="39" spans="1:7">
      <c r="A39" s="3">
        <v>11</v>
      </c>
      <c r="B39" s="3">
        <v>2</v>
      </c>
      <c r="C39" s="3">
        <v>12</v>
      </c>
      <c r="D39" s="3">
        <v>2</v>
      </c>
      <c r="E39" s="3">
        <v>60.676</v>
      </c>
      <c r="F39" s="4" t="str">
        <f>HYPERLINK("http://141.218.60.56/~jnz1568/getInfo.php?workbook=11_02.xlsx&amp;sheet=A0&amp;row=39&amp;col=6&amp;number=17.42&amp;sourceID=14","17.42")</f>
        <v>17.42</v>
      </c>
      <c r="G39" s="4" t="str">
        <f>HYPERLINK("http://141.218.60.56/~jnz1568/getInfo.php?workbook=11_02.xlsx&amp;sheet=A0&amp;row=39&amp;col=7&amp;number=0&amp;sourceID=14","0")</f>
        <v>0</v>
      </c>
    </row>
    <row r="40" spans="1:7">
      <c r="A40" s="3">
        <v>11</v>
      </c>
      <c r="B40" s="3">
        <v>2</v>
      </c>
      <c r="C40" s="3">
        <v>13</v>
      </c>
      <c r="D40" s="3">
        <v>2</v>
      </c>
      <c r="E40" s="3">
        <v>60.194</v>
      </c>
      <c r="F40" s="4" t="str">
        <f>HYPERLINK("http://141.218.60.56/~jnz1568/getInfo.php?workbook=11_02.xlsx&amp;sheet=A0&amp;row=40&amp;col=6&amp;number=64600000&amp;sourceID=14","64600000")</f>
        <v>64600000</v>
      </c>
      <c r="G40" s="4" t="str">
        <f>HYPERLINK("http://141.218.60.56/~jnz1568/getInfo.php?workbook=11_02.xlsx&amp;sheet=A0&amp;row=40&amp;col=7&amp;number=0&amp;sourceID=14","0")</f>
        <v>0</v>
      </c>
    </row>
    <row r="41" spans="1:7">
      <c r="A41" s="3">
        <v>11</v>
      </c>
      <c r="B41" s="3">
        <v>2</v>
      </c>
      <c r="C41" s="3">
        <v>14</v>
      </c>
      <c r="D41" s="3">
        <v>2</v>
      </c>
      <c r="E41" s="3">
        <v>60.193</v>
      </c>
      <c r="F41" s="4" t="str">
        <f>HYPERLINK("http://141.218.60.56/~jnz1568/getInfo.php?workbook=11_02.xlsx&amp;sheet=A0&amp;row=41&amp;col=6&amp;number=61040000&amp;sourceID=14","61040000")</f>
        <v>61040000</v>
      </c>
      <c r="G41" s="4" t="str">
        <f>HYPERLINK("http://141.218.60.56/~jnz1568/getInfo.php?workbook=11_02.xlsx&amp;sheet=A0&amp;row=41&amp;col=7&amp;number=0&amp;sourceID=14","0")</f>
        <v>0</v>
      </c>
    </row>
    <row r="42" spans="1:7">
      <c r="A42" s="3">
        <v>11</v>
      </c>
      <c r="B42" s="3">
        <v>2</v>
      </c>
      <c r="C42" s="3">
        <v>15</v>
      </c>
      <c r="D42" s="3">
        <v>2</v>
      </c>
      <c r="E42" s="3">
        <v>60.184</v>
      </c>
      <c r="F42" s="4" t="str">
        <f>HYPERLINK("http://141.218.60.56/~jnz1568/getInfo.php?workbook=11_02.xlsx&amp;sheet=A0&amp;row=42&amp;col=6&amp;number=64640000&amp;sourceID=14","64640000")</f>
        <v>64640000</v>
      </c>
      <c r="G42" s="4" t="str">
        <f>HYPERLINK("http://141.218.60.56/~jnz1568/getInfo.php?workbook=11_02.xlsx&amp;sheet=A0&amp;row=42&amp;col=7&amp;number=0&amp;sourceID=14","0")</f>
        <v>0</v>
      </c>
    </row>
    <row r="43" spans="1:7">
      <c r="A43" s="3">
        <v>11</v>
      </c>
      <c r="B43" s="3">
        <v>2</v>
      </c>
      <c r="C43" s="3">
        <v>16</v>
      </c>
      <c r="D43" s="3">
        <v>2</v>
      </c>
      <c r="E43" s="3">
        <v>60.164</v>
      </c>
      <c r="F43" s="4" t="str">
        <f>HYPERLINK("http://141.218.60.56/~jnz1568/getInfo.php?workbook=11_02.xlsx&amp;sheet=A0&amp;row=43&amp;col=6&amp;number=3577000&amp;sourceID=14","3577000")</f>
        <v>3577000</v>
      </c>
      <c r="G43" s="4" t="str">
        <f>HYPERLINK("http://141.218.60.56/~jnz1568/getInfo.php?workbook=11_02.xlsx&amp;sheet=A0&amp;row=43&amp;col=7&amp;number=0&amp;sourceID=14","0")</f>
        <v>0</v>
      </c>
    </row>
    <row r="44" spans="1:7">
      <c r="A44" s="3">
        <v>11</v>
      </c>
      <c r="B44" s="3">
        <v>2</v>
      </c>
      <c r="C44" s="3">
        <v>17</v>
      </c>
      <c r="D44" s="3">
        <v>2</v>
      </c>
      <c r="E44" s="3">
        <v>60.033</v>
      </c>
      <c r="F44" s="4" t="str">
        <f>HYPERLINK("http://141.218.60.56/~jnz1568/getInfo.php?workbook=11_02.xlsx&amp;sheet=A0&amp;row=44&amp;col=6&amp;number=214400000&amp;sourceID=14","214400000")</f>
        <v>214400000</v>
      </c>
      <c r="G44" s="4" t="str">
        <f>HYPERLINK("http://141.218.60.56/~jnz1568/getInfo.php?workbook=11_02.xlsx&amp;sheet=A0&amp;row=44&amp;col=7&amp;number=0&amp;sourceID=14","0")</f>
        <v>0</v>
      </c>
    </row>
    <row r="45" spans="1:7">
      <c r="A45" s="3">
        <v>11</v>
      </c>
      <c r="B45" s="3">
        <v>2</v>
      </c>
      <c r="C45" s="3">
        <v>18</v>
      </c>
      <c r="D45" s="3">
        <v>2</v>
      </c>
      <c r="E45" s="3">
        <v>45.877</v>
      </c>
      <c r="F45" s="4" t="str">
        <f>HYPERLINK("http://141.218.60.56/~jnz1568/getInfo.php?workbook=11_02.xlsx&amp;sheet=A0&amp;row=45&amp;col=6&amp;number=13.01&amp;sourceID=14","13.01")</f>
        <v>13.01</v>
      </c>
      <c r="G45" s="4" t="str">
        <f>HYPERLINK("http://141.218.60.56/~jnz1568/getInfo.php?workbook=11_02.xlsx&amp;sheet=A0&amp;row=45&amp;col=7&amp;number=0&amp;sourceID=14","0")</f>
        <v>0</v>
      </c>
    </row>
    <row r="46" spans="1:7">
      <c r="A46" s="3">
        <v>11</v>
      </c>
      <c r="B46" s="3">
        <v>2</v>
      </c>
      <c r="C46" s="3">
        <v>19</v>
      </c>
      <c r="D46" s="3">
        <v>2</v>
      </c>
      <c r="E46" s="3">
        <v>45.672</v>
      </c>
      <c r="F46" s="4" t="str">
        <f>HYPERLINK("http://141.218.60.56/~jnz1568/getInfo.php?workbook=11_02.xlsx&amp;sheet=A0&amp;row=46&amp;col=6&amp;number=95170000000&amp;sourceID=14","95170000000")</f>
        <v>95170000000</v>
      </c>
      <c r="G46" s="4" t="str">
        <f>HYPERLINK("http://141.218.60.56/~jnz1568/getInfo.php?workbook=11_02.xlsx&amp;sheet=A0&amp;row=46&amp;col=7&amp;number=0&amp;sourceID=14","0")</f>
        <v>0</v>
      </c>
    </row>
    <row r="47" spans="1:7">
      <c r="A47" s="3">
        <v>11</v>
      </c>
      <c r="B47" s="3">
        <v>2</v>
      </c>
      <c r="C47" s="3">
        <v>20</v>
      </c>
      <c r="D47" s="3">
        <v>2</v>
      </c>
      <c r="E47" s="3">
        <v>45.67</v>
      </c>
      <c r="F47" s="4" t="str">
        <f>HYPERLINK("http://141.218.60.56/~jnz1568/getInfo.php?workbook=11_02.xlsx&amp;sheet=A0&amp;row=47&amp;col=6&amp;number=94980000000&amp;sourceID=14","94980000000")</f>
        <v>94980000000</v>
      </c>
      <c r="G47" s="4" t="str">
        <f>HYPERLINK("http://141.218.60.56/~jnz1568/getInfo.php?workbook=11_02.xlsx&amp;sheet=A0&amp;row=47&amp;col=7&amp;number=0&amp;sourceID=14","0")</f>
        <v>0</v>
      </c>
    </row>
    <row r="48" spans="1:7">
      <c r="A48" s="3">
        <v>11</v>
      </c>
      <c r="B48" s="3">
        <v>2</v>
      </c>
      <c r="C48" s="3">
        <v>21</v>
      </c>
      <c r="D48" s="3">
        <v>2</v>
      </c>
      <c r="E48" s="3">
        <v>45.664</v>
      </c>
      <c r="F48" s="4" t="str">
        <f>HYPERLINK("http://141.218.60.56/~jnz1568/getInfo.php?workbook=11_02.xlsx&amp;sheet=A0&amp;row=48&amp;col=6&amp;number=94790000000&amp;sourceID=14","94790000000")</f>
        <v>94790000000</v>
      </c>
      <c r="G48" s="4" t="str">
        <f>HYPERLINK("http://141.218.60.56/~jnz1568/getInfo.php?workbook=11_02.xlsx&amp;sheet=A0&amp;row=48&amp;col=7&amp;number=0&amp;sourceID=14","0")</f>
        <v>0</v>
      </c>
    </row>
    <row r="49" spans="1:7">
      <c r="A49" s="3">
        <v>11</v>
      </c>
      <c r="B49" s="3">
        <v>2</v>
      </c>
      <c r="C49" s="3">
        <v>22</v>
      </c>
      <c r="D49" s="3">
        <v>2</v>
      </c>
      <c r="E49" s="3">
        <v>45.669</v>
      </c>
      <c r="F49" s="4" t="str">
        <f>HYPERLINK("http://141.218.60.56/~jnz1568/getInfo.php?workbook=11_02.xlsx&amp;sheet=A0&amp;row=49&amp;col=6&amp;number=17.87&amp;sourceID=14","17.87")</f>
        <v>17.87</v>
      </c>
      <c r="G49" s="4" t="str">
        <f>HYPERLINK("http://141.218.60.56/~jnz1568/getInfo.php?workbook=11_02.xlsx&amp;sheet=A0&amp;row=49&amp;col=7&amp;number=0&amp;sourceID=14","0")</f>
        <v>0</v>
      </c>
    </row>
    <row r="50" spans="1:7">
      <c r="A50" s="3">
        <v>11</v>
      </c>
      <c r="B50" s="3">
        <v>2</v>
      </c>
      <c r="C50" s="3">
        <v>23</v>
      </c>
      <c r="D50" s="3">
        <v>2</v>
      </c>
      <c r="E50" s="3">
        <v>45.552</v>
      </c>
      <c r="F50" s="4" t="str">
        <f>HYPERLINK("http://141.218.60.56/~jnz1568/getInfo.php?workbook=11_02.xlsx&amp;sheet=A0&amp;row=50&amp;col=6&amp;number=8668000&amp;sourceID=14","8668000")</f>
        <v>8668000</v>
      </c>
      <c r="G50" s="4" t="str">
        <f>HYPERLINK("http://141.218.60.56/~jnz1568/getInfo.php?workbook=11_02.xlsx&amp;sheet=A0&amp;row=50&amp;col=7&amp;number=0&amp;sourceID=14","0")</f>
        <v>0</v>
      </c>
    </row>
    <row r="51" spans="1:7">
      <c r="A51" s="3">
        <v>11</v>
      </c>
      <c r="B51" s="3">
        <v>2</v>
      </c>
      <c r="C51" s="3">
        <v>24</v>
      </c>
      <c r="D51" s="3">
        <v>2</v>
      </c>
      <c r="E51" s="3">
        <v>45.552</v>
      </c>
      <c r="F51" s="4" t="str">
        <f>HYPERLINK("http://141.218.60.56/~jnz1568/getInfo.php?workbook=11_02.xlsx&amp;sheet=A0&amp;row=51&amp;col=6&amp;number=8357000&amp;sourceID=14","8357000")</f>
        <v>8357000</v>
      </c>
      <c r="G51" s="4" t="str">
        <f>HYPERLINK("http://141.218.60.56/~jnz1568/getInfo.php?workbook=11_02.xlsx&amp;sheet=A0&amp;row=51&amp;col=7&amp;number=0&amp;sourceID=14","0")</f>
        <v>0</v>
      </c>
    </row>
    <row r="52" spans="1:7">
      <c r="A52" s="3">
        <v>11</v>
      </c>
      <c r="B52" s="3">
        <v>2</v>
      </c>
      <c r="C52" s="3">
        <v>25</v>
      </c>
      <c r="D52" s="3">
        <v>2</v>
      </c>
      <c r="E52" s="3">
        <v>45.552</v>
      </c>
      <c r="F52" s="4" t="str">
        <f>HYPERLINK("http://141.218.60.56/~jnz1568/getInfo.php?workbook=11_02.xlsx&amp;sheet=A0&amp;row=52&amp;col=6&amp;number=8695000&amp;sourceID=14","8695000")</f>
        <v>8695000</v>
      </c>
      <c r="G52" s="4" t="str">
        <f>HYPERLINK("http://141.218.60.56/~jnz1568/getInfo.php?workbook=11_02.xlsx&amp;sheet=A0&amp;row=52&amp;col=7&amp;number=0&amp;sourceID=14","0")</f>
        <v>0</v>
      </c>
    </row>
    <row r="53" spans="1:7">
      <c r="A53" s="3">
        <v>11</v>
      </c>
      <c r="B53" s="3">
        <v>2</v>
      </c>
      <c r="C53" s="3">
        <v>26</v>
      </c>
      <c r="D53" s="3">
        <v>2</v>
      </c>
      <c r="E53" s="3">
        <v>45.543</v>
      </c>
      <c r="F53" s="4" t="str">
        <f>HYPERLINK("http://141.218.60.56/~jnz1568/getInfo.php?workbook=11_02.xlsx&amp;sheet=A0&amp;row=53&amp;col=6&amp;number=101.3&amp;sourceID=14","101.3")</f>
        <v>101.3</v>
      </c>
      <c r="G53" s="4" t="str">
        <f>HYPERLINK("http://141.218.60.56/~jnz1568/getInfo.php?workbook=11_02.xlsx&amp;sheet=A0&amp;row=53&amp;col=7&amp;number=0&amp;sourceID=14","0")</f>
        <v>0</v>
      </c>
    </row>
    <row r="54" spans="1:7">
      <c r="A54" s="3">
        <v>11</v>
      </c>
      <c r="B54" s="3">
        <v>2</v>
      </c>
      <c r="C54" s="3">
        <v>30</v>
      </c>
      <c r="D54" s="3">
        <v>2</v>
      </c>
      <c r="E54" s="3">
        <v>45.544</v>
      </c>
      <c r="F54" s="4" t="str">
        <f>HYPERLINK("http://141.218.60.56/~jnz1568/getInfo.php?workbook=11_02.xlsx&amp;sheet=A0&amp;row=54&amp;col=6&amp;number=322900&amp;sourceID=14","322900")</f>
        <v>322900</v>
      </c>
      <c r="G54" s="4" t="str">
        <f>HYPERLINK("http://141.218.60.56/~jnz1568/getInfo.php?workbook=11_02.xlsx&amp;sheet=A0&amp;row=54&amp;col=7&amp;number=0&amp;sourceID=14","0")</f>
        <v>0</v>
      </c>
    </row>
    <row r="55" spans="1:7">
      <c r="A55" s="3">
        <v>11</v>
      </c>
      <c r="B55" s="3">
        <v>2</v>
      </c>
      <c r="C55" s="3">
        <v>31</v>
      </c>
      <c r="D55" s="3">
        <v>2</v>
      </c>
      <c r="E55" s="3">
        <v>45.516</v>
      </c>
      <c r="F55" s="4" t="str">
        <f>HYPERLINK("http://141.218.60.56/~jnz1568/getInfo.php?workbook=11_02.xlsx&amp;sheet=A0&amp;row=55&amp;col=6&amp;number=98560000&amp;sourceID=14","98560000")</f>
        <v>98560000</v>
      </c>
      <c r="G55" s="4" t="str">
        <f>HYPERLINK("http://141.218.60.56/~jnz1568/getInfo.php?workbook=11_02.xlsx&amp;sheet=A0&amp;row=55&amp;col=7&amp;number=0&amp;sourceID=14","0")</f>
        <v>0</v>
      </c>
    </row>
    <row r="56" spans="1:7">
      <c r="A56" s="3">
        <v>11</v>
      </c>
      <c r="B56" s="3">
        <v>2</v>
      </c>
      <c r="C56" s="3">
        <v>32</v>
      </c>
      <c r="D56" s="3">
        <v>2</v>
      </c>
      <c r="E56" s="3">
        <v>41.075</v>
      </c>
      <c r="F56" s="4" t="str">
        <f>HYPERLINK("http://141.218.60.56/~jnz1568/getInfo.php?workbook=11_02.xlsx&amp;sheet=A0&amp;row=56&amp;col=6&amp;number=22.18&amp;sourceID=14","22.18")</f>
        <v>22.18</v>
      </c>
      <c r="G56" s="4" t="str">
        <f>HYPERLINK("http://141.218.60.56/~jnz1568/getInfo.php?workbook=11_02.xlsx&amp;sheet=A0&amp;row=56&amp;col=7&amp;number=0&amp;sourceID=14","0")</f>
        <v>0</v>
      </c>
    </row>
    <row r="57" spans="1:7">
      <c r="A57" s="3">
        <v>11</v>
      </c>
      <c r="B57" s="3">
        <v>2</v>
      </c>
      <c r="C57" s="3">
        <v>33</v>
      </c>
      <c r="D57" s="3">
        <v>2</v>
      </c>
      <c r="E57" s="3">
        <v>40.992</v>
      </c>
      <c r="F57" s="4" t="str">
        <f>HYPERLINK("http://141.218.60.56/~jnz1568/getInfo.php?workbook=11_02.xlsx&amp;sheet=A0&amp;row=57&amp;col=6&amp;number=45830000000&amp;sourceID=14","45830000000")</f>
        <v>45830000000</v>
      </c>
      <c r="G57" s="4" t="str">
        <f>HYPERLINK("http://141.218.60.56/~jnz1568/getInfo.php?workbook=11_02.xlsx&amp;sheet=A0&amp;row=57&amp;col=7&amp;number=0&amp;sourceID=14","0")</f>
        <v>0</v>
      </c>
    </row>
    <row r="58" spans="1:7">
      <c r="A58" s="3">
        <v>11</v>
      </c>
      <c r="B58" s="3">
        <v>2</v>
      </c>
      <c r="C58" s="3">
        <v>34</v>
      </c>
      <c r="D58" s="3">
        <v>2</v>
      </c>
      <c r="E58" s="3">
        <v>40.991</v>
      </c>
      <c r="F58" s="4" t="str">
        <f>HYPERLINK("http://141.218.60.56/~jnz1568/getInfo.php?workbook=11_02.xlsx&amp;sheet=A0&amp;row=58&amp;col=6&amp;number=45750000000&amp;sourceID=14","45750000000")</f>
        <v>45750000000</v>
      </c>
      <c r="G58" s="4" t="str">
        <f>HYPERLINK("http://141.218.60.56/~jnz1568/getInfo.php?workbook=11_02.xlsx&amp;sheet=A0&amp;row=58&amp;col=7&amp;number=0&amp;sourceID=14","0")</f>
        <v>0</v>
      </c>
    </row>
    <row r="59" spans="1:7">
      <c r="A59" s="3">
        <v>11</v>
      </c>
      <c r="B59" s="3">
        <v>2</v>
      </c>
      <c r="C59" s="3">
        <v>35</v>
      </c>
      <c r="D59" s="3">
        <v>2</v>
      </c>
      <c r="E59" s="3">
        <v>40.989</v>
      </c>
      <c r="F59" s="4" t="str">
        <f>HYPERLINK("http://141.218.60.56/~jnz1568/getInfo.php?workbook=11_02.xlsx&amp;sheet=A0&amp;row=59&amp;col=6&amp;number=45630000000&amp;sourceID=14","45630000000")</f>
        <v>45630000000</v>
      </c>
      <c r="G59" s="4" t="str">
        <f>HYPERLINK("http://141.218.60.56/~jnz1568/getInfo.php?workbook=11_02.xlsx&amp;sheet=A0&amp;row=59&amp;col=7&amp;number=0&amp;sourceID=14","0")</f>
        <v>0</v>
      </c>
    </row>
    <row r="60" spans="1:7">
      <c r="A60" s="3">
        <v>11</v>
      </c>
      <c r="B60" s="3">
        <v>2</v>
      </c>
      <c r="C60" s="3">
        <v>36</v>
      </c>
      <c r="D60" s="3">
        <v>2</v>
      </c>
      <c r="E60" s="3">
        <v>40.992</v>
      </c>
      <c r="F60" s="4" t="str">
        <f>HYPERLINK("http://141.218.60.56/~jnz1568/getInfo.php?workbook=11_02.xlsx&amp;sheet=A0&amp;row=60&amp;col=6&amp;number=17.78&amp;sourceID=14","17.78")</f>
        <v>17.78</v>
      </c>
      <c r="G60" s="4" t="str">
        <f>HYPERLINK("http://141.218.60.56/~jnz1568/getInfo.php?workbook=11_02.xlsx&amp;sheet=A0&amp;row=60&amp;col=7&amp;number=0&amp;sourceID=14","0")</f>
        <v>0</v>
      </c>
    </row>
    <row r="61" spans="1:7">
      <c r="A61" s="3">
        <v>11</v>
      </c>
      <c r="B61" s="3">
        <v>2</v>
      </c>
      <c r="C61" s="3">
        <v>37</v>
      </c>
      <c r="D61" s="3">
        <v>2</v>
      </c>
      <c r="E61" s="3">
        <v>40.943</v>
      </c>
      <c r="F61" s="4" t="str">
        <f>HYPERLINK("http://141.218.60.56/~jnz1568/getInfo.php?workbook=11_02.xlsx&amp;sheet=A0&amp;row=61&amp;col=6&amp;number=1018000&amp;sourceID=14","1018000")</f>
        <v>1018000</v>
      </c>
      <c r="G61" s="4" t="str">
        <f>HYPERLINK("http://141.218.60.56/~jnz1568/getInfo.php?workbook=11_02.xlsx&amp;sheet=A0&amp;row=61&amp;col=7&amp;number=0&amp;sourceID=14","0")</f>
        <v>0</v>
      </c>
    </row>
    <row r="62" spans="1:7">
      <c r="A62" s="3">
        <v>11</v>
      </c>
      <c r="B62" s="3">
        <v>2</v>
      </c>
      <c r="C62" s="3">
        <v>38</v>
      </c>
      <c r="D62" s="3">
        <v>2</v>
      </c>
      <c r="E62" s="3">
        <v>40.943</v>
      </c>
      <c r="F62" s="4" t="str">
        <f>HYPERLINK("http://141.218.60.56/~jnz1568/getInfo.php?workbook=11_02.xlsx&amp;sheet=A0&amp;row=62&amp;col=6&amp;number=994400&amp;sourceID=14","994400")</f>
        <v>994400</v>
      </c>
      <c r="G62" s="4" t="str">
        <f>HYPERLINK("http://141.218.60.56/~jnz1568/getInfo.php?workbook=11_02.xlsx&amp;sheet=A0&amp;row=62&amp;col=7&amp;number=0&amp;sourceID=14","0")</f>
        <v>0</v>
      </c>
    </row>
    <row r="63" spans="1:7">
      <c r="A63" s="3">
        <v>11</v>
      </c>
      <c r="B63" s="3">
        <v>2</v>
      </c>
      <c r="C63" s="3">
        <v>39</v>
      </c>
      <c r="D63" s="3">
        <v>2</v>
      </c>
      <c r="E63" s="3">
        <v>40.943</v>
      </c>
      <c r="F63" s="4" t="str">
        <f>HYPERLINK("http://141.218.60.56/~jnz1568/getInfo.php?workbook=11_02.xlsx&amp;sheet=A0&amp;row=63&amp;col=6&amp;number=1028000&amp;sourceID=14","1028000")</f>
        <v>1028000</v>
      </c>
      <c r="G63" s="4" t="str">
        <f>HYPERLINK("http://141.218.60.56/~jnz1568/getInfo.php?workbook=11_02.xlsx&amp;sheet=A0&amp;row=63&amp;col=7&amp;number=0&amp;sourceID=14","0")</f>
        <v>0</v>
      </c>
    </row>
    <row r="64" spans="1:7">
      <c r="A64" s="3">
        <v>11</v>
      </c>
      <c r="B64" s="3">
        <v>2</v>
      </c>
      <c r="C64" s="3">
        <v>40</v>
      </c>
      <c r="D64" s="3">
        <v>2</v>
      </c>
      <c r="E64" s="3">
        <v>40.939</v>
      </c>
      <c r="F64" s="4" t="str">
        <f>HYPERLINK("http://141.218.60.56/~jnz1568/getInfo.php?workbook=11_02.xlsx&amp;sheet=A0&amp;row=64&amp;col=6&amp;number=378.5&amp;sourceID=14","378.5")</f>
        <v>378.5</v>
      </c>
      <c r="G64" s="4" t="str">
        <f>HYPERLINK("http://141.218.60.56/~jnz1568/getInfo.php?workbook=11_02.xlsx&amp;sheet=A0&amp;row=64&amp;col=7&amp;number=0&amp;sourceID=14","0")</f>
        <v>0</v>
      </c>
    </row>
    <row r="65" spans="1:7">
      <c r="A65" s="3">
        <v>11</v>
      </c>
      <c r="B65" s="3">
        <v>2</v>
      </c>
      <c r="C65" s="3">
        <v>46</v>
      </c>
      <c r="D65" s="3">
        <v>2</v>
      </c>
      <c r="E65" s="3">
        <v>40.939</v>
      </c>
      <c r="F65" s="4" t="str">
        <f>HYPERLINK("http://141.218.60.56/~jnz1568/getInfo.php?workbook=11_02.xlsx&amp;sheet=A0&amp;row=65&amp;col=6&amp;number=33300&amp;sourceID=14","33300")</f>
        <v>33300</v>
      </c>
      <c r="G65" s="4" t="str">
        <f>HYPERLINK("http://141.218.60.56/~jnz1568/getInfo.php?workbook=11_02.xlsx&amp;sheet=A0&amp;row=65&amp;col=7&amp;number=0&amp;sourceID=14","0")</f>
        <v>0</v>
      </c>
    </row>
    <row r="66" spans="1:7">
      <c r="A66" s="3">
        <v>11</v>
      </c>
      <c r="B66" s="3">
        <v>2</v>
      </c>
      <c r="C66" s="3">
        <v>49</v>
      </c>
      <c r="D66" s="3">
        <v>2</v>
      </c>
      <c r="E66" s="3">
        <v>40.928</v>
      </c>
      <c r="F66" s="4" t="str">
        <f>HYPERLINK("http://141.218.60.56/~jnz1568/getInfo.php?workbook=11_02.xlsx&amp;sheet=A0&amp;row=66&amp;col=6&amp;number=47700000&amp;sourceID=14","47700000")</f>
        <v>47700000</v>
      </c>
      <c r="G66" s="4" t="str">
        <f>HYPERLINK("http://141.218.60.56/~jnz1568/getInfo.php?workbook=11_02.xlsx&amp;sheet=A0&amp;row=66&amp;col=7&amp;number=0&amp;sourceID=14","0")</f>
        <v>0</v>
      </c>
    </row>
    <row r="67" spans="1:7">
      <c r="A67" s="3">
        <v>11</v>
      </c>
      <c r="B67" s="3">
        <v>2</v>
      </c>
      <c r="C67" s="3">
        <v>7</v>
      </c>
      <c r="D67" s="3">
        <v>3</v>
      </c>
      <c r="E67" s="3">
        <v>1507.048</v>
      </c>
      <c r="F67" s="4" t="str">
        <f>HYPERLINK("http://141.218.60.56/~jnz1568/getInfo.php?workbook=11_02.xlsx&amp;sheet=A0&amp;row=67&amp;col=6&amp;number=5.754&amp;sourceID=14","5.754")</f>
        <v>5.754</v>
      </c>
      <c r="G67" s="4" t="str">
        <f>HYPERLINK("http://141.218.60.56/~jnz1568/getInfo.php?workbook=11_02.xlsx&amp;sheet=A0&amp;row=67&amp;col=7&amp;number=0&amp;sourceID=14","0")</f>
        <v>0</v>
      </c>
    </row>
    <row r="68" spans="1:7">
      <c r="A68" s="3">
        <v>11</v>
      </c>
      <c r="B68" s="3">
        <v>2</v>
      </c>
      <c r="C68" s="3">
        <v>8</v>
      </c>
      <c r="D68" s="3">
        <v>3</v>
      </c>
      <c r="E68" s="3">
        <v>65.079</v>
      </c>
      <c r="F68" s="4" t="str">
        <f>HYPERLINK("http://141.218.60.56/~jnz1568/getInfo.php?workbook=11_02.xlsx&amp;sheet=A0&amp;row=68&amp;col=6&amp;number=9131000000&amp;sourceID=14","9131000000")</f>
        <v>9131000000</v>
      </c>
      <c r="G68" s="4" t="str">
        <f>HYPERLINK("http://141.218.60.56/~jnz1568/getInfo.php?workbook=11_02.xlsx&amp;sheet=A0&amp;row=68&amp;col=7&amp;number=0&amp;sourceID=14","0")</f>
        <v>0</v>
      </c>
    </row>
    <row r="69" spans="1:7">
      <c r="A69" s="3">
        <v>11</v>
      </c>
      <c r="B69" s="3">
        <v>2</v>
      </c>
      <c r="C69" s="3">
        <v>10</v>
      </c>
      <c r="D69" s="3">
        <v>3</v>
      </c>
      <c r="E69" s="3">
        <v>64.078</v>
      </c>
      <c r="F69" s="4" t="str">
        <f>HYPERLINK("http://141.218.60.56/~jnz1568/getInfo.php?workbook=11_02.xlsx&amp;sheet=A0&amp;row=69&amp;col=6&amp;number=4.385&amp;sourceID=14","4.385")</f>
        <v>4.385</v>
      </c>
      <c r="G69" s="4" t="str">
        <f>HYPERLINK("http://141.218.60.56/~jnz1568/getInfo.php?workbook=11_02.xlsx&amp;sheet=A0&amp;row=69&amp;col=7&amp;number=0&amp;sourceID=14","0")</f>
        <v>0</v>
      </c>
    </row>
    <row r="70" spans="1:7">
      <c r="A70" s="3">
        <v>11</v>
      </c>
      <c r="B70" s="3">
        <v>2</v>
      </c>
      <c r="C70" s="3">
        <v>11</v>
      </c>
      <c r="D70" s="3">
        <v>3</v>
      </c>
      <c r="E70" s="3">
        <v>64.049</v>
      </c>
      <c r="F70" s="4" t="str">
        <f>HYPERLINK("http://141.218.60.56/~jnz1568/getInfo.php?workbook=11_02.xlsx&amp;sheet=A0&amp;row=70&amp;col=6&amp;number=4953000&amp;sourceID=14","4953000")</f>
        <v>4953000</v>
      </c>
      <c r="G70" s="4" t="str">
        <f>HYPERLINK("http://141.218.60.56/~jnz1568/getInfo.php?workbook=11_02.xlsx&amp;sheet=A0&amp;row=70&amp;col=7&amp;number=0&amp;sourceID=14","0")</f>
        <v>0</v>
      </c>
    </row>
    <row r="71" spans="1:7">
      <c r="A71" s="3">
        <v>11</v>
      </c>
      <c r="B71" s="3">
        <v>2</v>
      </c>
      <c r="C71" s="3">
        <v>13</v>
      </c>
      <c r="D71" s="3">
        <v>3</v>
      </c>
      <c r="E71" s="3">
        <v>63.52</v>
      </c>
      <c r="F71" s="4" t="str">
        <f>HYPERLINK("http://141.218.60.56/~jnz1568/getInfo.php?workbook=11_02.xlsx&amp;sheet=A0&amp;row=71&amp;col=6&amp;number=370100000000&amp;sourceID=14","370100000000")</f>
        <v>370100000000</v>
      </c>
      <c r="G71" s="4" t="str">
        <f>HYPERLINK("http://141.218.60.56/~jnz1568/getInfo.php?workbook=11_02.xlsx&amp;sheet=A0&amp;row=71&amp;col=7&amp;number=0&amp;sourceID=14","0")</f>
        <v>0</v>
      </c>
    </row>
    <row r="72" spans="1:7">
      <c r="A72" s="3">
        <v>11</v>
      </c>
      <c r="B72" s="3">
        <v>2</v>
      </c>
      <c r="C72" s="3">
        <v>14</v>
      </c>
      <c r="D72" s="3">
        <v>3</v>
      </c>
      <c r="E72" s="3">
        <v>63.52</v>
      </c>
      <c r="F72" s="4" t="str">
        <f>HYPERLINK("http://141.218.60.56/~jnz1568/getInfo.php?workbook=11_02.xlsx&amp;sheet=A0&amp;row=72&amp;col=6&amp;number=63.52&amp;sourceID=14","63.52")</f>
        <v>63.52</v>
      </c>
      <c r="G72" s="4" t="str">
        <f>HYPERLINK("http://141.218.60.56/~jnz1568/getInfo.php?workbook=11_02.xlsx&amp;sheet=A0&amp;row=72&amp;col=7&amp;number=0&amp;sourceID=14","0")</f>
        <v>0</v>
      </c>
    </row>
    <row r="73" spans="1:7">
      <c r="A73" s="3">
        <v>11</v>
      </c>
      <c r="B73" s="3">
        <v>2</v>
      </c>
      <c r="C73" s="3">
        <v>16</v>
      </c>
      <c r="D73" s="3">
        <v>3</v>
      </c>
      <c r="E73" s="3">
        <v>63.487</v>
      </c>
      <c r="F73" s="4" t="str">
        <f>HYPERLINK("http://141.218.60.56/~jnz1568/getInfo.php?workbook=11_02.xlsx&amp;sheet=A0&amp;row=73&amp;col=6&amp;number=2770&amp;sourceID=14","2770")</f>
        <v>2770</v>
      </c>
      <c r="G73" s="4" t="str">
        <f>HYPERLINK("http://141.218.60.56/~jnz1568/getInfo.php?workbook=11_02.xlsx&amp;sheet=A0&amp;row=73&amp;col=7&amp;number=0&amp;sourceID=14","0")</f>
        <v>0</v>
      </c>
    </row>
    <row r="74" spans="1:7">
      <c r="A74" s="3">
        <v>11</v>
      </c>
      <c r="B74" s="3">
        <v>2</v>
      </c>
      <c r="C74" s="3">
        <v>17</v>
      </c>
      <c r="D74" s="3">
        <v>3</v>
      </c>
      <c r="E74" s="3">
        <v>63.342</v>
      </c>
      <c r="F74" s="4" t="str">
        <f>HYPERLINK("http://141.218.60.56/~jnz1568/getInfo.php?workbook=11_02.xlsx&amp;sheet=A0&amp;row=74&amp;col=6&amp;number=20.72&amp;sourceID=14","20.72")</f>
        <v>20.72</v>
      </c>
      <c r="G74" s="4" t="str">
        <f>HYPERLINK("http://141.218.60.56/~jnz1568/getInfo.php?workbook=11_02.xlsx&amp;sheet=A0&amp;row=74&amp;col=7&amp;number=0&amp;sourceID=14","0")</f>
        <v>0</v>
      </c>
    </row>
    <row r="75" spans="1:7">
      <c r="A75" s="3">
        <v>11</v>
      </c>
      <c r="B75" s="3">
        <v>2</v>
      </c>
      <c r="C75" s="3">
        <v>18</v>
      </c>
      <c r="D75" s="3">
        <v>3</v>
      </c>
      <c r="E75" s="3">
        <v>47.785</v>
      </c>
      <c r="F75" s="4" t="str">
        <f>HYPERLINK("http://141.218.60.56/~jnz1568/getInfo.php?workbook=11_02.xlsx&amp;sheet=A0&amp;row=75&amp;col=6&amp;number=3364000000&amp;sourceID=14","3364000000")</f>
        <v>3364000000</v>
      </c>
      <c r="G75" s="4" t="str">
        <f>HYPERLINK("http://141.218.60.56/~jnz1568/getInfo.php?workbook=11_02.xlsx&amp;sheet=A0&amp;row=75&amp;col=7&amp;number=0&amp;sourceID=14","0")</f>
        <v>0</v>
      </c>
    </row>
    <row r="76" spans="1:7">
      <c r="A76" s="3">
        <v>11</v>
      </c>
      <c r="B76" s="3">
        <v>2</v>
      </c>
      <c r="C76" s="3">
        <v>20</v>
      </c>
      <c r="D76" s="3">
        <v>3</v>
      </c>
      <c r="E76" s="3">
        <v>47.56</v>
      </c>
      <c r="F76" s="4" t="str">
        <f>HYPERLINK("http://141.218.60.56/~jnz1568/getInfo.php?workbook=11_02.xlsx&amp;sheet=A0&amp;row=76&amp;col=6&amp;number=2.73&amp;sourceID=14","2.73")</f>
        <v>2.73</v>
      </c>
      <c r="G76" s="4" t="str">
        <f>HYPERLINK("http://141.218.60.56/~jnz1568/getInfo.php?workbook=11_02.xlsx&amp;sheet=A0&amp;row=76&amp;col=7&amp;number=0&amp;sourceID=14","0")</f>
        <v>0</v>
      </c>
    </row>
    <row r="77" spans="1:7">
      <c r="A77" s="3">
        <v>11</v>
      </c>
      <c r="B77" s="3">
        <v>2</v>
      </c>
      <c r="C77" s="3">
        <v>21</v>
      </c>
      <c r="D77" s="3">
        <v>3</v>
      </c>
      <c r="E77" s="3">
        <v>47.553</v>
      </c>
      <c r="F77" s="4" t="str">
        <f>HYPERLINK("http://141.218.60.56/~jnz1568/getInfo.php?workbook=11_02.xlsx&amp;sheet=A0&amp;row=77&amp;col=6&amp;number=1968000&amp;sourceID=14","1968000")</f>
        <v>1968000</v>
      </c>
      <c r="G77" s="4" t="str">
        <f>HYPERLINK("http://141.218.60.56/~jnz1568/getInfo.php?workbook=11_02.xlsx&amp;sheet=A0&amp;row=77&amp;col=7&amp;number=0&amp;sourceID=14","0")</f>
        <v>0</v>
      </c>
    </row>
    <row r="78" spans="1:7">
      <c r="A78" s="3">
        <v>11</v>
      </c>
      <c r="B78" s="3">
        <v>2</v>
      </c>
      <c r="C78" s="3">
        <v>23</v>
      </c>
      <c r="D78" s="3">
        <v>3</v>
      </c>
      <c r="E78" s="3">
        <v>47.432</v>
      </c>
      <c r="F78" s="4" t="str">
        <f>HYPERLINK("http://141.218.60.56/~jnz1568/getInfo.php?workbook=11_02.xlsx&amp;sheet=A0&amp;row=78&amp;col=6&amp;number=120500000000&amp;sourceID=14","120500000000")</f>
        <v>120500000000</v>
      </c>
      <c r="G78" s="4" t="str">
        <f>HYPERLINK("http://141.218.60.56/~jnz1568/getInfo.php?workbook=11_02.xlsx&amp;sheet=A0&amp;row=78&amp;col=7&amp;number=0&amp;sourceID=14","0")</f>
        <v>0</v>
      </c>
    </row>
    <row r="79" spans="1:7">
      <c r="A79" s="3">
        <v>11</v>
      </c>
      <c r="B79" s="3">
        <v>2</v>
      </c>
      <c r="C79" s="3">
        <v>24</v>
      </c>
      <c r="D79" s="3">
        <v>3</v>
      </c>
      <c r="E79" s="3">
        <v>47.432</v>
      </c>
      <c r="F79" s="4" t="str">
        <f>HYPERLINK("http://141.218.60.56/~jnz1568/getInfo.php?workbook=11_02.xlsx&amp;sheet=A0&amp;row=79&amp;col=6&amp;number=61.78&amp;sourceID=14","61.78")</f>
        <v>61.78</v>
      </c>
      <c r="G79" s="4" t="str">
        <f>HYPERLINK("http://141.218.60.56/~jnz1568/getInfo.php?workbook=11_02.xlsx&amp;sheet=A0&amp;row=79&amp;col=7&amp;number=0&amp;sourceID=14","0")</f>
        <v>0</v>
      </c>
    </row>
    <row r="80" spans="1:7">
      <c r="A80" s="3">
        <v>11</v>
      </c>
      <c r="B80" s="3">
        <v>2</v>
      </c>
      <c r="C80" s="3">
        <v>26</v>
      </c>
      <c r="D80" s="3">
        <v>3</v>
      </c>
      <c r="E80" s="3">
        <v>47.422</v>
      </c>
      <c r="F80" s="4" t="str">
        <f>HYPERLINK("http://141.218.60.56/~jnz1568/getInfo.php?workbook=11_02.xlsx&amp;sheet=A0&amp;row=80&amp;col=6&amp;number=29090000&amp;sourceID=14","29090000")</f>
        <v>29090000</v>
      </c>
      <c r="G80" s="4" t="str">
        <f>HYPERLINK("http://141.218.60.56/~jnz1568/getInfo.php?workbook=11_02.xlsx&amp;sheet=A0&amp;row=80&amp;col=7&amp;number=0&amp;sourceID=14","0")</f>
        <v>0</v>
      </c>
    </row>
    <row r="81" spans="1:7">
      <c r="A81" s="3">
        <v>11</v>
      </c>
      <c r="B81" s="3">
        <v>2</v>
      </c>
      <c r="C81" s="3">
        <v>30</v>
      </c>
      <c r="D81" s="3">
        <v>3</v>
      </c>
      <c r="E81" s="3">
        <v>47.423</v>
      </c>
      <c r="F81" s="4" t="str">
        <f>HYPERLINK("http://141.218.60.56/~jnz1568/getInfo.php?workbook=11_02.xlsx&amp;sheet=A0&amp;row=81&amp;col=6&amp;number=1599&amp;sourceID=14","1599")</f>
        <v>1599</v>
      </c>
      <c r="G81" s="4" t="str">
        <f>HYPERLINK("http://141.218.60.56/~jnz1568/getInfo.php?workbook=11_02.xlsx&amp;sheet=A0&amp;row=81&amp;col=7&amp;number=0&amp;sourceID=14","0")</f>
        <v>0</v>
      </c>
    </row>
    <row r="82" spans="1:7">
      <c r="A82" s="3">
        <v>11</v>
      </c>
      <c r="B82" s="3">
        <v>2</v>
      </c>
      <c r="C82" s="3">
        <v>31</v>
      </c>
      <c r="D82" s="3">
        <v>3</v>
      </c>
      <c r="E82" s="3">
        <v>47.392</v>
      </c>
      <c r="F82" s="4" t="str">
        <f>HYPERLINK("http://141.218.60.56/~jnz1568/getInfo.php?workbook=11_02.xlsx&amp;sheet=A0&amp;row=82&amp;col=6&amp;number=10.27&amp;sourceID=14","10.27")</f>
        <v>10.27</v>
      </c>
      <c r="G82" s="4" t="str">
        <f>HYPERLINK("http://141.218.60.56/~jnz1568/getInfo.php?workbook=11_02.xlsx&amp;sheet=A0&amp;row=82&amp;col=7&amp;number=0&amp;sourceID=14","0")</f>
        <v>0</v>
      </c>
    </row>
    <row r="83" spans="1:7">
      <c r="A83" s="3">
        <v>11</v>
      </c>
      <c r="B83" s="3">
        <v>2</v>
      </c>
      <c r="C83" s="3">
        <v>32</v>
      </c>
      <c r="D83" s="3">
        <v>3</v>
      </c>
      <c r="E83" s="3">
        <v>42.598</v>
      </c>
      <c r="F83" s="4" t="str">
        <f>HYPERLINK("http://141.218.60.56/~jnz1568/getInfo.php?workbook=11_02.xlsx&amp;sheet=A0&amp;row=83&amp;col=6&amp;number=1363000000&amp;sourceID=14","1363000000")</f>
        <v>1363000000</v>
      </c>
      <c r="G83" s="4" t="str">
        <f>HYPERLINK("http://141.218.60.56/~jnz1568/getInfo.php?workbook=11_02.xlsx&amp;sheet=A0&amp;row=83&amp;col=7&amp;number=0&amp;sourceID=14","0")</f>
        <v>0</v>
      </c>
    </row>
    <row r="84" spans="1:7">
      <c r="A84" s="3">
        <v>11</v>
      </c>
      <c r="B84" s="3">
        <v>2</v>
      </c>
      <c r="C84" s="3">
        <v>34</v>
      </c>
      <c r="D84" s="3">
        <v>3</v>
      </c>
      <c r="E84" s="3">
        <v>42.507</v>
      </c>
      <c r="F84" s="4" t="str">
        <f>HYPERLINK("http://141.218.60.56/~jnz1568/getInfo.php?workbook=11_02.xlsx&amp;sheet=A0&amp;row=84&amp;col=6&amp;number=1.381&amp;sourceID=14","1.381")</f>
        <v>1.381</v>
      </c>
      <c r="G84" s="4" t="str">
        <f>HYPERLINK("http://141.218.60.56/~jnz1568/getInfo.php?workbook=11_02.xlsx&amp;sheet=A0&amp;row=84&amp;col=7&amp;number=0&amp;sourceID=14","0")</f>
        <v>0</v>
      </c>
    </row>
    <row r="85" spans="1:7">
      <c r="A85" s="3">
        <v>11</v>
      </c>
      <c r="B85" s="3">
        <v>2</v>
      </c>
      <c r="C85" s="3">
        <v>35</v>
      </c>
      <c r="D85" s="3">
        <v>3</v>
      </c>
      <c r="E85" s="3">
        <v>42.505</v>
      </c>
      <c r="F85" s="4" t="str">
        <f>HYPERLINK("http://141.218.60.56/~jnz1568/getInfo.php?workbook=11_02.xlsx&amp;sheet=A0&amp;row=85&amp;col=6&amp;number=494900&amp;sourceID=14","494900")</f>
        <v>494900</v>
      </c>
      <c r="G85" s="4" t="str">
        <f>HYPERLINK("http://141.218.60.56/~jnz1568/getInfo.php?workbook=11_02.xlsx&amp;sheet=A0&amp;row=85&amp;col=7&amp;number=0&amp;sourceID=14","0")</f>
        <v>0</v>
      </c>
    </row>
    <row r="86" spans="1:7">
      <c r="A86" s="3">
        <v>11</v>
      </c>
      <c r="B86" s="3">
        <v>2</v>
      </c>
      <c r="C86" s="3">
        <v>37</v>
      </c>
      <c r="D86" s="3">
        <v>3</v>
      </c>
      <c r="E86" s="3">
        <v>42.455</v>
      </c>
      <c r="F86" s="4" t="str">
        <f>HYPERLINK("http://141.218.60.56/~jnz1568/getInfo.php?workbook=11_02.xlsx&amp;sheet=A0&amp;row=86&amp;col=6&amp;number=54400000000&amp;sourceID=14","54400000000")</f>
        <v>54400000000</v>
      </c>
      <c r="G86" s="4" t="str">
        <f>HYPERLINK("http://141.218.60.56/~jnz1568/getInfo.php?workbook=11_02.xlsx&amp;sheet=A0&amp;row=86&amp;col=7&amp;number=0&amp;sourceID=14","0")</f>
        <v>0</v>
      </c>
    </row>
    <row r="87" spans="1:7">
      <c r="A87" s="3">
        <v>11</v>
      </c>
      <c r="B87" s="3">
        <v>2</v>
      </c>
      <c r="C87" s="3">
        <v>38</v>
      </c>
      <c r="D87" s="3">
        <v>3</v>
      </c>
      <c r="E87" s="3">
        <v>42.455</v>
      </c>
      <c r="F87" s="4" t="str">
        <f>HYPERLINK("http://141.218.60.56/~jnz1568/getInfo.php?workbook=11_02.xlsx&amp;sheet=A0&amp;row=87&amp;col=6&amp;number=40.14&amp;sourceID=14","40.14")</f>
        <v>40.14</v>
      </c>
      <c r="G87" s="4" t="str">
        <f>HYPERLINK("http://141.218.60.56/~jnz1568/getInfo.php?workbook=11_02.xlsx&amp;sheet=A0&amp;row=87&amp;col=7&amp;number=0&amp;sourceID=14","0")</f>
        <v>0</v>
      </c>
    </row>
    <row r="88" spans="1:7">
      <c r="A88" s="3">
        <v>11</v>
      </c>
      <c r="B88" s="3">
        <v>2</v>
      </c>
      <c r="C88" s="3">
        <v>40</v>
      </c>
      <c r="D88" s="3">
        <v>3</v>
      </c>
      <c r="E88" s="3">
        <v>42.451</v>
      </c>
      <c r="F88" s="4" t="str">
        <f>HYPERLINK("http://141.218.60.56/~jnz1568/getInfo.php?workbook=11_02.xlsx&amp;sheet=A0&amp;row=88&amp;col=6&amp;number=20940000&amp;sourceID=14","20940000")</f>
        <v>20940000</v>
      </c>
      <c r="G88" s="4" t="str">
        <f>HYPERLINK("http://141.218.60.56/~jnz1568/getInfo.php?workbook=11_02.xlsx&amp;sheet=A0&amp;row=88&amp;col=7&amp;number=0&amp;sourceID=14","0")</f>
        <v>0</v>
      </c>
    </row>
    <row r="89" spans="1:7">
      <c r="A89" s="3">
        <v>11</v>
      </c>
      <c r="B89" s="3">
        <v>2</v>
      </c>
      <c r="C89" s="3">
        <v>46</v>
      </c>
      <c r="D89" s="3">
        <v>3</v>
      </c>
      <c r="E89" s="3">
        <v>42.451</v>
      </c>
      <c r="F89" s="4" t="str">
        <f>HYPERLINK("http://141.218.60.56/~jnz1568/getInfo.php?workbook=11_02.xlsx&amp;sheet=A0&amp;row=89&amp;col=6&amp;number=899.2&amp;sourceID=14","899.2")</f>
        <v>899.2</v>
      </c>
      <c r="G89" s="4" t="str">
        <f>HYPERLINK("http://141.218.60.56/~jnz1568/getInfo.php?workbook=11_02.xlsx&amp;sheet=A0&amp;row=89&amp;col=7&amp;number=0&amp;sourceID=14","0")</f>
        <v>0</v>
      </c>
    </row>
    <row r="90" spans="1:7">
      <c r="A90" s="3">
        <v>11</v>
      </c>
      <c r="B90" s="3">
        <v>2</v>
      </c>
      <c r="C90" s="3">
        <v>49</v>
      </c>
      <c r="D90" s="3">
        <v>3</v>
      </c>
      <c r="E90" s="3">
        <v>42.44</v>
      </c>
      <c r="F90" s="4" t="str">
        <f>HYPERLINK("http://141.218.60.56/~jnz1568/getInfo.php?workbook=11_02.xlsx&amp;sheet=A0&amp;row=90&amp;col=6&amp;number=5.443&amp;sourceID=14","5.443")</f>
        <v>5.443</v>
      </c>
      <c r="G90" s="4" t="str">
        <f>HYPERLINK("http://141.218.60.56/~jnz1568/getInfo.php?workbook=11_02.xlsx&amp;sheet=A0&amp;row=90&amp;col=7&amp;number=0&amp;sourceID=14","0")</f>
        <v>0</v>
      </c>
    </row>
    <row r="91" spans="1:7">
      <c r="A91" s="3">
        <v>11</v>
      </c>
      <c r="B91" s="3">
        <v>2</v>
      </c>
      <c r="C91" s="3">
        <v>6</v>
      </c>
      <c r="D91" s="3">
        <v>4</v>
      </c>
      <c r="E91" s="3">
        <v>19554.201</v>
      </c>
      <c r="F91" s="4" t="str">
        <f>HYPERLINK("http://141.218.60.56/~jnz1568/getInfo.php?workbook=11_02.xlsx&amp;sheet=A0&amp;row=91&amp;col=6&amp;number=323.7&amp;sourceID=14","323.7")</f>
        <v>323.7</v>
      </c>
      <c r="G91" s="4" t="str">
        <f>HYPERLINK("http://141.218.60.56/~jnz1568/getInfo.php?workbook=11_02.xlsx&amp;sheet=A0&amp;row=91&amp;col=7&amp;number=0&amp;sourceID=14","0")</f>
        <v>0</v>
      </c>
    </row>
    <row r="92" spans="1:7">
      <c r="A92" s="3">
        <v>11</v>
      </c>
      <c r="B92" s="3">
        <v>2</v>
      </c>
      <c r="C92" s="3">
        <v>7</v>
      </c>
      <c r="D92" s="3">
        <v>4</v>
      </c>
      <c r="E92" s="3">
        <v>1518.998</v>
      </c>
      <c r="F92" s="4" t="str">
        <f>HYPERLINK("http://141.218.60.56/~jnz1568/getInfo.php?workbook=11_02.xlsx&amp;sheet=A0&amp;row=92&amp;col=6&amp;number=4.631&amp;sourceID=14","4.631")</f>
        <v>4.631</v>
      </c>
      <c r="G92" s="4" t="str">
        <f>HYPERLINK("http://141.218.60.56/~jnz1568/getInfo.php?workbook=11_02.xlsx&amp;sheet=A0&amp;row=92&amp;col=7&amp;number=0&amp;sourceID=14","0")</f>
        <v>0</v>
      </c>
    </row>
    <row r="93" spans="1:7">
      <c r="A93" s="3">
        <v>11</v>
      </c>
      <c r="B93" s="3">
        <v>2</v>
      </c>
      <c r="C93" s="3">
        <v>8</v>
      </c>
      <c r="D93" s="3">
        <v>4</v>
      </c>
      <c r="E93" s="3">
        <v>65.101</v>
      </c>
      <c r="F93" s="4" t="str">
        <f>HYPERLINK("http://141.218.60.56/~jnz1568/getInfo.php?workbook=11_02.xlsx&amp;sheet=A0&amp;row=93&amp;col=6&amp;number=27230000000&amp;sourceID=14","27230000000")</f>
        <v>27230000000</v>
      </c>
      <c r="G93" s="4" t="str">
        <f>HYPERLINK("http://141.218.60.56/~jnz1568/getInfo.php?workbook=11_02.xlsx&amp;sheet=A0&amp;row=93&amp;col=7&amp;number=0&amp;sourceID=14","0")</f>
        <v>0</v>
      </c>
    </row>
    <row r="94" spans="1:7">
      <c r="A94" s="3">
        <v>11</v>
      </c>
      <c r="B94" s="3">
        <v>2</v>
      </c>
      <c r="C94" s="3">
        <v>9</v>
      </c>
      <c r="D94" s="3">
        <v>4</v>
      </c>
      <c r="E94" s="3">
        <v>64.106</v>
      </c>
      <c r="F94" s="4" t="str">
        <f>HYPERLINK("http://141.218.60.56/~jnz1568/getInfo.php?workbook=11_02.xlsx&amp;sheet=A0&amp;row=94&amp;col=6&amp;number=2.649&amp;sourceID=14","2.649")</f>
        <v>2.649</v>
      </c>
      <c r="G94" s="4" t="str">
        <f>HYPERLINK("http://141.218.60.56/~jnz1568/getInfo.php?workbook=11_02.xlsx&amp;sheet=A0&amp;row=94&amp;col=7&amp;number=0&amp;sourceID=14","0")</f>
        <v>0</v>
      </c>
    </row>
    <row r="95" spans="1:7">
      <c r="A95" s="3">
        <v>11</v>
      </c>
      <c r="B95" s="3">
        <v>2</v>
      </c>
      <c r="C95" s="3">
        <v>10</v>
      </c>
      <c r="D95" s="3">
        <v>4</v>
      </c>
      <c r="E95" s="3">
        <v>64.099</v>
      </c>
      <c r="F95" s="4" t="str">
        <f>HYPERLINK("http://141.218.60.56/~jnz1568/getInfo.php?workbook=11_02.xlsx&amp;sheet=A0&amp;row=95&amp;col=6&amp;number=6154000&amp;sourceID=14","6154000")</f>
        <v>6154000</v>
      </c>
      <c r="G95" s="4" t="str">
        <f>HYPERLINK("http://141.218.60.56/~jnz1568/getInfo.php?workbook=11_02.xlsx&amp;sheet=A0&amp;row=95&amp;col=7&amp;number=0&amp;sourceID=14","0")</f>
        <v>0</v>
      </c>
    </row>
    <row r="96" spans="1:7">
      <c r="A96" s="3">
        <v>11</v>
      </c>
      <c r="B96" s="3">
        <v>2</v>
      </c>
      <c r="C96" s="3">
        <v>11</v>
      </c>
      <c r="D96" s="3">
        <v>4</v>
      </c>
      <c r="E96" s="3">
        <v>64.07</v>
      </c>
      <c r="F96" s="4" t="str">
        <f>HYPERLINK("http://141.218.60.56/~jnz1568/getInfo.php?workbook=11_02.xlsx&amp;sheet=A0&amp;row=96&amp;col=6&amp;number=11130000&amp;sourceID=14","11130000")</f>
        <v>11130000</v>
      </c>
      <c r="G96" s="4" t="str">
        <f>HYPERLINK("http://141.218.60.56/~jnz1568/getInfo.php?workbook=11_02.xlsx&amp;sheet=A0&amp;row=96&amp;col=7&amp;number=0&amp;sourceID=14","0")</f>
        <v>0</v>
      </c>
    </row>
    <row r="97" spans="1:7">
      <c r="A97" s="3">
        <v>11</v>
      </c>
      <c r="B97" s="3">
        <v>2</v>
      </c>
      <c r="C97" s="3">
        <v>12</v>
      </c>
      <c r="D97" s="3">
        <v>4</v>
      </c>
      <c r="E97" s="3">
        <v>64.079</v>
      </c>
      <c r="F97" s="4" t="str">
        <f>HYPERLINK("http://141.218.60.56/~jnz1568/getInfo.php?workbook=11_02.xlsx&amp;sheet=A0&amp;row=97&amp;col=6&amp;number=67420000&amp;sourceID=14","67420000")</f>
        <v>67420000</v>
      </c>
      <c r="G97" s="4" t="str">
        <f>HYPERLINK("http://141.218.60.56/~jnz1568/getInfo.php?workbook=11_02.xlsx&amp;sheet=A0&amp;row=97&amp;col=7&amp;number=0&amp;sourceID=14","0")</f>
        <v>0</v>
      </c>
    </row>
    <row r="98" spans="1:7">
      <c r="A98" s="3">
        <v>11</v>
      </c>
      <c r="B98" s="3">
        <v>2</v>
      </c>
      <c r="C98" s="3">
        <v>13</v>
      </c>
      <c r="D98" s="3">
        <v>4</v>
      </c>
      <c r="E98" s="3">
        <v>63.541</v>
      </c>
      <c r="F98" s="4" t="str">
        <f>HYPERLINK("http://141.218.60.56/~jnz1568/getInfo.php?workbook=11_02.xlsx&amp;sheet=A0&amp;row=98&amp;col=6&amp;number=277300000000&amp;sourceID=14","277300000000")</f>
        <v>277300000000</v>
      </c>
      <c r="G98" s="4" t="str">
        <f>HYPERLINK("http://141.218.60.56/~jnz1568/getInfo.php?workbook=11_02.xlsx&amp;sheet=A0&amp;row=98&amp;col=7&amp;number=0&amp;sourceID=14","0")</f>
        <v>0</v>
      </c>
    </row>
    <row r="99" spans="1:7">
      <c r="A99" s="3">
        <v>11</v>
      </c>
      <c r="B99" s="3">
        <v>2</v>
      </c>
      <c r="C99" s="3">
        <v>14</v>
      </c>
      <c r="D99" s="3">
        <v>4</v>
      </c>
      <c r="E99" s="3">
        <v>63.541</v>
      </c>
      <c r="F99" s="4" t="str">
        <f>HYPERLINK("http://141.218.60.56/~jnz1568/getInfo.php?workbook=11_02.xlsx&amp;sheet=A0&amp;row=99&amp;col=6&amp;number=479700000000&amp;sourceID=14","479700000000")</f>
        <v>479700000000</v>
      </c>
      <c r="G99" s="4" t="str">
        <f>HYPERLINK("http://141.218.60.56/~jnz1568/getInfo.php?workbook=11_02.xlsx&amp;sheet=A0&amp;row=99&amp;col=7&amp;number=0&amp;sourceID=14","0")</f>
        <v>0</v>
      </c>
    </row>
    <row r="100" spans="1:7">
      <c r="A100" s="3">
        <v>11</v>
      </c>
      <c r="B100" s="3">
        <v>2</v>
      </c>
      <c r="C100" s="3">
        <v>15</v>
      </c>
      <c r="D100" s="3">
        <v>4</v>
      </c>
      <c r="E100" s="3">
        <v>63.53</v>
      </c>
      <c r="F100" s="4" t="str">
        <f>HYPERLINK("http://141.218.60.56/~jnz1568/getInfo.php?workbook=11_02.xlsx&amp;sheet=A0&amp;row=100&amp;col=6&amp;number=517&amp;sourceID=14","517")</f>
        <v>517</v>
      </c>
      <c r="G100" s="4" t="str">
        <f>HYPERLINK("http://141.218.60.56/~jnz1568/getInfo.php?workbook=11_02.xlsx&amp;sheet=A0&amp;row=100&amp;col=7&amp;number=0&amp;sourceID=14","0")</f>
        <v>0</v>
      </c>
    </row>
    <row r="101" spans="1:7">
      <c r="A101" s="3">
        <v>11</v>
      </c>
      <c r="B101" s="3">
        <v>2</v>
      </c>
      <c r="C101" s="3">
        <v>16</v>
      </c>
      <c r="D101" s="3">
        <v>4</v>
      </c>
      <c r="E101" s="3">
        <v>63.508</v>
      </c>
      <c r="F101" s="4" t="str">
        <f>HYPERLINK("http://141.218.60.56/~jnz1568/getInfo.php?workbook=11_02.xlsx&amp;sheet=A0&amp;row=101&amp;col=6&amp;number=19990000000&amp;sourceID=14","19990000000")</f>
        <v>19990000000</v>
      </c>
      <c r="G101" s="4" t="str">
        <f>HYPERLINK("http://141.218.60.56/~jnz1568/getInfo.php?workbook=11_02.xlsx&amp;sheet=A0&amp;row=101&amp;col=7&amp;number=0&amp;sourceID=14","0")</f>
        <v>0</v>
      </c>
    </row>
    <row r="102" spans="1:7">
      <c r="A102" s="3">
        <v>11</v>
      </c>
      <c r="B102" s="3">
        <v>2</v>
      </c>
      <c r="C102" s="3">
        <v>17</v>
      </c>
      <c r="D102" s="3">
        <v>4</v>
      </c>
      <c r="E102" s="3">
        <v>63.363</v>
      </c>
      <c r="F102" s="4" t="str">
        <f>HYPERLINK("http://141.218.60.56/~jnz1568/getInfo.php?workbook=11_02.xlsx&amp;sheet=A0&amp;row=102&amp;col=6&amp;number=55900&amp;sourceID=14","55900")</f>
        <v>55900</v>
      </c>
      <c r="G102" s="4" t="str">
        <f>HYPERLINK("http://141.218.60.56/~jnz1568/getInfo.php?workbook=11_02.xlsx&amp;sheet=A0&amp;row=102&amp;col=7&amp;number=0&amp;sourceID=14","0")</f>
        <v>0</v>
      </c>
    </row>
    <row r="103" spans="1:7">
      <c r="A103" s="3">
        <v>11</v>
      </c>
      <c r="B103" s="3">
        <v>2</v>
      </c>
      <c r="C103" s="3">
        <v>18</v>
      </c>
      <c r="D103" s="3">
        <v>4</v>
      </c>
      <c r="E103" s="3">
        <v>47.797</v>
      </c>
      <c r="F103" s="4" t="str">
        <f>HYPERLINK("http://141.218.60.56/~jnz1568/getInfo.php?workbook=11_02.xlsx&amp;sheet=A0&amp;row=103&amp;col=6&amp;number=10000000000&amp;sourceID=14","10000000000")</f>
        <v>10000000000</v>
      </c>
      <c r="G103" s="4" t="str">
        <f>HYPERLINK("http://141.218.60.56/~jnz1568/getInfo.php?workbook=11_02.xlsx&amp;sheet=A0&amp;row=103&amp;col=7&amp;number=0&amp;sourceID=14","0")</f>
        <v>0</v>
      </c>
    </row>
    <row r="104" spans="1:7">
      <c r="A104" s="3">
        <v>11</v>
      </c>
      <c r="B104" s="3">
        <v>2</v>
      </c>
      <c r="C104" s="3">
        <v>19</v>
      </c>
      <c r="D104" s="3">
        <v>4</v>
      </c>
      <c r="E104" s="3">
        <v>47.574</v>
      </c>
      <c r="F104" s="4" t="str">
        <f>HYPERLINK("http://141.218.60.56/~jnz1568/getInfo.php?workbook=11_02.xlsx&amp;sheet=A0&amp;row=104&amp;col=6&amp;number=1.372&amp;sourceID=14","1.372")</f>
        <v>1.372</v>
      </c>
      <c r="G104" s="4" t="str">
        <f>HYPERLINK("http://141.218.60.56/~jnz1568/getInfo.php?workbook=11_02.xlsx&amp;sheet=A0&amp;row=104&amp;col=7&amp;number=0&amp;sourceID=14","0")</f>
        <v>0</v>
      </c>
    </row>
    <row r="105" spans="1:7">
      <c r="A105" s="3">
        <v>11</v>
      </c>
      <c r="B105" s="3">
        <v>2</v>
      </c>
      <c r="C105" s="3">
        <v>20</v>
      </c>
      <c r="D105" s="3">
        <v>4</v>
      </c>
      <c r="E105" s="3">
        <v>47.572</v>
      </c>
      <c r="F105" s="4" t="str">
        <f>HYPERLINK("http://141.218.60.56/~jnz1568/getInfo.php?workbook=11_02.xlsx&amp;sheet=A0&amp;row=105&amp;col=6&amp;number=2433000&amp;sourceID=14","2433000")</f>
        <v>2433000</v>
      </c>
      <c r="G105" s="4" t="str">
        <f>HYPERLINK("http://141.218.60.56/~jnz1568/getInfo.php?workbook=11_02.xlsx&amp;sheet=A0&amp;row=105&amp;col=7&amp;number=0&amp;sourceID=14","0")</f>
        <v>0</v>
      </c>
    </row>
    <row r="106" spans="1:7">
      <c r="A106" s="3">
        <v>11</v>
      </c>
      <c r="B106" s="3">
        <v>2</v>
      </c>
      <c r="C106" s="3">
        <v>21</v>
      </c>
      <c r="D106" s="3">
        <v>4</v>
      </c>
      <c r="E106" s="3">
        <v>47.565</v>
      </c>
      <c r="F106" s="4" t="str">
        <f>HYPERLINK("http://141.218.60.56/~jnz1568/getInfo.php?workbook=11_02.xlsx&amp;sheet=A0&amp;row=106&amp;col=6&amp;number=4409000&amp;sourceID=14","4409000")</f>
        <v>4409000</v>
      </c>
      <c r="G106" s="4" t="str">
        <f>HYPERLINK("http://141.218.60.56/~jnz1568/getInfo.php?workbook=11_02.xlsx&amp;sheet=A0&amp;row=106&amp;col=7&amp;number=0&amp;sourceID=14","0")</f>
        <v>0</v>
      </c>
    </row>
    <row r="107" spans="1:7">
      <c r="A107" s="3">
        <v>11</v>
      </c>
      <c r="B107" s="3">
        <v>2</v>
      </c>
      <c r="C107" s="3">
        <v>22</v>
      </c>
      <c r="D107" s="3">
        <v>4</v>
      </c>
      <c r="E107" s="3">
        <v>47.571</v>
      </c>
      <c r="F107" s="4" t="str">
        <f>HYPERLINK("http://141.218.60.56/~jnz1568/getInfo.php?workbook=11_02.xlsx&amp;sheet=A0&amp;row=107&amp;col=6&amp;number=33780000&amp;sourceID=14","33780000")</f>
        <v>33780000</v>
      </c>
      <c r="G107" s="4" t="str">
        <f>HYPERLINK("http://141.218.60.56/~jnz1568/getInfo.php?workbook=11_02.xlsx&amp;sheet=A0&amp;row=107&amp;col=7&amp;number=0&amp;sourceID=14","0")</f>
        <v>0</v>
      </c>
    </row>
    <row r="108" spans="1:7">
      <c r="A108" s="3">
        <v>11</v>
      </c>
      <c r="B108" s="3">
        <v>2</v>
      </c>
      <c r="C108" s="3">
        <v>23</v>
      </c>
      <c r="D108" s="3">
        <v>4</v>
      </c>
      <c r="E108" s="3">
        <v>47.444</v>
      </c>
      <c r="F108" s="4" t="str">
        <f>HYPERLINK("http://141.218.60.56/~jnz1568/getInfo.php?workbook=11_02.xlsx&amp;sheet=A0&amp;row=108&amp;col=6&amp;number=90240000000&amp;sourceID=14","90240000000")</f>
        <v>90240000000</v>
      </c>
      <c r="G108" s="4" t="str">
        <f>HYPERLINK("http://141.218.60.56/~jnz1568/getInfo.php?workbook=11_02.xlsx&amp;sheet=A0&amp;row=108&amp;col=7&amp;number=0&amp;sourceID=14","0")</f>
        <v>0</v>
      </c>
    </row>
    <row r="109" spans="1:7">
      <c r="A109" s="3">
        <v>11</v>
      </c>
      <c r="B109" s="3">
        <v>2</v>
      </c>
      <c r="C109" s="3">
        <v>24</v>
      </c>
      <c r="D109" s="3">
        <v>4</v>
      </c>
      <c r="E109" s="3">
        <v>47.444</v>
      </c>
      <c r="F109" s="4" t="str">
        <f>HYPERLINK("http://141.218.60.56/~jnz1568/getInfo.php?workbook=11_02.xlsx&amp;sheet=A0&amp;row=109&amp;col=6&amp;number=158700000000&amp;sourceID=14","158700000000")</f>
        <v>158700000000</v>
      </c>
      <c r="G109" s="4" t="str">
        <f>HYPERLINK("http://141.218.60.56/~jnz1568/getInfo.php?workbook=11_02.xlsx&amp;sheet=A0&amp;row=109&amp;col=7&amp;number=0&amp;sourceID=14","0")</f>
        <v>0</v>
      </c>
    </row>
    <row r="110" spans="1:7">
      <c r="A110" s="3">
        <v>11</v>
      </c>
      <c r="B110" s="3">
        <v>2</v>
      </c>
      <c r="C110" s="3">
        <v>25</v>
      </c>
      <c r="D110" s="3">
        <v>4</v>
      </c>
      <c r="E110" s="3">
        <v>47.444</v>
      </c>
      <c r="F110" s="4" t="str">
        <f>HYPERLINK("http://141.218.60.56/~jnz1568/getInfo.php?workbook=11_02.xlsx&amp;sheet=A0&amp;row=110&amp;col=6&amp;number=302.4&amp;sourceID=14","302.4")</f>
        <v>302.4</v>
      </c>
      <c r="G110" s="4" t="str">
        <f>HYPERLINK("http://141.218.60.56/~jnz1568/getInfo.php?workbook=11_02.xlsx&amp;sheet=A0&amp;row=110&amp;col=7&amp;number=0&amp;sourceID=14","0")</f>
        <v>0</v>
      </c>
    </row>
    <row r="111" spans="1:7">
      <c r="A111" s="3">
        <v>11</v>
      </c>
      <c r="B111" s="3">
        <v>2</v>
      </c>
      <c r="C111" s="3">
        <v>26</v>
      </c>
      <c r="D111" s="3">
        <v>4</v>
      </c>
      <c r="E111" s="3">
        <v>47.434</v>
      </c>
      <c r="F111" s="4" t="str">
        <f>HYPERLINK("http://141.218.60.56/~jnz1568/getInfo.php?workbook=11_02.xlsx&amp;sheet=A0&amp;row=111&amp;col=6&amp;number=29070000&amp;sourceID=14","29070000")</f>
        <v>29070000</v>
      </c>
      <c r="G111" s="4" t="str">
        <f>HYPERLINK("http://141.218.60.56/~jnz1568/getInfo.php?workbook=11_02.xlsx&amp;sheet=A0&amp;row=111&amp;col=7&amp;number=0&amp;sourceID=14","0")</f>
        <v>0</v>
      </c>
    </row>
    <row r="112" spans="1:7">
      <c r="A112" s="3">
        <v>11</v>
      </c>
      <c r="B112" s="3">
        <v>2</v>
      </c>
      <c r="C112" s="3">
        <v>27</v>
      </c>
      <c r="D112" s="3">
        <v>4</v>
      </c>
      <c r="E112" s="3">
        <v>47.434</v>
      </c>
      <c r="F112" s="4" t="str">
        <f>HYPERLINK("http://141.218.60.56/~jnz1568/getInfo.php?workbook=11_02.xlsx&amp;sheet=A0&amp;row=112&amp;col=6&amp;number=25940000&amp;sourceID=14","25940000")</f>
        <v>25940000</v>
      </c>
      <c r="G112" s="4" t="str">
        <f>HYPERLINK("http://141.218.60.56/~jnz1568/getInfo.php?workbook=11_02.xlsx&amp;sheet=A0&amp;row=112&amp;col=7&amp;number=0&amp;sourceID=14","0")</f>
        <v>0</v>
      </c>
    </row>
    <row r="113" spans="1:7">
      <c r="A113" s="3">
        <v>11</v>
      </c>
      <c r="B113" s="3">
        <v>2</v>
      </c>
      <c r="C113" s="3">
        <v>29</v>
      </c>
      <c r="D113" s="3">
        <v>4</v>
      </c>
      <c r="E113" s="3">
        <v>47.434</v>
      </c>
      <c r="F113" s="4" t="str">
        <f>HYPERLINK("http://141.218.60.56/~jnz1568/getInfo.php?workbook=11_02.xlsx&amp;sheet=A0&amp;row=113&amp;col=6&amp;number=15640000&amp;sourceID=14","15640000")</f>
        <v>15640000</v>
      </c>
      <c r="G113" s="4" t="str">
        <f>HYPERLINK("http://141.218.60.56/~jnz1568/getInfo.php?workbook=11_02.xlsx&amp;sheet=A0&amp;row=113&amp;col=7&amp;number=0&amp;sourceID=14","0")</f>
        <v>0</v>
      </c>
    </row>
    <row r="114" spans="1:7">
      <c r="A114" s="3">
        <v>11</v>
      </c>
      <c r="B114" s="3">
        <v>2</v>
      </c>
      <c r="C114" s="3">
        <v>30</v>
      </c>
      <c r="D114" s="3">
        <v>4</v>
      </c>
      <c r="E114" s="3">
        <v>47.435</v>
      </c>
      <c r="F114" s="4" t="str">
        <f>HYPERLINK("http://141.218.60.56/~jnz1568/getInfo.php?workbook=11_02.xlsx&amp;sheet=A0&amp;row=114&amp;col=6&amp;number=3972000000&amp;sourceID=14","3972000000")</f>
        <v>3972000000</v>
      </c>
      <c r="G114" s="4" t="str">
        <f>HYPERLINK("http://141.218.60.56/~jnz1568/getInfo.php?workbook=11_02.xlsx&amp;sheet=A0&amp;row=114&amp;col=7&amp;number=0&amp;sourceID=14","0")</f>
        <v>0</v>
      </c>
    </row>
    <row r="115" spans="1:7">
      <c r="A115" s="3">
        <v>11</v>
      </c>
      <c r="B115" s="3">
        <v>2</v>
      </c>
      <c r="C115" s="3">
        <v>31</v>
      </c>
      <c r="D115" s="3">
        <v>4</v>
      </c>
      <c r="E115" s="3">
        <v>47.404</v>
      </c>
      <c r="F115" s="4" t="str">
        <f>HYPERLINK("http://141.218.60.56/~jnz1568/getInfo.php?workbook=11_02.xlsx&amp;sheet=A0&amp;row=115&amp;col=6&amp;number=27780&amp;sourceID=14","27780")</f>
        <v>27780</v>
      </c>
      <c r="G115" s="4" t="str">
        <f>HYPERLINK("http://141.218.60.56/~jnz1568/getInfo.php?workbook=11_02.xlsx&amp;sheet=A0&amp;row=115&amp;col=7&amp;number=0&amp;sourceID=14","0")</f>
        <v>0</v>
      </c>
    </row>
    <row r="116" spans="1:7">
      <c r="A116" s="3">
        <v>11</v>
      </c>
      <c r="B116" s="3">
        <v>2</v>
      </c>
      <c r="C116" s="3">
        <v>32</v>
      </c>
      <c r="D116" s="3">
        <v>4</v>
      </c>
      <c r="E116" s="3">
        <v>42.607</v>
      </c>
      <c r="F116" s="4" t="str">
        <f>HYPERLINK("http://141.218.60.56/~jnz1568/getInfo.php?workbook=11_02.xlsx&amp;sheet=A0&amp;row=116&amp;col=6&amp;number=4018000000&amp;sourceID=14","4018000000")</f>
        <v>4018000000</v>
      </c>
      <c r="G116" s="4" t="str">
        <f>HYPERLINK("http://141.218.60.56/~jnz1568/getInfo.php?workbook=11_02.xlsx&amp;sheet=A0&amp;row=116&amp;col=7&amp;number=0&amp;sourceID=14","0")</f>
        <v>0</v>
      </c>
    </row>
    <row r="117" spans="1:7">
      <c r="A117" s="3">
        <v>11</v>
      </c>
      <c r="B117" s="3">
        <v>2</v>
      </c>
      <c r="C117" s="3">
        <v>33</v>
      </c>
      <c r="D117" s="3">
        <v>4</v>
      </c>
      <c r="E117" s="3">
        <v>42.517</v>
      </c>
      <c r="F117" s="4" t="str">
        <f>HYPERLINK("http://141.218.60.56/~jnz1568/getInfo.php?workbook=11_02.xlsx&amp;sheet=A0&amp;row=117&amp;col=6&amp;number=1.181&amp;sourceID=14","1.181")</f>
        <v>1.181</v>
      </c>
      <c r="G117" s="4" t="str">
        <f>HYPERLINK("http://141.218.60.56/~jnz1568/getInfo.php?workbook=11_02.xlsx&amp;sheet=A0&amp;row=117&amp;col=7&amp;number=0&amp;sourceID=14","0")</f>
        <v>0</v>
      </c>
    </row>
    <row r="118" spans="1:7">
      <c r="A118" s="3">
        <v>11</v>
      </c>
      <c r="B118" s="3">
        <v>2</v>
      </c>
      <c r="C118" s="3">
        <v>34</v>
      </c>
      <c r="D118" s="3">
        <v>4</v>
      </c>
      <c r="E118" s="3">
        <v>42.517</v>
      </c>
      <c r="F118" s="4" t="str">
        <f>HYPERLINK("http://141.218.60.56/~jnz1568/getInfo.php?workbook=11_02.xlsx&amp;sheet=A0&amp;row=118&amp;col=6&amp;number=585800&amp;sourceID=14","585800")</f>
        <v>585800</v>
      </c>
      <c r="G118" s="4" t="str">
        <f>HYPERLINK("http://141.218.60.56/~jnz1568/getInfo.php?workbook=11_02.xlsx&amp;sheet=A0&amp;row=118&amp;col=7&amp;number=0&amp;sourceID=14","0")</f>
        <v>0</v>
      </c>
    </row>
    <row r="119" spans="1:7">
      <c r="A119" s="3">
        <v>11</v>
      </c>
      <c r="B119" s="3">
        <v>2</v>
      </c>
      <c r="C119" s="3">
        <v>35</v>
      </c>
      <c r="D119" s="3">
        <v>4</v>
      </c>
      <c r="E119" s="3">
        <v>42.514</v>
      </c>
      <c r="F119" s="4" t="str">
        <f>HYPERLINK("http://141.218.60.56/~jnz1568/getInfo.php?workbook=11_02.xlsx&amp;sheet=A0&amp;row=119&amp;col=6&amp;number=1068000&amp;sourceID=14","1068000")</f>
        <v>1068000</v>
      </c>
      <c r="G119" s="4" t="str">
        <f>HYPERLINK("http://141.218.60.56/~jnz1568/getInfo.php?workbook=11_02.xlsx&amp;sheet=A0&amp;row=119&amp;col=7&amp;number=0&amp;sourceID=14","0")</f>
        <v>0</v>
      </c>
    </row>
    <row r="120" spans="1:7">
      <c r="A120" s="3">
        <v>11</v>
      </c>
      <c r="B120" s="3">
        <v>2</v>
      </c>
      <c r="C120" s="3">
        <v>36</v>
      </c>
      <c r="D120" s="3">
        <v>4</v>
      </c>
      <c r="E120" s="3">
        <v>42.517</v>
      </c>
      <c r="F120" s="4" t="str">
        <f>HYPERLINK("http://141.218.60.56/~jnz1568/getInfo.php?workbook=11_02.xlsx&amp;sheet=A0&amp;row=120&amp;col=6&amp;number=26620000&amp;sourceID=14","26620000")</f>
        <v>26620000</v>
      </c>
      <c r="G120" s="4" t="str">
        <f>HYPERLINK("http://141.218.60.56/~jnz1568/getInfo.php?workbook=11_02.xlsx&amp;sheet=A0&amp;row=120&amp;col=7&amp;number=0&amp;sourceID=14","0")</f>
        <v>0</v>
      </c>
    </row>
    <row r="121" spans="1:7">
      <c r="A121" s="3">
        <v>11</v>
      </c>
      <c r="B121" s="3">
        <v>2</v>
      </c>
      <c r="C121" s="3">
        <v>37</v>
      </c>
      <c r="D121" s="3">
        <v>4</v>
      </c>
      <c r="E121" s="3">
        <v>42.465</v>
      </c>
      <c r="F121" s="4" t="str">
        <f>HYPERLINK("http://141.218.60.56/~jnz1568/getInfo.php?workbook=11_02.xlsx&amp;sheet=A0&amp;row=121&amp;col=6&amp;number=40700000000&amp;sourceID=14","40700000000")</f>
        <v>40700000000</v>
      </c>
      <c r="G121" s="4" t="str">
        <f>HYPERLINK("http://141.218.60.56/~jnz1568/getInfo.php?workbook=11_02.xlsx&amp;sheet=A0&amp;row=121&amp;col=7&amp;number=0&amp;sourceID=14","0")</f>
        <v>0</v>
      </c>
    </row>
    <row r="122" spans="1:7">
      <c r="A122" s="3">
        <v>11</v>
      </c>
      <c r="B122" s="3">
        <v>2</v>
      </c>
      <c r="C122" s="3">
        <v>38</v>
      </c>
      <c r="D122" s="3">
        <v>4</v>
      </c>
      <c r="E122" s="3">
        <v>42.465</v>
      </c>
      <c r="F122" s="4" t="str">
        <f>HYPERLINK("http://141.218.60.56/~jnz1568/getInfo.php?workbook=11_02.xlsx&amp;sheet=A0&amp;row=122&amp;col=6&amp;number=71900000000&amp;sourceID=14","71900000000")</f>
        <v>71900000000</v>
      </c>
      <c r="G122" s="4" t="str">
        <f>HYPERLINK("http://141.218.60.56/~jnz1568/getInfo.php?workbook=11_02.xlsx&amp;sheet=A0&amp;row=122&amp;col=7&amp;number=0&amp;sourceID=14","0")</f>
        <v>0</v>
      </c>
    </row>
    <row r="123" spans="1:7">
      <c r="A123" s="3">
        <v>11</v>
      </c>
      <c r="B123" s="3">
        <v>2</v>
      </c>
      <c r="C123" s="3">
        <v>39</v>
      </c>
      <c r="D123" s="3">
        <v>4</v>
      </c>
      <c r="E123" s="3">
        <v>42.465</v>
      </c>
      <c r="F123" s="4" t="str">
        <f>HYPERLINK("http://141.218.60.56/~jnz1568/getInfo.php?workbook=11_02.xlsx&amp;sheet=A0&amp;row=123&amp;col=6&amp;number=171.8&amp;sourceID=14","171.8")</f>
        <v>171.8</v>
      </c>
      <c r="G123" s="4" t="str">
        <f>HYPERLINK("http://141.218.60.56/~jnz1568/getInfo.php?workbook=11_02.xlsx&amp;sheet=A0&amp;row=123&amp;col=7&amp;number=0&amp;sourceID=14","0")</f>
        <v>0</v>
      </c>
    </row>
    <row r="124" spans="1:7">
      <c r="A124" s="3">
        <v>11</v>
      </c>
      <c r="B124" s="3">
        <v>2</v>
      </c>
      <c r="C124" s="3">
        <v>40</v>
      </c>
      <c r="D124" s="3">
        <v>4</v>
      </c>
      <c r="E124" s="3">
        <v>42.461</v>
      </c>
      <c r="F124" s="4" t="str">
        <f>HYPERLINK("http://141.218.60.56/~jnz1568/getInfo.php?workbook=11_02.xlsx&amp;sheet=A0&amp;row=124&amp;col=6&amp;number=20980000&amp;sourceID=14","20980000")</f>
        <v>20980000</v>
      </c>
      <c r="G124" s="4" t="str">
        <f>HYPERLINK("http://141.218.60.56/~jnz1568/getInfo.php?workbook=11_02.xlsx&amp;sheet=A0&amp;row=124&amp;col=7&amp;number=0&amp;sourceID=14","0")</f>
        <v>0</v>
      </c>
    </row>
    <row r="125" spans="1:7">
      <c r="A125" s="3">
        <v>11</v>
      </c>
      <c r="B125" s="3">
        <v>2</v>
      </c>
      <c r="C125" s="3">
        <v>41</v>
      </c>
      <c r="D125" s="3">
        <v>4</v>
      </c>
      <c r="E125" s="3">
        <v>42.461</v>
      </c>
      <c r="F125" s="4" t="str">
        <f>HYPERLINK("http://141.218.60.56/~jnz1568/getInfo.php?workbook=11_02.xlsx&amp;sheet=A0&amp;row=125&amp;col=6&amp;number=19050000&amp;sourceID=14","19050000")</f>
        <v>19050000</v>
      </c>
      <c r="G125" s="4" t="str">
        <f>HYPERLINK("http://141.218.60.56/~jnz1568/getInfo.php?workbook=11_02.xlsx&amp;sheet=A0&amp;row=125&amp;col=7&amp;number=0&amp;sourceID=14","0")</f>
        <v>0</v>
      </c>
    </row>
    <row r="126" spans="1:7">
      <c r="A126" s="3">
        <v>11</v>
      </c>
      <c r="B126" s="3">
        <v>2</v>
      </c>
      <c r="C126" s="3">
        <v>43</v>
      </c>
      <c r="D126" s="3">
        <v>4</v>
      </c>
      <c r="E126" s="3">
        <v>42.461</v>
      </c>
      <c r="F126" s="4" t="str">
        <f>HYPERLINK("http://141.218.60.56/~jnz1568/getInfo.php?workbook=11_02.xlsx&amp;sheet=A0&amp;row=126&amp;col=6&amp;number=10950000&amp;sourceID=14","10950000")</f>
        <v>10950000</v>
      </c>
      <c r="G126" s="4" t="str">
        <f>HYPERLINK("http://141.218.60.56/~jnz1568/getInfo.php?workbook=11_02.xlsx&amp;sheet=A0&amp;row=126&amp;col=7&amp;number=0&amp;sourceID=14","0")</f>
        <v>0</v>
      </c>
    </row>
    <row r="127" spans="1:7">
      <c r="A127" s="3">
        <v>11</v>
      </c>
      <c r="B127" s="3">
        <v>2</v>
      </c>
      <c r="C127" s="3">
        <v>46</v>
      </c>
      <c r="D127" s="3">
        <v>4</v>
      </c>
      <c r="E127" s="3">
        <v>42.461</v>
      </c>
      <c r="F127" s="4" t="str">
        <f>HYPERLINK("http://141.218.60.56/~jnz1568/getInfo.php?workbook=11_02.xlsx&amp;sheet=A0&amp;row=127&amp;col=6&amp;number=1447000000&amp;sourceID=14","1447000000")</f>
        <v>1447000000</v>
      </c>
      <c r="G127" s="4" t="str">
        <f>HYPERLINK("http://141.218.60.56/~jnz1568/getInfo.php?workbook=11_02.xlsx&amp;sheet=A0&amp;row=127&amp;col=7&amp;number=0&amp;sourceID=14","0")</f>
        <v>0</v>
      </c>
    </row>
    <row r="128" spans="1:7">
      <c r="A128" s="3">
        <v>11</v>
      </c>
      <c r="B128" s="3">
        <v>2</v>
      </c>
      <c r="C128" s="3">
        <v>49</v>
      </c>
      <c r="D128" s="3">
        <v>4</v>
      </c>
      <c r="E128" s="3">
        <v>42.449</v>
      </c>
      <c r="F128" s="4" t="str">
        <f>HYPERLINK("http://141.218.60.56/~jnz1568/getInfo.php?workbook=11_02.xlsx&amp;sheet=A0&amp;row=128&amp;col=6&amp;number=27880&amp;sourceID=14","27880")</f>
        <v>27880</v>
      </c>
      <c r="G128" s="4" t="str">
        <f>HYPERLINK("http://141.218.60.56/~jnz1568/getInfo.php?workbook=11_02.xlsx&amp;sheet=A0&amp;row=128&amp;col=7&amp;number=0&amp;sourceID=14","0")</f>
        <v>0</v>
      </c>
    </row>
    <row r="129" spans="1:7">
      <c r="A129" s="3">
        <v>11</v>
      </c>
      <c r="B129" s="3">
        <v>2</v>
      </c>
      <c r="C129" s="3">
        <v>7</v>
      </c>
      <c r="D129" s="3">
        <v>5</v>
      </c>
      <c r="E129" s="3">
        <v>1576.883</v>
      </c>
      <c r="F129" s="4" t="str">
        <f>HYPERLINK("http://141.218.60.56/~jnz1568/getInfo.php?workbook=11_02.xlsx&amp;sheet=A0&amp;row=129&amp;col=6&amp;number=5.04&amp;sourceID=14","5.04")</f>
        <v>5.04</v>
      </c>
      <c r="G129" s="4" t="str">
        <f>HYPERLINK("http://141.218.60.56/~jnz1568/getInfo.php?workbook=11_02.xlsx&amp;sheet=A0&amp;row=129&amp;col=7&amp;number=0&amp;sourceID=14","0")</f>
        <v>0</v>
      </c>
    </row>
    <row r="130" spans="1:7">
      <c r="A130" s="3">
        <v>11</v>
      </c>
      <c r="B130" s="3">
        <v>2</v>
      </c>
      <c r="C130" s="3">
        <v>8</v>
      </c>
      <c r="D130" s="3">
        <v>5</v>
      </c>
      <c r="E130" s="3">
        <v>65.204</v>
      </c>
      <c r="F130" s="4" t="str">
        <f>HYPERLINK("http://141.218.60.56/~jnz1568/getInfo.php?workbook=11_02.xlsx&amp;sheet=A0&amp;row=130&amp;col=6&amp;number=45770000000&amp;sourceID=14","45770000000")</f>
        <v>45770000000</v>
      </c>
      <c r="G130" s="4" t="str">
        <f>HYPERLINK("http://141.218.60.56/~jnz1568/getInfo.php?workbook=11_02.xlsx&amp;sheet=A0&amp;row=130&amp;col=7&amp;number=0&amp;sourceID=14","0")</f>
        <v>0</v>
      </c>
    </row>
    <row r="131" spans="1:7">
      <c r="A131" s="3">
        <v>11</v>
      </c>
      <c r="B131" s="3">
        <v>2</v>
      </c>
      <c r="C131" s="3">
        <v>9</v>
      </c>
      <c r="D131" s="3">
        <v>5</v>
      </c>
      <c r="E131" s="3">
        <v>64.206</v>
      </c>
      <c r="F131" s="4" t="str">
        <f>HYPERLINK("http://141.218.60.56/~jnz1568/getInfo.php?workbook=11_02.xlsx&amp;sheet=A0&amp;row=131&amp;col=6&amp;number=24730000&amp;sourceID=14","24730000")</f>
        <v>24730000</v>
      </c>
      <c r="G131" s="4" t="str">
        <f>HYPERLINK("http://141.218.60.56/~jnz1568/getInfo.php?workbook=11_02.xlsx&amp;sheet=A0&amp;row=131&amp;col=7&amp;number=0&amp;sourceID=14","0")</f>
        <v>0</v>
      </c>
    </row>
    <row r="132" spans="1:7">
      <c r="A132" s="3">
        <v>11</v>
      </c>
      <c r="B132" s="3">
        <v>2</v>
      </c>
      <c r="C132" s="3">
        <v>10</v>
      </c>
      <c r="D132" s="3">
        <v>5</v>
      </c>
      <c r="E132" s="3">
        <v>64.199</v>
      </c>
      <c r="F132" s="4" t="str">
        <f>HYPERLINK("http://141.218.60.56/~jnz1568/getInfo.php?workbook=11_02.xlsx&amp;sheet=A0&amp;row=132&amp;col=6&amp;number=18520000&amp;sourceID=14","18520000")</f>
        <v>18520000</v>
      </c>
      <c r="G132" s="4" t="str">
        <f>HYPERLINK("http://141.218.60.56/~jnz1568/getInfo.php?workbook=11_02.xlsx&amp;sheet=A0&amp;row=132&amp;col=7&amp;number=0&amp;sourceID=14","0")</f>
        <v>0</v>
      </c>
    </row>
    <row r="133" spans="1:7">
      <c r="A133" s="3">
        <v>11</v>
      </c>
      <c r="B133" s="3">
        <v>2</v>
      </c>
      <c r="C133" s="3">
        <v>11</v>
      </c>
      <c r="D133" s="3">
        <v>5</v>
      </c>
      <c r="E133" s="3">
        <v>64.17</v>
      </c>
      <c r="F133" s="4" t="str">
        <f>HYPERLINK("http://141.218.60.56/~jnz1568/getInfo.php?workbook=11_02.xlsx&amp;sheet=A0&amp;row=133&amp;col=6&amp;number=8647000&amp;sourceID=14","8647000")</f>
        <v>8647000</v>
      </c>
      <c r="G133" s="4" t="str">
        <f>HYPERLINK("http://141.218.60.56/~jnz1568/getInfo.php?workbook=11_02.xlsx&amp;sheet=A0&amp;row=133&amp;col=7&amp;number=0&amp;sourceID=14","0")</f>
        <v>0</v>
      </c>
    </row>
    <row r="134" spans="1:7">
      <c r="A134" s="3">
        <v>11</v>
      </c>
      <c r="B134" s="3">
        <v>2</v>
      </c>
      <c r="C134" s="3">
        <v>12</v>
      </c>
      <c r="D134" s="3">
        <v>5</v>
      </c>
      <c r="E134" s="3">
        <v>64.179</v>
      </c>
      <c r="F134" s="4" t="str">
        <f>HYPERLINK("http://141.218.60.56/~jnz1568/getInfo.php?workbook=11_02.xlsx&amp;sheet=A0&amp;row=134&amp;col=6&amp;number=1132&amp;sourceID=14","1132")</f>
        <v>1132</v>
      </c>
      <c r="G134" s="4" t="str">
        <f>HYPERLINK("http://141.218.60.56/~jnz1568/getInfo.php?workbook=11_02.xlsx&amp;sheet=A0&amp;row=134&amp;col=7&amp;number=0&amp;sourceID=14","0")</f>
        <v>0</v>
      </c>
    </row>
    <row r="135" spans="1:7">
      <c r="A135" s="3">
        <v>11</v>
      </c>
      <c r="B135" s="3">
        <v>2</v>
      </c>
      <c r="C135" s="3">
        <v>13</v>
      </c>
      <c r="D135" s="3">
        <v>5</v>
      </c>
      <c r="E135" s="3">
        <v>63.639</v>
      </c>
      <c r="F135" s="4" t="str">
        <f>HYPERLINK("http://141.218.60.56/~jnz1568/getInfo.php?workbook=11_02.xlsx&amp;sheet=A0&amp;row=135&amp;col=6&amp;number=18460000000&amp;sourceID=14","18460000000")</f>
        <v>18460000000</v>
      </c>
      <c r="G135" s="4" t="str">
        <f>HYPERLINK("http://141.218.60.56/~jnz1568/getInfo.php?workbook=11_02.xlsx&amp;sheet=A0&amp;row=135&amp;col=7&amp;number=0&amp;sourceID=14","0")</f>
        <v>0</v>
      </c>
    </row>
    <row r="136" spans="1:7">
      <c r="A136" s="3">
        <v>11</v>
      </c>
      <c r="B136" s="3">
        <v>2</v>
      </c>
      <c r="C136" s="3">
        <v>14</v>
      </c>
      <c r="D136" s="3">
        <v>5</v>
      </c>
      <c r="E136" s="3">
        <v>63.638</v>
      </c>
      <c r="F136" s="4" t="str">
        <f>HYPERLINK("http://141.218.60.56/~jnz1568/getInfo.php?workbook=11_02.xlsx&amp;sheet=A0&amp;row=136&amp;col=6&amp;number=157100000000&amp;sourceID=14","157100000000")</f>
        <v>157100000000</v>
      </c>
      <c r="G136" s="4" t="str">
        <f>HYPERLINK("http://141.218.60.56/~jnz1568/getInfo.php?workbook=11_02.xlsx&amp;sheet=A0&amp;row=136&amp;col=7&amp;number=0&amp;sourceID=14","0")</f>
        <v>0</v>
      </c>
    </row>
    <row r="137" spans="1:7">
      <c r="A137" s="3">
        <v>11</v>
      </c>
      <c r="B137" s="3">
        <v>2</v>
      </c>
      <c r="C137" s="3">
        <v>15</v>
      </c>
      <c r="D137" s="3">
        <v>5</v>
      </c>
      <c r="E137" s="3">
        <v>63.628</v>
      </c>
      <c r="F137" s="4" t="str">
        <f>HYPERLINK("http://141.218.60.56/~jnz1568/getInfo.php?workbook=11_02.xlsx&amp;sheet=A0&amp;row=137&amp;col=6&amp;number=665000000000&amp;sourceID=14","665000000000")</f>
        <v>665000000000</v>
      </c>
      <c r="G137" s="4" t="str">
        <f>HYPERLINK("http://141.218.60.56/~jnz1568/getInfo.php?workbook=11_02.xlsx&amp;sheet=A0&amp;row=137&amp;col=7&amp;number=0&amp;sourceID=14","0")</f>
        <v>0</v>
      </c>
    </row>
    <row r="138" spans="1:7">
      <c r="A138" s="3">
        <v>11</v>
      </c>
      <c r="B138" s="3">
        <v>2</v>
      </c>
      <c r="C138" s="3">
        <v>16</v>
      </c>
      <c r="D138" s="3">
        <v>5</v>
      </c>
      <c r="E138" s="3">
        <v>63.606</v>
      </c>
      <c r="F138" s="4" t="str">
        <f>HYPERLINK("http://141.218.60.56/~jnz1568/getInfo.php?workbook=11_02.xlsx&amp;sheet=A0&amp;row=138&amp;col=6&amp;number=9187000000&amp;sourceID=14","9187000000")</f>
        <v>9187000000</v>
      </c>
      <c r="G138" s="4" t="str">
        <f>HYPERLINK("http://141.218.60.56/~jnz1568/getInfo.php?workbook=11_02.xlsx&amp;sheet=A0&amp;row=138&amp;col=7&amp;number=0&amp;sourceID=14","0")</f>
        <v>0</v>
      </c>
    </row>
    <row r="139" spans="1:7">
      <c r="A139" s="3">
        <v>11</v>
      </c>
      <c r="B139" s="3">
        <v>2</v>
      </c>
      <c r="C139" s="3">
        <v>17</v>
      </c>
      <c r="D139" s="3">
        <v>5</v>
      </c>
      <c r="E139" s="3">
        <v>63.46</v>
      </c>
      <c r="F139" s="4" t="str">
        <f>HYPERLINK("http://141.218.60.56/~jnz1568/getInfo.php?workbook=11_02.xlsx&amp;sheet=A0&amp;row=139&amp;col=6&amp;number=19640&amp;sourceID=14","19640")</f>
        <v>19640</v>
      </c>
      <c r="G139" s="4" t="str">
        <f>HYPERLINK("http://141.218.60.56/~jnz1568/getInfo.php?workbook=11_02.xlsx&amp;sheet=A0&amp;row=139&amp;col=7&amp;number=0&amp;sourceID=14","0")</f>
        <v>0</v>
      </c>
    </row>
    <row r="140" spans="1:7">
      <c r="A140" s="3">
        <v>11</v>
      </c>
      <c r="B140" s="3">
        <v>2</v>
      </c>
      <c r="C140" s="3">
        <v>18</v>
      </c>
      <c r="D140" s="3">
        <v>5</v>
      </c>
      <c r="E140" s="3">
        <v>47.852</v>
      </c>
      <c r="F140" s="4" t="str">
        <f>HYPERLINK("http://141.218.60.56/~jnz1568/getInfo.php?workbook=11_02.xlsx&amp;sheet=A0&amp;row=140&amp;col=6&amp;number=16790000000&amp;sourceID=14","16790000000")</f>
        <v>16790000000</v>
      </c>
      <c r="G140" s="4" t="str">
        <f>HYPERLINK("http://141.218.60.56/~jnz1568/getInfo.php?workbook=11_02.xlsx&amp;sheet=A0&amp;row=140&amp;col=7&amp;number=0&amp;sourceID=14","0")</f>
        <v>0</v>
      </c>
    </row>
    <row r="141" spans="1:7">
      <c r="A141" s="3">
        <v>11</v>
      </c>
      <c r="B141" s="3">
        <v>2</v>
      </c>
      <c r="C141" s="3">
        <v>19</v>
      </c>
      <c r="D141" s="3">
        <v>5</v>
      </c>
      <c r="E141" s="3">
        <v>47.628</v>
      </c>
      <c r="F141" s="4" t="str">
        <f>HYPERLINK("http://141.218.60.56/~jnz1568/getInfo.php?workbook=11_02.xlsx&amp;sheet=A0&amp;row=141&amp;col=6&amp;number=9756000&amp;sourceID=14","9756000")</f>
        <v>9756000</v>
      </c>
      <c r="G141" s="4" t="str">
        <f>HYPERLINK("http://141.218.60.56/~jnz1568/getInfo.php?workbook=11_02.xlsx&amp;sheet=A0&amp;row=141&amp;col=7&amp;number=0&amp;sourceID=14","0")</f>
        <v>0</v>
      </c>
    </row>
    <row r="142" spans="1:7">
      <c r="A142" s="3">
        <v>11</v>
      </c>
      <c r="B142" s="3">
        <v>2</v>
      </c>
      <c r="C142" s="3">
        <v>20</v>
      </c>
      <c r="D142" s="3">
        <v>5</v>
      </c>
      <c r="E142" s="3">
        <v>47.627</v>
      </c>
      <c r="F142" s="4" t="str">
        <f>HYPERLINK("http://141.218.60.56/~jnz1568/getInfo.php?workbook=11_02.xlsx&amp;sheet=A0&amp;row=142&amp;col=6&amp;number=7307000&amp;sourceID=14","7307000")</f>
        <v>7307000</v>
      </c>
      <c r="G142" s="4" t="str">
        <f>HYPERLINK("http://141.218.60.56/~jnz1568/getInfo.php?workbook=11_02.xlsx&amp;sheet=A0&amp;row=142&amp;col=7&amp;number=0&amp;sourceID=14","0")</f>
        <v>0</v>
      </c>
    </row>
    <row r="143" spans="1:7">
      <c r="A143" s="3">
        <v>11</v>
      </c>
      <c r="B143" s="3">
        <v>2</v>
      </c>
      <c r="C143" s="3">
        <v>21</v>
      </c>
      <c r="D143" s="3">
        <v>5</v>
      </c>
      <c r="E143" s="3">
        <v>47.62</v>
      </c>
      <c r="F143" s="4" t="str">
        <f>HYPERLINK("http://141.218.60.56/~jnz1568/getInfo.php?workbook=11_02.xlsx&amp;sheet=A0&amp;row=143&amp;col=6&amp;number=3415000&amp;sourceID=14","3415000")</f>
        <v>3415000</v>
      </c>
      <c r="G143" s="4" t="str">
        <f>HYPERLINK("http://141.218.60.56/~jnz1568/getInfo.php?workbook=11_02.xlsx&amp;sheet=A0&amp;row=143&amp;col=7&amp;number=0&amp;sourceID=14","0")</f>
        <v>0</v>
      </c>
    </row>
    <row r="144" spans="1:7">
      <c r="A144" s="3">
        <v>11</v>
      </c>
      <c r="B144" s="3">
        <v>2</v>
      </c>
      <c r="C144" s="3">
        <v>22</v>
      </c>
      <c r="D144" s="3">
        <v>5</v>
      </c>
      <c r="E144" s="3">
        <v>47.626</v>
      </c>
      <c r="F144" s="4" t="str">
        <f>HYPERLINK("http://141.218.60.56/~jnz1568/getInfo.php?workbook=11_02.xlsx&amp;sheet=A0&amp;row=144&amp;col=6&amp;number=808.6&amp;sourceID=14","808.6")</f>
        <v>808.6</v>
      </c>
      <c r="G144" s="4" t="str">
        <f>HYPERLINK("http://141.218.60.56/~jnz1568/getInfo.php?workbook=11_02.xlsx&amp;sheet=A0&amp;row=144&amp;col=7&amp;number=0&amp;sourceID=14","0")</f>
        <v>0</v>
      </c>
    </row>
    <row r="145" spans="1:7">
      <c r="A145" s="3">
        <v>11</v>
      </c>
      <c r="B145" s="3">
        <v>2</v>
      </c>
      <c r="C145" s="3">
        <v>23</v>
      </c>
      <c r="D145" s="3">
        <v>5</v>
      </c>
      <c r="E145" s="3">
        <v>47.498</v>
      </c>
      <c r="F145" s="4" t="str">
        <f>HYPERLINK("http://141.218.60.56/~jnz1568/getInfo.php?workbook=11_02.xlsx&amp;sheet=A0&amp;row=145&amp;col=6&amp;number=6000000000&amp;sourceID=14","6000000000")</f>
        <v>6000000000</v>
      </c>
      <c r="G145" s="4" t="str">
        <f>HYPERLINK("http://141.218.60.56/~jnz1568/getInfo.php?workbook=11_02.xlsx&amp;sheet=A0&amp;row=145&amp;col=7&amp;number=0&amp;sourceID=14","0")</f>
        <v>0</v>
      </c>
    </row>
    <row r="146" spans="1:7">
      <c r="A146" s="3">
        <v>11</v>
      </c>
      <c r="B146" s="3">
        <v>2</v>
      </c>
      <c r="C146" s="3">
        <v>24</v>
      </c>
      <c r="D146" s="3">
        <v>5</v>
      </c>
      <c r="E146" s="3">
        <v>47.498</v>
      </c>
      <c r="F146" s="4" t="str">
        <f>HYPERLINK("http://141.218.60.56/~jnz1568/getInfo.php?workbook=11_02.xlsx&amp;sheet=A0&amp;row=146&amp;col=6&amp;number=52040000000&amp;sourceID=14","52040000000")</f>
        <v>52040000000</v>
      </c>
      <c r="G146" s="4" t="str">
        <f>HYPERLINK("http://141.218.60.56/~jnz1568/getInfo.php?workbook=11_02.xlsx&amp;sheet=A0&amp;row=146&amp;col=7&amp;number=0&amp;sourceID=14","0")</f>
        <v>0</v>
      </c>
    </row>
    <row r="147" spans="1:7">
      <c r="A147" s="3">
        <v>11</v>
      </c>
      <c r="B147" s="3">
        <v>2</v>
      </c>
      <c r="C147" s="3">
        <v>25</v>
      </c>
      <c r="D147" s="3">
        <v>5</v>
      </c>
      <c r="E147" s="3">
        <v>47.498</v>
      </c>
      <c r="F147" s="4" t="str">
        <f>HYPERLINK("http://141.218.60.56/~jnz1568/getInfo.php?workbook=11_02.xlsx&amp;sheet=A0&amp;row=147&amp;col=6&amp;number=216200000000&amp;sourceID=14","216200000000")</f>
        <v>216200000000</v>
      </c>
      <c r="G147" s="4" t="str">
        <f>HYPERLINK("http://141.218.60.56/~jnz1568/getInfo.php?workbook=11_02.xlsx&amp;sheet=A0&amp;row=147&amp;col=7&amp;number=0&amp;sourceID=14","0")</f>
        <v>0</v>
      </c>
    </row>
    <row r="148" spans="1:7">
      <c r="A148" s="3">
        <v>11</v>
      </c>
      <c r="B148" s="3">
        <v>2</v>
      </c>
      <c r="C148" s="3">
        <v>26</v>
      </c>
      <c r="D148" s="3">
        <v>5</v>
      </c>
      <c r="E148" s="3">
        <v>47.489</v>
      </c>
      <c r="F148" s="4" t="str">
        <f>HYPERLINK("http://141.218.60.56/~jnz1568/getInfo.php?workbook=11_02.xlsx&amp;sheet=A0&amp;row=148&amp;col=6&amp;number=4157000&amp;sourceID=14","4157000")</f>
        <v>4157000</v>
      </c>
      <c r="G148" s="4" t="str">
        <f>HYPERLINK("http://141.218.60.56/~jnz1568/getInfo.php?workbook=11_02.xlsx&amp;sheet=A0&amp;row=148&amp;col=7&amp;number=0&amp;sourceID=14","0")</f>
        <v>0</v>
      </c>
    </row>
    <row r="149" spans="1:7">
      <c r="A149" s="3">
        <v>11</v>
      </c>
      <c r="B149" s="3">
        <v>2</v>
      </c>
      <c r="C149" s="3">
        <v>27</v>
      </c>
      <c r="D149" s="3">
        <v>5</v>
      </c>
      <c r="E149" s="3">
        <v>47.489</v>
      </c>
      <c r="F149" s="4" t="str">
        <f>HYPERLINK("http://141.218.60.56/~jnz1568/getInfo.php?workbook=11_02.xlsx&amp;sheet=A0&amp;row=149&amp;col=6&amp;number=12200000&amp;sourceID=14","12200000")</f>
        <v>12200000</v>
      </c>
      <c r="G149" s="4" t="str">
        <f>HYPERLINK("http://141.218.60.56/~jnz1568/getInfo.php?workbook=11_02.xlsx&amp;sheet=A0&amp;row=149&amp;col=7&amp;number=0&amp;sourceID=14","0")</f>
        <v>0</v>
      </c>
    </row>
    <row r="150" spans="1:7">
      <c r="A150" s="3">
        <v>11</v>
      </c>
      <c r="B150" s="3">
        <v>2</v>
      </c>
      <c r="C150" s="3">
        <v>28</v>
      </c>
      <c r="D150" s="3">
        <v>5</v>
      </c>
      <c r="E150" s="3">
        <v>47.489</v>
      </c>
      <c r="F150" s="4" t="str">
        <f>HYPERLINK("http://141.218.60.56/~jnz1568/getInfo.php?workbook=11_02.xlsx&amp;sheet=A0&amp;row=150&amp;col=6&amp;number=62310000&amp;sourceID=14","62310000")</f>
        <v>62310000</v>
      </c>
      <c r="G150" s="4" t="str">
        <f>HYPERLINK("http://141.218.60.56/~jnz1568/getInfo.php?workbook=11_02.xlsx&amp;sheet=A0&amp;row=150&amp;col=7&amp;number=0&amp;sourceID=14","0")</f>
        <v>0</v>
      </c>
    </row>
    <row r="151" spans="1:7">
      <c r="A151" s="3">
        <v>11</v>
      </c>
      <c r="B151" s="3">
        <v>2</v>
      </c>
      <c r="C151" s="3">
        <v>29</v>
      </c>
      <c r="D151" s="3">
        <v>5</v>
      </c>
      <c r="E151" s="3">
        <v>47.489</v>
      </c>
      <c r="F151" s="4" t="str">
        <f>HYPERLINK("http://141.218.60.56/~jnz1568/getInfo.php?workbook=11_02.xlsx&amp;sheet=A0&amp;row=151&amp;col=6&amp;number=8576000&amp;sourceID=14","8576000")</f>
        <v>8576000</v>
      </c>
      <c r="G151" s="4" t="str">
        <f>HYPERLINK("http://141.218.60.56/~jnz1568/getInfo.php?workbook=11_02.xlsx&amp;sheet=A0&amp;row=151&amp;col=7&amp;number=0&amp;sourceID=14","0")</f>
        <v>0</v>
      </c>
    </row>
    <row r="152" spans="1:7">
      <c r="A152" s="3">
        <v>11</v>
      </c>
      <c r="B152" s="3">
        <v>2</v>
      </c>
      <c r="C152" s="3">
        <v>30</v>
      </c>
      <c r="D152" s="3">
        <v>5</v>
      </c>
      <c r="E152" s="3">
        <v>47.489</v>
      </c>
      <c r="F152" s="4" t="str">
        <f>HYPERLINK("http://141.218.60.56/~jnz1568/getInfo.php?workbook=11_02.xlsx&amp;sheet=A0&amp;row=152&amp;col=6&amp;number=1993000000&amp;sourceID=14","1993000000")</f>
        <v>1993000000</v>
      </c>
      <c r="G152" s="4" t="str">
        <f>HYPERLINK("http://141.218.60.56/~jnz1568/getInfo.php?workbook=11_02.xlsx&amp;sheet=A0&amp;row=152&amp;col=7&amp;number=0&amp;sourceID=14","0")</f>
        <v>0</v>
      </c>
    </row>
    <row r="153" spans="1:7">
      <c r="A153" s="3">
        <v>11</v>
      </c>
      <c r="B153" s="3">
        <v>2</v>
      </c>
      <c r="C153" s="3">
        <v>31</v>
      </c>
      <c r="D153" s="3">
        <v>5</v>
      </c>
      <c r="E153" s="3">
        <v>47.459</v>
      </c>
      <c r="F153" s="4" t="str">
        <f>HYPERLINK("http://141.218.60.56/~jnz1568/getInfo.php?workbook=11_02.xlsx&amp;sheet=A0&amp;row=153&amp;col=6&amp;number=8334&amp;sourceID=14","8334")</f>
        <v>8334</v>
      </c>
      <c r="G153" s="4" t="str">
        <f>HYPERLINK("http://141.218.60.56/~jnz1568/getInfo.php?workbook=11_02.xlsx&amp;sheet=A0&amp;row=153&amp;col=7&amp;number=0&amp;sourceID=14","0")</f>
        <v>0</v>
      </c>
    </row>
    <row r="154" spans="1:7">
      <c r="A154" s="3">
        <v>11</v>
      </c>
      <c r="B154" s="3">
        <v>2</v>
      </c>
      <c r="C154" s="3">
        <v>32</v>
      </c>
      <c r="D154" s="3">
        <v>5</v>
      </c>
      <c r="E154" s="3">
        <v>42.651</v>
      </c>
      <c r="F154" s="4" t="str">
        <f>HYPERLINK("http://141.218.60.56/~jnz1568/getInfo.php?workbook=11_02.xlsx&amp;sheet=A0&amp;row=154&amp;col=6&amp;number=6722000000&amp;sourceID=14","6722000000")</f>
        <v>6722000000</v>
      </c>
      <c r="G154" s="4" t="str">
        <f>HYPERLINK("http://141.218.60.56/~jnz1568/getInfo.php?workbook=11_02.xlsx&amp;sheet=A0&amp;row=154&amp;col=7&amp;number=0&amp;sourceID=14","0")</f>
        <v>0</v>
      </c>
    </row>
    <row r="155" spans="1:7">
      <c r="A155" s="3">
        <v>11</v>
      </c>
      <c r="B155" s="3">
        <v>2</v>
      </c>
      <c r="C155" s="3">
        <v>33</v>
      </c>
      <c r="D155" s="3">
        <v>5</v>
      </c>
      <c r="E155" s="3">
        <v>42.561</v>
      </c>
      <c r="F155" s="4" t="str">
        <f>HYPERLINK("http://141.218.60.56/~jnz1568/getInfo.php?workbook=11_02.xlsx&amp;sheet=A0&amp;row=155&amp;col=6&amp;number=2330000&amp;sourceID=14","2330000")</f>
        <v>2330000</v>
      </c>
      <c r="G155" s="4" t="str">
        <f>HYPERLINK("http://141.218.60.56/~jnz1568/getInfo.php?workbook=11_02.xlsx&amp;sheet=A0&amp;row=155&amp;col=7&amp;number=0&amp;sourceID=14","0")</f>
        <v>0</v>
      </c>
    </row>
    <row r="156" spans="1:7">
      <c r="A156" s="3">
        <v>11</v>
      </c>
      <c r="B156" s="3">
        <v>2</v>
      </c>
      <c r="C156" s="3">
        <v>34</v>
      </c>
      <c r="D156" s="3">
        <v>5</v>
      </c>
      <c r="E156" s="3">
        <v>42.561</v>
      </c>
      <c r="F156" s="4" t="str">
        <f>HYPERLINK("http://141.218.60.56/~jnz1568/getInfo.php?workbook=11_02.xlsx&amp;sheet=A0&amp;row=156&amp;col=6&amp;number=1736000&amp;sourceID=14","1736000")</f>
        <v>1736000</v>
      </c>
      <c r="G156" s="4" t="str">
        <f>HYPERLINK("http://141.218.60.56/~jnz1568/getInfo.php?workbook=11_02.xlsx&amp;sheet=A0&amp;row=156&amp;col=7&amp;number=0&amp;sourceID=14","0")</f>
        <v>0</v>
      </c>
    </row>
    <row r="157" spans="1:7">
      <c r="A157" s="3">
        <v>11</v>
      </c>
      <c r="B157" s="3">
        <v>2</v>
      </c>
      <c r="C157" s="3">
        <v>35</v>
      </c>
      <c r="D157" s="3">
        <v>5</v>
      </c>
      <c r="E157" s="3">
        <v>42.558</v>
      </c>
      <c r="F157" s="4" t="str">
        <f>HYPERLINK("http://141.218.60.56/~jnz1568/getInfo.php?workbook=11_02.xlsx&amp;sheet=A0&amp;row=157&amp;col=6&amp;number=812100&amp;sourceID=14","812100")</f>
        <v>812100</v>
      </c>
      <c r="G157" s="4" t="str">
        <f>HYPERLINK("http://141.218.60.56/~jnz1568/getInfo.php?workbook=11_02.xlsx&amp;sheet=A0&amp;row=157&amp;col=7&amp;number=0&amp;sourceID=14","0")</f>
        <v>0</v>
      </c>
    </row>
    <row r="158" spans="1:7">
      <c r="A158" s="3">
        <v>11</v>
      </c>
      <c r="B158" s="3">
        <v>2</v>
      </c>
      <c r="C158" s="3">
        <v>36</v>
      </c>
      <c r="D158" s="3">
        <v>5</v>
      </c>
      <c r="E158" s="3">
        <v>42.561</v>
      </c>
      <c r="F158" s="4" t="str">
        <f>HYPERLINK("http://141.218.60.56/~jnz1568/getInfo.php?workbook=11_02.xlsx&amp;sheet=A0&amp;row=158&amp;col=6&amp;number=434.6&amp;sourceID=14","434.6")</f>
        <v>434.6</v>
      </c>
      <c r="G158" s="4" t="str">
        <f>HYPERLINK("http://141.218.60.56/~jnz1568/getInfo.php?workbook=11_02.xlsx&amp;sheet=A0&amp;row=158&amp;col=7&amp;number=0&amp;sourceID=14","0")</f>
        <v>0</v>
      </c>
    </row>
    <row r="159" spans="1:7">
      <c r="A159" s="3">
        <v>11</v>
      </c>
      <c r="B159" s="3">
        <v>2</v>
      </c>
      <c r="C159" s="3">
        <v>37</v>
      </c>
      <c r="D159" s="3">
        <v>5</v>
      </c>
      <c r="E159" s="3">
        <v>42.508</v>
      </c>
      <c r="F159" s="4" t="str">
        <f>HYPERLINK("http://141.218.60.56/~jnz1568/getInfo.php?workbook=11_02.xlsx&amp;sheet=A0&amp;row=159&amp;col=6&amp;number=2706000000&amp;sourceID=14","2706000000")</f>
        <v>2706000000</v>
      </c>
      <c r="G159" s="4" t="str">
        <f>HYPERLINK("http://141.218.60.56/~jnz1568/getInfo.php?workbook=11_02.xlsx&amp;sheet=A0&amp;row=159&amp;col=7&amp;number=0&amp;sourceID=14","0")</f>
        <v>0</v>
      </c>
    </row>
    <row r="160" spans="1:7">
      <c r="A160" s="3">
        <v>11</v>
      </c>
      <c r="B160" s="3">
        <v>2</v>
      </c>
      <c r="C160" s="3">
        <v>38</v>
      </c>
      <c r="D160" s="3">
        <v>5</v>
      </c>
      <c r="E160" s="3">
        <v>42.508</v>
      </c>
      <c r="F160" s="4" t="str">
        <f>HYPERLINK("http://141.218.60.56/~jnz1568/getInfo.php?workbook=11_02.xlsx&amp;sheet=A0&amp;row=160&amp;col=6&amp;number=23570000000&amp;sourceID=14","23570000000")</f>
        <v>23570000000</v>
      </c>
      <c r="G160" s="4" t="str">
        <f>HYPERLINK("http://141.218.60.56/~jnz1568/getInfo.php?workbook=11_02.xlsx&amp;sheet=A0&amp;row=160&amp;col=7&amp;number=0&amp;sourceID=14","0")</f>
        <v>0</v>
      </c>
    </row>
    <row r="161" spans="1:7">
      <c r="A161" s="3">
        <v>11</v>
      </c>
      <c r="B161" s="3">
        <v>2</v>
      </c>
      <c r="C161" s="3">
        <v>39</v>
      </c>
      <c r="D161" s="3">
        <v>5</v>
      </c>
      <c r="E161" s="3">
        <v>42.508</v>
      </c>
      <c r="F161" s="4" t="str">
        <f>HYPERLINK("http://141.218.60.56/~jnz1568/getInfo.php?workbook=11_02.xlsx&amp;sheet=A0&amp;row=161&amp;col=6&amp;number=97440000000&amp;sourceID=14","97440000000")</f>
        <v>97440000000</v>
      </c>
      <c r="G161" s="4" t="str">
        <f>HYPERLINK("http://141.218.60.56/~jnz1568/getInfo.php?workbook=11_02.xlsx&amp;sheet=A0&amp;row=161&amp;col=7&amp;number=0&amp;sourceID=14","0")</f>
        <v>0</v>
      </c>
    </row>
    <row r="162" spans="1:7">
      <c r="A162" s="3">
        <v>11</v>
      </c>
      <c r="B162" s="3">
        <v>2</v>
      </c>
      <c r="C162" s="3">
        <v>40</v>
      </c>
      <c r="D162" s="3">
        <v>5</v>
      </c>
      <c r="E162" s="3">
        <v>42.504</v>
      </c>
      <c r="F162" s="4" t="str">
        <f>HYPERLINK("http://141.218.60.56/~jnz1568/getInfo.php?workbook=11_02.xlsx&amp;sheet=A0&amp;row=162&amp;col=6&amp;number=3001000&amp;sourceID=14","3001000")</f>
        <v>3001000</v>
      </c>
      <c r="G162" s="4" t="str">
        <f>HYPERLINK("http://141.218.60.56/~jnz1568/getInfo.php?workbook=11_02.xlsx&amp;sheet=A0&amp;row=162&amp;col=7&amp;number=0&amp;sourceID=14","0")</f>
        <v>0</v>
      </c>
    </row>
    <row r="163" spans="1:7">
      <c r="A163" s="3">
        <v>11</v>
      </c>
      <c r="B163" s="3">
        <v>2</v>
      </c>
      <c r="C163" s="3">
        <v>41</v>
      </c>
      <c r="D163" s="3">
        <v>5</v>
      </c>
      <c r="E163" s="3">
        <v>42.504</v>
      </c>
      <c r="F163" s="4" t="str">
        <f>HYPERLINK("http://141.218.60.56/~jnz1568/getInfo.php?workbook=11_02.xlsx&amp;sheet=A0&amp;row=163&amp;col=6&amp;number=9052000&amp;sourceID=14","9052000")</f>
        <v>9052000</v>
      </c>
      <c r="G163" s="4" t="str">
        <f>HYPERLINK("http://141.218.60.56/~jnz1568/getInfo.php?workbook=11_02.xlsx&amp;sheet=A0&amp;row=163&amp;col=7&amp;number=0&amp;sourceID=14","0")</f>
        <v>0</v>
      </c>
    </row>
    <row r="164" spans="1:7">
      <c r="A164" s="3">
        <v>11</v>
      </c>
      <c r="B164" s="3">
        <v>2</v>
      </c>
      <c r="C164" s="3">
        <v>42</v>
      </c>
      <c r="D164" s="3">
        <v>5</v>
      </c>
      <c r="E164" s="3">
        <v>42.504</v>
      </c>
      <c r="F164" s="4" t="str">
        <f>HYPERLINK("http://141.218.60.56/~jnz1568/getInfo.php?workbook=11_02.xlsx&amp;sheet=A0&amp;row=164&amp;col=6&amp;number=45010000&amp;sourceID=14","45010000")</f>
        <v>45010000</v>
      </c>
      <c r="G164" s="4" t="str">
        <f>HYPERLINK("http://141.218.60.56/~jnz1568/getInfo.php?workbook=11_02.xlsx&amp;sheet=A0&amp;row=164&amp;col=7&amp;number=0&amp;sourceID=14","0")</f>
        <v>0</v>
      </c>
    </row>
    <row r="165" spans="1:7">
      <c r="A165" s="3">
        <v>11</v>
      </c>
      <c r="B165" s="3">
        <v>2</v>
      </c>
      <c r="C165" s="3">
        <v>43</v>
      </c>
      <c r="D165" s="3">
        <v>5</v>
      </c>
      <c r="E165" s="3">
        <v>42.504</v>
      </c>
      <c r="F165" s="4" t="str">
        <f>HYPERLINK("http://141.218.60.56/~jnz1568/getInfo.php?workbook=11_02.xlsx&amp;sheet=A0&amp;row=165&amp;col=6&amp;number=5960000&amp;sourceID=14","5960000")</f>
        <v>5960000</v>
      </c>
      <c r="G165" s="4" t="str">
        <f>HYPERLINK("http://141.218.60.56/~jnz1568/getInfo.php?workbook=11_02.xlsx&amp;sheet=A0&amp;row=165&amp;col=7&amp;number=0&amp;sourceID=14","0")</f>
        <v>0</v>
      </c>
    </row>
    <row r="166" spans="1:7">
      <c r="A166" s="3">
        <v>11</v>
      </c>
      <c r="B166" s="3">
        <v>2</v>
      </c>
      <c r="C166" s="3">
        <v>44</v>
      </c>
      <c r="D166" s="3">
        <v>5</v>
      </c>
      <c r="E166" s="3">
        <v>-42.572</v>
      </c>
      <c r="F166" s="4" t="str">
        <f>HYPERLINK("http://141.218.60.56/~jnz1568/getInfo.php?workbook=11_02.xlsx&amp;sheet=A0&amp;row=166&amp;col=6&amp;number=20.95&amp;sourceID=14","20.95")</f>
        <v>20.95</v>
      </c>
      <c r="G166" s="4" t="str">
        <f>HYPERLINK("http://141.218.60.56/~jnz1568/getInfo.php?workbook=11_02.xlsx&amp;sheet=A0&amp;row=166&amp;col=7&amp;number=0&amp;sourceID=14","0")</f>
        <v>0</v>
      </c>
    </row>
    <row r="167" spans="1:7">
      <c r="A167" s="3">
        <v>11</v>
      </c>
      <c r="B167" s="3">
        <v>2</v>
      </c>
      <c r="C167" s="3">
        <v>46</v>
      </c>
      <c r="D167" s="3">
        <v>5</v>
      </c>
      <c r="E167" s="3">
        <v>42.504</v>
      </c>
      <c r="F167" s="4" t="str">
        <f>HYPERLINK("http://141.218.60.56/~jnz1568/getInfo.php?workbook=11_02.xlsx&amp;sheet=A0&amp;row=167&amp;col=6&amp;number=769200000&amp;sourceID=14","769200000")</f>
        <v>769200000</v>
      </c>
      <c r="G167" s="4" t="str">
        <f>HYPERLINK("http://141.218.60.56/~jnz1568/getInfo.php?workbook=11_02.xlsx&amp;sheet=A0&amp;row=167&amp;col=7&amp;number=0&amp;sourceID=14","0")</f>
        <v>0</v>
      </c>
    </row>
    <row r="168" spans="1:7">
      <c r="A168" s="3">
        <v>11</v>
      </c>
      <c r="B168" s="3">
        <v>2</v>
      </c>
      <c r="C168" s="3">
        <v>49</v>
      </c>
      <c r="D168" s="3">
        <v>5</v>
      </c>
      <c r="E168" s="3">
        <v>42.492</v>
      </c>
      <c r="F168" s="4" t="str">
        <f>HYPERLINK("http://141.218.60.56/~jnz1568/getInfo.php?workbook=11_02.xlsx&amp;sheet=A0&amp;row=168&amp;col=6&amp;number=1997&amp;sourceID=14","1997")</f>
        <v>1997</v>
      </c>
      <c r="G168" s="4" t="str">
        <f>HYPERLINK("http://141.218.60.56/~jnz1568/getInfo.php?workbook=11_02.xlsx&amp;sheet=A0&amp;row=168&amp;col=7&amp;number=0&amp;sourceID=14","0")</f>
        <v>0</v>
      </c>
    </row>
    <row r="169" spans="1:7">
      <c r="A169" s="3">
        <v>11</v>
      </c>
      <c r="B169" s="3">
        <v>2</v>
      </c>
      <c r="C169" s="3">
        <v>7</v>
      </c>
      <c r="D169" s="3">
        <v>6</v>
      </c>
      <c r="E169" s="3">
        <v>1646.934</v>
      </c>
      <c r="F169" s="4" t="str">
        <f>HYPERLINK("http://141.218.60.56/~jnz1568/getInfo.php?workbook=11_02.xlsx&amp;sheet=A0&amp;row=169&amp;col=6&amp;number=36560000&amp;sourceID=14","36560000")</f>
        <v>36560000</v>
      </c>
      <c r="G169" s="4" t="str">
        <f>HYPERLINK("http://141.218.60.56/~jnz1568/getInfo.php?workbook=11_02.xlsx&amp;sheet=A0&amp;row=169&amp;col=7&amp;number=0&amp;sourceID=14","0")</f>
        <v>0</v>
      </c>
    </row>
    <row r="170" spans="1:7">
      <c r="A170" s="3">
        <v>11</v>
      </c>
      <c r="B170" s="3">
        <v>2</v>
      </c>
      <c r="C170" s="3">
        <v>8</v>
      </c>
      <c r="D170" s="3">
        <v>6</v>
      </c>
      <c r="E170" s="3">
        <v>65.318</v>
      </c>
      <c r="F170" s="4" t="str">
        <f>HYPERLINK("http://141.218.60.56/~jnz1568/getInfo.php?workbook=11_02.xlsx&amp;sheet=A0&amp;row=170&amp;col=6&amp;number=10.97&amp;sourceID=14","10.97")</f>
        <v>10.97</v>
      </c>
      <c r="G170" s="4" t="str">
        <f>HYPERLINK("http://141.218.60.56/~jnz1568/getInfo.php?workbook=11_02.xlsx&amp;sheet=A0&amp;row=170&amp;col=7&amp;number=0&amp;sourceID=14","0")</f>
        <v>0</v>
      </c>
    </row>
    <row r="171" spans="1:7">
      <c r="A171" s="3">
        <v>11</v>
      </c>
      <c r="B171" s="3">
        <v>2</v>
      </c>
      <c r="C171" s="3">
        <v>10</v>
      </c>
      <c r="D171" s="3">
        <v>6</v>
      </c>
      <c r="E171" s="3">
        <v>64.31</v>
      </c>
      <c r="F171" s="4" t="str">
        <f>HYPERLINK("http://141.218.60.56/~jnz1568/getInfo.php?workbook=11_02.xlsx&amp;sheet=A0&amp;row=171&amp;col=6&amp;number=258900000&amp;sourceID=14","258900000")</f>
        <v>258900000</v>
      </c>
      <c r="G171" s="4" t="str">
        <f>HYPERLINK("http://141.218.60.56/~jnz1568/getInfo.php?workbook=11_02.xlsx&amp;sheet=A0&amp;row=171&amp;col=7&amp;number=0&amp;sourceID=14","0")</f>
        <v>0</v>
      </c>
    </row>
    <row r="172" spans="1:7">
      <c r="A172" s="3">
        <v>11</v>
      </c>
      <c r="B172" s="3">
        <v>2</v>
      </c>
      <c r="C172" s="3">
        <v>11</v>
      </c>
      <c r="D172" s="3">
        <v>6</v>
      </c>
      <c r="E172" s="3">
        <v>64.281</v>
      </c>
      <c r="F172" s="4" t="str">
        <f>HYPERLINK("http://141.218.60.56/~jnz1568/getInfo.php?workbook=11_02.xlsx&amp;sheet=A0&amp;row=172&amp;col=6&amp;number=2512&amp;sourceID=14","2512")</f>
        <v>2512</v>
      </c>
      <c r="G172" s="4" t="str">
        <f>HYPERLINK("http://141.218.60.56/~jnz1568/getInfo.php?workbook=11_02.xlsx&amp;sheet=A0&amp;row=172&amp;col=7&amp;number=0&amp;sourceID=14","0")</f>
        <v>0</v>
      </c>
    </row>
    <row r="173" spans="1:7">
      <c r="A173" s="3">
        <v>11</v>
      </c>
      <c r="B173" s="3">
        <v>2</v>
      </c>
      <c r="C173" s="3">
        <v>14</v>
      </c>
      <c r="D173" s="3">
        <v>6</v>
      </c>
      <c r="E173" s="3">
        <v>63.748</v>
      </c>
      <c r="F173" s="4" t="str">
        <f>HYPERLINK("http://141.218.60.56/~jnz1568/getInfo.php?workbook=11_02.xlsx&amp;sheet=A0&amp;row=173&amp;col=6&amp;number=3046000&amp;sourceID=14","3046000")</f>
        <v>3046000</v>
      </c>
      <c r="G173" s="4" t="str">
        <f>HYPERLINK("http://141.218.60.56/~jnz1568/getInfo.php?workbook=11_02.xlsx&amp;sheet=A0&amp;row=173&amp;col=7&amp;number=0&amp;sourceID=14","0")</f>
        <v>0</v>
      </c>
    </row>
    <row r="174" spans="1:7">
      <c r="A174" s="3">
        <v>11</v>
      </c>
      <c r="B174" s="3">
        <v>2</v>
      </c>
      <c r="C174" s="3">
        <v>16</v>
      </c>
      <c r="D174" s="3">
        <v>6</v>
      </c>
      <c r="E174" s="3">
        <v>63.715</v>
      </c>
      <c r="F174" s="4" t="str">
        <f>HYPERLINK("http://141.218.60.56/~jnz1568/getInfo.php?workbook=11_02.xlsx&amp;sheet=A0&amp;row=174&amp;col=6&amp;number=52200000&amp;sourceID=14","52200000")</f>
        <v>52200000</v>
      </c>
      <c r="G174" s="4" t="str">
        <f>HYPERLINK("http://141.218.60.56/~jnz1568/getInfo.php?workbook=11_02.xlsx&amp;sheet=A0&amp;row=174&amp;col=7&amp;number=0&amp;sourceID=14","0")</f>
        <v>0</v>
      </c>
    </row>
    <row r="175" spans="1:7">
      <c r="A175" s="3">
        <v>11</v>
      </c>
      <c r="B175" s="3">
        <v>2</v>
      </c>
      <c r="C175" s="3">
        <v>17</v>
      </c>
      <c r="D175" s="3">
        <v>6</v>
      </c>
      <c r="E175" s="3">
        <v>63.569</v>
      </c>
      <c r="F175" s="4" t="str">
        <f>HYPERLINK("http://141.218.60.56/~jnz1568/getInfo.php?workbook=11_02.xlsx&amp;sheet=A0&amp;row=175&amp;col=6&amp;number=221000000000&amp;sourceID=14","221000000000")</f>
        <v>221000000000</v>
      </c>
      <c r="G175" s="4" t="str">
        <f>HYPERLINK("http://141.218.60.56/~jnz1568/getInfo.php?workbook=11_02.xlsx&amp;sheet=A0&amp;row=175&amp;col=7&amp;number=0&amp;sourceID=14","0")</f>
        <v>0</v>
      </c>
    </row>
    <row r="176" spans="1:7">
      <c r="A176" s="3">
        <v>11</v>
      </c>
      <c r="B176" s="3">
        <v>2</v>
      </c>
      <c r="C176" s="3">
        <v>18</v>
      </c>
      <c r="D176" s="3">
        <v>6</v>
      </c>
      <c r="E176" s="3">
        <v>47.914</v>
      </c>
      <c r="F176" s="4" t="str">
        <f>HYPERLINK("http://141.218.60.56/~jnz1568/getInfo.php?workbook=11_02.xlsx&amp;sheet=A0&amp;row=176&amp;col=6&amp;number=7.82&amp;sourceID=14","7.82")</f>
        <v>7.82</v>
      </c>
      <c r="G176" s="4" t="str">
        <f>HYPERLINK("http://141.218.60.56/~jnz1568/getInfo.php?workbook=11_02.xlsx&amp;sheet=A0&amp;row=176&amp;col=7&amp;number=0&amp;sourceID=14","0")</f>
        <v>0</v>
      </c>
    </row>
    <row r="177" spans="1:7">
      <c r="A177" s="3">
        <v>11</v>
      </c>
      <c r="B177" s="3">
        <v>2</v>
      </c>
      <c r="C177" s="3">
        <v>20</v>
      </c>
      <c r="D177" s="3">
        <v>6</v>
      </c>
      <c r="E177" s="3">
        <v>47.688</v>
      </c>
      <c r="F177" s="4" t="str">
        <f>HYPERLINK("http://141.218.60.56/~jnz1568/getInfo.php?workbook=11_02.xlsx&amp;sheet=A0&amp;row=177&amp;col=6&amp;number=121800000&amp;sourceID=14","121800000")</f>
        <v>121800000</v>
      </c>
      <c r="G177" s="4" t="str">
        <f>HYPERLINK("http://141.218.60.56/~jnz1568/getInfo.php?workbook=11_02.xlsx&amp;sheet=A0&amp;row=177&amp;col=7&amp;number=0&amp;sourceID=14","0")</f>
        <v>0</v>
      </c>
    </row>
    <row r="178" spans="1:7">
      <c r="A178" s="3">
        <v>11</v>
      </c>
      <c r="B178" s="3">
        <v>2</v>
      </c>
      <c r="C178" s="3">
        <v>21</v>
      </c>
      <c r="D178" s="3">
        <v>6</v>
      </c>
      <c r="E178" s="3">
        <v>47.681</v>
      </c>
      <c r="F178" s="4" t="str">
        <f>HYPERLINK("http://141.218.60.56/~jnz1568/getInfo.php?workbook=11_02.xlsx&amp;sheet=A0&amp;row=178&amp;col=6&amp;number=2040&amp;sourceID=14","2040")</f>
        <v>2040</v>
      </c>
      <c r="G178" s="4" t="str">
        <f>HYPERLINK("http://141.218.60.56/~jnz1568/getInfo.php?workbook=11_02.xlsx&amp;sheet=A0&amp;row=178&amp;col=7&amp;number=0&amp;sourceID=14","0")</f>
        <v>0</v>
      </c>
    </row>
    <row r="179" spans="1:7">
      <c r="A179" s="3">
        <v>11</v>
      </c>
      <c r="B179" s="3">
        <v>2</v>
      </c>
      <c r="C179" s="3">
        <v>24</v>
      </c>
      <c r="D179" s="3">
        <v>6</v>
      </c>
      <c r="E179" s="3">
        <v>47.559</v>
      </c>
      <c r="F179" s="4" t="str">
        <f>HYPERLINK("http://141.218.60.56/~jnz1568/getInfo.php?workbook=11_02.xlsx&amp;sheet=A0&amp;row=179&amp;col=6&amp;number=271200&amp;sourceID=14","271200")</f>
        <v>271200</v>
      </c>
      <c r="G179" s="4" t="str">
        <f>HYPERLINK("http://141.218.60.56/~jnz1568/getInfo.php?workbook=11_02.xlsx&amp;sheet=A0&amp;row=179&amp;col=7&amp;number=0&amp;sourceID=14","0")</f>
        <v>0</v>
      </c>
    </row>
    <row r="180" spans="1:7">
      <c r="A180" s="3">
        <v>11</v>
      </c>
      <c r="B180" s="3">
        <v>2</v>
      </c>
      <c r="C180" s="3">
        <v>30</v>
      </c>
      <c r="D180" s="3">
        <v>6</v>
      </c>
      <c r="E180" s="3">
        <v>47.55</v>
      </c>
      <c r="F180" s="4" t="str">
        <f>HYPERLINK("http://141.218.60.56/~jnz1568/getInfo.php?workbook=11_02.xlsx&amp;sheet=A0&amp;row=180&amp;col=6&amp;number=7204000&amp;sourceID=14","7204000")</f>
        <v>7204000</v>
      </c>
      <c r="G180" s="4" t="str">
        <f>HYPERLINK("http://141.218.60.56/~jnz1568/getInfo.php?workbook=11_02.xlsx&amp;sheet=A0&amp;row=180&amp;col=7&amp;number=0&amp;sourceID=14","0")</f>
        <v>0</v>
      </c>
    </row>
    <row r="181" spans="1:7">
      <c r="A181" s="3">
        <v>11</v>
      </c>
      <c r="B181" s="3">
        <v>2</v>
      </c>
      <c r="C181" s="3">
        <v>31</v>
      </c>
      <c r="D181" s="3">
        <v>6</v>
      </c>
      <c r="E181" s="3">
        <v>47.519</v>
      </c>
      <c r="F181" s="4" t="str">
        <f>HYPERLINK("http://141.218.60.56/~jnz1568/getInfo.php?workbook=11_02.xlsx&amp;sheet=A0&amp;row=181&amp;col=6&amp;number=105300000000&amp;sourceID=14","105300000000")</f>
        <v>105300000000</v>
      </c>
      <c r="G181" s="4" t="str">
        <f>HYPERLINK("http://141.218.60.56/~jnz1568/getInfo.php?workbook=11_02.xlsx&amp;sheet=A0&amp;row=181&amp;col=7&amp;number=0&amp;sourceID=14","0")</f>
        <v>0</v>
      </c>
    </row>
    <row r="182" spans="1:7">
      <c r="A182" s="3">
        <v>11</v>
      </c>
      <c r="B182" s="3">
        <v>2</v>
      </c>
      <c r="C182" s="3">
        <v>32</v>
      </c>
      <c r="D182" s="3">
        <v>6</v>
      </c>
      <c r="E182" s="3">
        <v>42.7</v>
      </c>
      <c r="F182" s="4" t="str">
        <f>HYPERLINK("http://141.218.60.56/~jnz1568/getInfo.php?workbook=11_02.xlsx&amp;sheet=A0&amp;row=182&amp;col=6&amp;number=1.507&amp;sourceID=14","1.507")</f>
        <v>1.507</v>
      </c>
      <c r="G182" s="4" t="str">
        <f>HYPERLINK("http://141.218.60.56/~jnz1568/getInfo.php?workbook=11_02.xlsx&amp;sheet=A0&amp;row=182&amp;col=7&amp;number=0&amp;sourceID=14","0")</f>
        <v>0</v>
      </c>
    </row>
    <row r="183" spans="1:7">
      <c r="A183" s="3">
        <v>11</v>
      </c>
      <c r="B183" s="3">
        <v>2</v>
      </c>
      <c r="C183" s="3">
        <v>34</v>
      </c>
      <c r="D183" s="3">
        <v>6</v>
      </c>
      <c r="E183" s="3">
        <v>42.609</v>
      </c>
      <c r="F183" s="4" t="str">
        <f>HYPERLINK("http://141.218.60.56/~jnz1568/getInfo.php?workbook=11_02.xlsx&amp;sheet=A0&amp;row=183&amp;col=6&amp;number=74520000&amp;sourceID=14","74520000")</f>
        <v>74520000</v>
      </c>
      <c r="G183" s="4" t="str">
        <f>HYPERLINK("http://141.218.60.56/~jnz1568/getInfo.php?workbook=11_02.xlsx&amp;sheet=A0&amp;row=183&amp;col=7&amp;number=0&amp;sourceID=14","0")</f>
        <v>0</v>
      </c>
    </row>
    <row r="184" spans="1:7">
      <c r="A184" s="3">
        <v>11</v>
      </c>
      <c r="B184" s="3">
        <v>2</v>
      </c>
      <c r="C184" s="3">
        <v>35</v>
      </c>
      <c r="D184" s="3">
        <v>6</v>
      </c>
      <c r="E184" s="3">
        <v>42.607</v>
      </c>
      <c r="F184" s="4" t="str">
        <f>HYPERLINK("http://141.218.60.56/~jnz1568/getInfo.php?workbook=11_02.xlsx&amp;sheet=A0&amp;row=184&amp;col=6&amp;number=1522&amp;sourceID=14","1522")</f>
        <v>1522</v>
      </c>
      <c r="G184" s="4" t="str">
        <f>HYPERLINK("http://141.218.60.56/~jnz1568/getInfo.php?workbook=11_02.xlsx&amp;sheet=A0&amp;row=184&amp;col=7&amp;number=0&amp;sourceID=14","0")</f>
        <v>0</v>
      </c>
    </row>
    <row r="185" spans="1:7">
      <c r="A185" s="3">
        <v>11</v>
      </c>
      <c r="B185" s="3">
        <v>2</v>
      </c>
      <c r="C185" s="3">
        <v>38</v>
      </c>
      <c r="D185" s="3">
        <v>6</v>
      </c>
      <c r="E185" s="3">
        <v>42.557</v>
      </c>
      <c r="F185" s="4" t="str">
        <f>HYPERLINK("http://141.218.60.56/~jnz1568/getInfo.php?workbook=11_02.xlsx&amp;sheet=A0&amp;row=185&amp;col=6&amp;number=245400&amp;sourceID=14","245400")</f>
        <v>245400</v>
      </c>
      <c r="G185" s="4" t="str">
        <f>HYPERLINK("http://141.218.60.56/~jnz1568/getInfo.php?workbook=11_02.xlsx&amp;sheet=A0&amp;row=185&amp;col=7&amp;number=0&amp;sourceID=14","0")</f>
        <v>0</v>
      </c>
    </row>
    <row r="186" spans="1:7">
      <c r="A186" s="3">
        <v>11</v>
      </c>
      <c r="B186" s="3">
        <v>2</v>
      </c>
      <c r="C186" s="3">
        <v>46</v>
      </c>
      <c r="D186" s="3">
        <v>6</v>
      </c>
      <c r="E186" s="3">
        <v>42.553</v>
      </c>
      <c r="F186" s="4" t="str">
        <f>HYPERLINK("http://141.218.60.56/~jnz1568/getInfo.php?workbook=11_02.xlsx&amp;sheet=A0&amp;row=186&amp;col=6&amp;number=7672000&amp;sourceID=14","7672000")</f>
        <v>7672000</v>
      </c>
      <c r="G186" s="4" t="str">
        <f>HYPERLINK("http://141.218.60.56/~jnz1568/getInfo.php?workbook=11_02.xlsx&amp;sheet=A0&amp;row=186&amp;col=7&amp;number=0&amp;sourceID=14","0")</f>
        <v>0</v>
      </c>
    </row>
    <row r="187" spans="1:7">
      <c r="A187" s="3">
        <v>11</v>
      </c>
      <c r="B187" s="3">
        <v>2</v>
      </c>
      <c r="C187" s="3">
        <v>49</v>
      </c>
      <c r="D187" s="3">
        <v>6</v>
      </c>
      <c r="E187" s="3">
        <v>42.541</v>
      </c>
      <c r="F187" s="4" t="str">
        <f>HYPERLINK("http://141.218.60.56/~jnz1568/getInfo.php?workbook=11_02.xlsx&amp;sheet=A0&amp;row=187&amp;col=6&amp;number=66990000000&amp;sourceID=14","66990000000")</f>
        <v>66990000000</v>
      </c>
      <c r="G187" s="4" t="str">
        <f>HYPERLINK("http://141.218.60.56/~jnz1568/getInfo.php?workbook=11_02.xlsx&amp;sheet=A0&amp;row=187&amp;col=7&amp;number=0&amp;sourceID=14","0")</f>
        <v>0</v>
      </c>
    </row>
    <row r="188" spans="1:7">
      <c r="A188" s="3">
        <v>11</v>
      </c>
      <c r="B188" s="3">
        <v>2</v>
      </c>
      <c r="C188" s="3">
        <v>8</v>
      </c>
      <c r="D188" s="3">
        <v>7</v>
      </c>
      <c r="E188" s="3">
        <v>68.016</v>
      </c>
      <c r="F188" s="4" t="str">
        <f>HYPERLINK("http://141.218.60.56/~jnz1568/getInfo.php?workbook=11_02.xlsx&amp;sheet=A0&amp;row=188&amp;col=6&amp;number=30930000&amp;sourceID=14","30930000")</f>
        <v>30930000</v>
      </c>
      <c r="G188" s="4" t="str">
        <f>HYPERLINK("http://141.218.60.56/~jnz1568/getInfo.php?workbook=11_02.xlsx&amp;sheet=A0&amp;row=188&amp;col=7&amp;number=0&amp;sourceID=14","0")</f>
        <v>0</v>
      </c>
    </row>
    <row r="189" spans="1:7">
      <c r="A189" s="3">
        <v>11</v>
      </c>
      <c r="B189" s="3">
        <v>2</v>
      </c>
      <c r="C189" s="3">
        <v>9</v>
      </c>
      <c r="D189" s="3">
        <v>7</v>
      </c>
      <c r="E189" s="3">
        <v>66.931</v>
      </c>
      <c r="F189" s="4" t="str">
        <f>HYPERLINK("http://141.218.60.56/~jnz1568/getInfo.php?workbook=11_02.xlsx&amp;sheet=A0&amp;row=189&amp;col=6&amp;number=149.4&amp;sourceID=14","149.4")</f>
        <v>149.4</v>
      </c>
      <c r="G189" s="4" t="str">
        <f>HYPERLINK("http://141.218.60.56/~jnz1568/getInfo.php?workbook=11_02.xlsx&amp;sheet=A0&amp;row=189&amp;col=7&amp;number=0&amp;sourceID=14","0")</f>
        <v>0</v>
      </c>
    </row>
    <row r="190" spans="1:7">
      <c r="A190" s="3">
        <v>11</v>
      </c>
      <c r="B190" s="3">
        <v>2</v>
      </c>
      <c r="C190" s="3">
        <v>10</v>
      </c>
      <c r="D190" s="3">
        <v>7</v>
      </c>
      <c r="E190" s="3">
        <v>66.924</v>
      </c>
      <c r="F190" s="4" t="str">
        <f>HYPERLINK("http://141.218.60.56/~jnz1568/getInfo.php?workbook=11_02.xlsx&amp;sheet=A0&amp;row=190&amp;col=6&amp;number=56470&amp;sourceID=14","56470")</f>
        <v>56470</v>
      </c>
      <c r="G190" s="4" t="str">
        <f>HYPERLINK("http://141.218.60.56/~jnz1568/getInfo.php?workbook=11_02.xlsx&amp;sheet=A0&amp;row=190&amp;col=7&amp;number=0&amp;sourceID=14","0")</f>
        <v>0</v>
      </c>
    </row>
    <row r="191" spans="1:7">
      <c r="A191" s="3">
        <v>11</v>
      </c>
      <c r="B191" s="3">
        <v>2</v>
      </c>
      <c r="C191" s="3">
        <v>11</v>
      </c>
      <c r="D191" s="3">
        <v>7</v>
      </c>
      <c r="E191" s="3">
        <v>66.892</v>
      </c>
      <c r="F191" s="4" t="str">
        <f>HYPERLINK("http://141.218.60.56/~jnz1568/getInfo.php?workbook=11_02.xlsx&amp;sheet=A0&amp;row=191&amp;col=6&amp;number=10230&amp;sourceID=14","10230")</f>
        <v>10230</v>
      </c>
      <c r="G191" s="4" t="str">
        <f>HYPERLINK("http://141.218.60.56/~jnz1568/getInfo.php?workbook=11_02.xlsx&amp;sheet=A0&amp;row=191&amp;col=7&amp;number=0&amp;sourceID=14","0")</f>
        <v>0</v>
      </c>
    </row>
    <row r="192" spans="1:7">
      <c r="A192" s="3">
        <v>11</v>
      </c>
      <c r="B192" s="3">
        <v>2</v>
      </c>
      <c r="C192" s="3">
        <v>12</v>
      </c>
      <c r="D192" s="3">
        <v>7</v>
      </c>
      <c r="E192" s="3">
        <v>66.902</v>
      </c>
      <c r="F192" s="4" t="str">
        <f>HYPERLINK("http://141.218.60.56/~jnz1568/getInfo.php?workbook=11_02.xlsx&amp;sheet=A0&amp;row=192&amp;col=6&amp;number=84300000000&amp;sourceID=14","84300000000")</f>
        <v>84300000000</v>
      </c>
      <c r="G192" s="4" t="str">
        <f>HYPERLINK("http://141.218.60.56/~jnz1568/getInfo.php?workbook=11_02.xlsx&amp;sheet=A0&amp;row=192&amp;col=7&amp;number=0&amp;sourceID=14","0")</f>
        <v>0</v>
      </c>
    </row>
    <row r="193" spans="1:7">
      <c r="A193" s="3">
        <v>11</v>
      </c>
      <c r="B193" s="3">
        <v>2</v>
      </c>
      <c r="C193" s="3">
        <v>13</v>
      </c>
      <c r="D193" s="3">
        <v>7</v>
      </c>
      <c r="E193" s="3">
        <v>66.316</v>
      </c>
      <c r="F193" s="4" t="str">
        <f>HYPERLINK("http://141.218.60.56/~jnz1568/getInfo.php?workbook=11_02.xlsx&amp;sheet=A0&amp;row=193&amp;col=6&amp;number=254800000&amp;sourceID=14","254800000")</f>
        <v>254800000</v>
      </c>
      <c r="G193" s="4" t="str">
        <f>HYPERLINK("http://141.218.60.56/~jnz1568/getInfo.php?workbook=11_02.xlsx&amp;sheet=A0&amp;row=193&amp;col=7&amp;number=0&amp;sourceID=14","0")</f>
        <v>0</v>
      </c>
    </row>
    <row r="194" spans="1:7">
      <c r="A194" s="3">
        <v>11</v>
      </c>
      <c r="B194" s="3">
        <v>2</v>
      </c>
      <c r="C194" s="3">
        <v>14</v>
      </c>
      <c r="D194" s="3">
        <v>7</v>
      </c>
      <c r="E194" s="3">
        <v>66.315</v>
      </c>
      <c r="F194" s="4" t="str">
        <f>HYPERLINK("http://141.218.60.56/~jnz1568/getInfo.php?workbook=11_02.xlsx&amp;sheet=A0&amp;row=194&amp;col=6&amp;number=27920000000&amp;sourceID=14","27920000000")</f>
        <v>27920000000</v>
      </c>
      <c r="G194" s="4" t="str">
        <f>HYPERLINK("http://141.218.60.56/~jnz1568/getInfo.php?workbook=11_02.xlsx&amp;sheet=A0&amp;row=194&amp;col=7&amp;number=0&amp;sourceID=14","0")</f>
        <v>0</v>
      </c>
    </row>
    <row r="195" spans="1:7">
      <c r="A195" s="3">
        <v>11</v>
      </c>
      <c r="B195" s="3">
        <v>2</v>
      </c>
      <c r="C195" s="3">
        <v>15</v>
      </c>
      <c r="D195" s="3">
        <v>7</v>
      </c>
      <c r="E195" s="3">
        <v>66.303</v>
      </c>
      <c r="F195" s="4" t="str">
        <f>HYPERLINK("http://141.218.60.56/~jnz1568/getInfo.php?workbook=11_02.xlsx&amp;sheet=A0&amp;row=195&amp;col=6&amp;number=6298&amp;sourceID=14","6298")</f>
        <v>6298</v>
      </c>
      <c r="G195" s="4" t="str">
        <f>HYPERLINK("http://141.218.60.56/~jnz1568/getInfo.php?workbook=11_02.xlsx&amp;sheet=A0&amp;row=195&amp;col=7&amp;number=0&amp;sourceID=14","0")</f>
        <v>0</v>
      </c>
    </row>
    <row r="196" spans="1:7">
      <c r="A196" s="3">
        <v>11</v>
      </c>
      <c r="B196" s="3">
        <v>2</v>
      </c>
      <c r="C196" s="3">
        <v>16</v>
      </c>
      <c r="D196" s="3">
        <v>7</v>
      </c>
      <c r="E196" s="3">
        <v>66.279</v>
      </c>
      <c r="F196" s="4" t="str">
        <f>HYPERLINK("http://141.218.60.56/~jnz1568/getInfo.php?workbook=11_02.xlsx&amp;sheet=A0&amp;row=196&amp;col=6&amp;number=611900000000&amp;sourceID=14","611900000000")</f>
        <v>611900000000</v>
      </c>
      <c r="G196" s="4" t="str">
        <f>HYPERLINK("http://141.218.60.56/~jnz1568/getInfo.php?workbook=11_02.xlsx&amp;sheet=A0&amp;row=196&amp;col=7&amp;number=0&amp;sourceID=14","0")</f>
        <v>0</v>
      </c>
    </row>
    <row r="197" spans="1:7">
      <c r="A197" s="3">
        <v>11</v>
      </c>
      <c r="B197" s="3">
        <v>2</v>
      </c>
      <c r="C197" s="3">
        <v>17</v>
      </c>
      <c r="D197" s="3">
        <v>7</v>
      </c>
      <c r="E197" s="3">
        <v>66.121</v>
      </c>
      <c r="F197" s="4" t="str">
        <f>HYPERLINK("http://141.218.60.56/~jnz1568/getInfo.php?workbook=11_02.xlsx&amp;sheet=A0&amp;row=197&amp;col=6&amp;number=24040000&amp;sourceID=14","24040000")</f>
        <v>24040000</v>
      </c>
      <c r="G197" s="4" t="str">
        <f>HYPERLINK("http://141.218.60.56/~jnz1568/getInfo.php?workbook=11_02.xlsx&amp;sheet=A0&amp;row=197&amp;col=7&amp;number=0&amp;sourceID=14","0")</f>
        <v>0</v>
      </c>
    </row>
    <row r="198" spans="1:7">
      <c r="A198" s="3">
        <v>11</v>
      </c>
      <c r="B198" s="3">
        <v>2</v>
      </c>
      <c r="C198" s="3">
        <v>18</v>
      </c>
      <c r="D198" s="3">
        <v>7</v>
      </c>
      <c r="E198" s="3">
        <v>49.349</v>
      </c>
      <c r="F198" s="4" t="str">
        <f>HYPERLINK("http://141.218.60.56/~jnz1568/getInfo.php?workbook=11_02.xlsx&amp;sheet=A0&amp;row=198&amp;col=6&amp;number=11560000&amp;sourceID=14","11560000")</f>
        <v>11560000</v>
      </c>
      <c r="G198" s="4" t="str">
        <f>HYPERLINK("http://141.218.60.56/~jnz1568/getInfo.php?workbook=11_02.xlsx&amp;sheet=A0&amp;row=198&amp;col=7&amp;number=0&amp;sourceID=14","0")</f>
        <v>0</v>
      </c>
    </row>
    <row r="199" spans="1:7">
      <c r="A199" s="3">
        <v>11</v>
      </c>
      <c r="B199" s="3">
        <v>2</v>
      </c>
      <c r="C199" s="3">
        <v>19</v>
      </c>
      <c r="D199" s="3">
        <v>7</v>
      </c>
      <c r="E199" s="3">
        <v>49.112</v>
      </c>
      <c r="F199" s="4" t="str">
        <f>HYPERLINK("http://141.218.60.56/~jnz1568/getInfo.php?workbook=11_02.xlsx&amp;sheet=A0&amp;row=199&amp;col=6&amp;number=85.69&amp;sourceID=14","85.69")</f>
        <v>85.69</v>
      </c>
      <c r="G199" s="4" t="str">
        <f>HYPERLINK("http://141.218.60.56/~jnz1568/getInfo.php?workbook=11_02.xlsx&amp;sheet=A0&amp;row=199&amp;col=7&amp;number=0&amp;sourceID=14","0")</f>
        <v>0</v>
      </c>
    </row>
    <row r="200" spans="1:7">
      <c r="A200" s="3">
        <v>11</v>
      </c>
      <c r="B200" s="3">
        <v>2</v>
      </c>
      <c r="C200" s="3">
        <v>20</v>
      </c>
      <c r="D200" s="3">
        <v>7</v>
      </c>
      <c r="E200" s="3">
        <v>49.11</v>
      </c>
      <c r="F200" s="4" t="str">
        <f>HYPERLINK("http://141.218.60.56/~jnz1568/getInfo.php?workbook=11_02.xlsx&amp;sheet=A0&amp;row=200&amp;col=6&amp;number=27110&amp;sourceID=14","27110")</f>
        <v>27110</v>
      </c>
      <c r="G200" s="4" t="str">
        <f>HYPERLINK("http://141.218.60.56/~jnz1568/getInfo.php?workbook=11_02.xlsx&amp;sheet=A0&amp;row=200&amp;col=7&amp;number=0&amp;sourceID=14","0")</f>
        <v>0</v>
      </c>
    </row>
    <row r="201" spans="1:7">
      <c r="A201" s="3">
        <v>11</v>
      </c>
      <c r="B201" s="3">
        <v>2</v>
      </c>
      <c r="C201" s="3">
        <v>21</v>
      </c>
      <c r="D201" s="3">
        <v>7</v>
      </c>
      <c r="E201" s="3">
        <v>49.103</v>
      </c>
      <c r="F201" s="4" t="str">
        <f>HYPERLINK("http://141.218.60.56/~jnz1568/getInfo.php?workbook=11_02.xlsx&amp;sheet=A0&amp;row=201&amp;col=6&amp;number=4060&amp;sourceID=14","4060")</f>
        <v>4060</v>
      </c>
      <c r="G201" s="4" t="str">
        <f>HYPERLINK("http://141.218.60.56/~jnz1568/getInfo.php?workbook=11_02.xlsx&amp;sheet=A0&amp;row=201&amp;col=7&amp;number=0&amp;sourceID=14","0")</f>
        <v>0</v>
      </c>
    </row>
    <row r="202" spans="1:7">
      <c r="A202" s="3">
        <v>11</v>
      </c>
      <c r="B202" s="3">
        <v>2</v>
      </c>
      <c r="C202" s="3">
        <v>22</v>
      </c>
      <c r="D202" s="3">
        <v>7</v>
      </c>
      <c r="E202" s="3">
        <v>49.109</v>
      </c>
      <c r="F202" s="4" t="str">
        <f>HYPERLINK("http://141.218.60.56/~jnz1568/getInfo.php?workbook=11_02.xlsx&amp;sheet=A0&amp;row=202&amp;col=6&amp;number=41830000000&amp;sourceID=14","41830000000")</f>
        <v>41830000000</v>
      </c>
      <c r="G202" s="4" t="str">
        <f>HYPERLINK("http://141.218.60.56/~jnz1568/getInfo.php?workbook=11_02.xlsx&amp;sheet=A0&amp;row=202&amp;col=7&amp;number=0&amp;sourceID=14","0")</f>
        <v>0</v>
      </c>
    </row>
    <row r="203" spans="1:7">
      <c r="A203" s="3">
        <v>11</v>
      </c>
      <c r="B203" s="3">
        <v>2</v>
      </c>
      <c r="C203" s="3">
        <v>23</v>
      </c>
      <c r="D203" s="3">
        <v>7</v>
      </c>
      <c r="E203" s="3">
        <v>48.973</v>
      </c>
      <c r="F203" s="4" t="str">
        <f>HYPERLINK("http://141.218.60.56/~jnz1568/getInfo.php?workbook=11_02.xlsx&amp;sheet=A0&amp;row=203&amp;col=6&amp;number=79930000&amp;sourceID=14","79930000")</f>
        <v>79930000</v>
      </c>
      <c r="G203" s="4" t="str">
        <f>HYPERLINK("http://141.218.60.56/~jnz1568/getInfo.php?workbook=11_02.xlsx&amp;sheet=A0&amp;row=203&amp;col=7&amp;number=0&amp;sourceID=14","0")</f>
        <v>0</v>
      </c>
    </row>
    <row r="204" spans="1:7">
      <c r="A204" s="3">
        <v>11</v>
      </c>
      <c r="B204" s="3">
        <v>2</v>
      </c>
      <c r="C204" s="3">
        <v>24</v>
      </c>
      <c r="D204" s="3">
        <v>7</v>
      </c>
      <c r="E204" s="3">
        <v>48.973</v>
      </c>
      <c r="F204" s="4" t="str">
        <f>HYPERLINK("http://141.218.60.56/~jnz1568/getInfo.php?workbook=11_02.xlsx&amp;sheet=A0&amp;row=204&amp;col=6&amp;number=5616000000&amp;sourceID=14","5616000000")</f>
        <v>5616000000</v>
      </c>
      <c r="G204" s="4" t="str">
        <f>HYPERLINK("http://141.218.60.56/~jnz1568/getInfo.php?workbook=11_02.xlsx&amp;sheet=A0&amp;row=204&amp;col=7&amp;number=0&amp;sourceID=14","0")</f>
        <v>0</v>
      </c>
    </row>
    <row r="205" spans="1:7">
      <c r="A205" s="3">
        <v>11</v>
      </c>
      <c r="B205" s="3">
        <v>2</v>
      </c>
      <c r="C205" s="3">
        <v>25</v>
      </c>
      <c r="D205" s="3">
        <v>7</v>
      </c>
      <c r="E205" s="3">
        <v>48.973</v>
      </c>
      <c r="F205" s="4" t="str">
        <f>HYPERLINK("http://141.218.60.56/~jnz1568/getInfo.php?workbook=11_02.xlsx&amp;sheet=A0&amp;row=205&amp;col=6&amp;number=3694&amp;sourceID=14","3694")</f>
        <v>3694</v>
      </c>
      <c r="G205" s="4" t="str">
        <f>HYPERLINK("http://141.218.60.56/~jnz1568/getInfo.php?workbook=11_02.xlsx&amp;sheet=A0&amp;row=205&amp;col=7&amp;number=0&amp;sourceID=14","0")</f>
        <v>0</v>
      </c>
    </row>
    <row r="206" spans="1:7">
      <c r="A206" s="3">
        <v>11</v>
      </c>
      <c r="B206" s="3">
        <v>2</v>
      </c>
      <c r="C206" s="3">
        <v>26</v>
      </c>
      <c r="D206" s="3">
        <v>7</v>
      </c>
      <c r="E206" s="3">
        <v>48.963</v>
      </c>
      <c r="F206" s="4" t="str">
        <f>HYPERLINK("http://141.218.60.56/~jnz1568/getInfo.php?workbook=11_02.xlsx&amp;sheet=A0&amp;row=206&amp;col=6&amp;number=27710&amp;sourceID=14","27710")</f>
        <v>27710</v>
      </c>
      <c r="G206" s="4" t="str">
        <f>HYPERLINK("http://141.218.60.56/~jnz1568/getInfo.php?workbook=11_02.xlsx&amp;sheet=A0&amp;row=206&amp;col=7&amp;number=0&amp;sourceID=14","0")</f>
        <v>0</v>
      </c>
    </row>
    <row r="207" spans="1:7">
      <c r="A207" s="3">
        <v>11</v>
      </c>
      <c r="B207" s="3">
        <v>2</v>
      </c>
      <c r="C207" s="3">
        <v>27</v>
      </c>
      <c r="D207" s="3">
        <v>7</v>
      </c>
      <c r="E207" s="3">
        <v>48.963</v>
      </c>
      <c r="F207" s="4" t="str">
        <f>HYPERLINK("http://141.218.60.56/~jnz1568/getInfo.php?workbook=11_02.xlsx&amp;sheet=A0&amp;row=207&amp;col=6&amp;number=23420000&amp;sourceID=14","23420000")</f>
        <v>23420000</v>
      </c>
      <c r="G207" s="4" t="str">
        <f>HYPERLINK("http://141.218.60.56/~jnz1568/getInfo.php?workbook=11_02.xlsx&amp;sheet=A0&amp;row=207&amp;col=7&amp;number=0&amp;sourceID=14","0")</f>
        <v>0</v>
      </c>
    </row>
    <row r="208" spans="1:7">
      <c r="A208" s="3">
        <v>11</v>
      </c>
      <c r="B208" s="3">
        <v>2</v>
      </c>
      <c r="C208" s="3">
        <v>29</v>
      </c>
      <c r="D208" s="3">
        <v>7</v>
      </c>
      <c r="E208" s="3">
        <v>48.963</v>
      </c>
      <c r="F208" s="4" t="str">
        <f>HYPERLINK("http://141.218.60.56/~jnz1568/getInfo.php?workbook=11_02.xlsx&amp;sheet=A0&amp;row=208&amp;col=6&amp;number=36950000&amp;sourceID=14","36950000")</f>
        <v>36950000</v>
      </c>
      <c r="G208" s="4" t="str">
        <f>HYPERLINK("http://141.218.60.56/~jnz1568/getInfo.php?workbook=11_02.xlsx&amp;sheet=A0&amp;row=208&amp;col=7&amp;number=0&amp;sourceID=14","0")</f>
        <v>0</v>
      </c>
    </row>
    <row r="209" spans="1:7">
      <c r="A209" s="3">
        <v>11</v>
      </c>
      <c r="B209" s="3">
        <v>2</v>
      </c>
      <c r="C209" s="3">
        <v>30</v>
      </c>
      <c r="D209" s="3">
        <v>7</v>
      </c>
      <c r="E209" s="3">
        <v>48.964</v>
      </c>
      <c r="F209" s="4" t="str">
        <f>HYPERLINK("http://141.218.60.56/~jnz1568/getInfo.php?workbook=11_02.xlsx&amp;sheet=A0&amp;row=209&amp;col=6&amp;number=199800000000&amp;sourceID=14","199800000000")</f>
        <v>199800000000</v>
      </c>
      <c r="G209" s="4" t="str">
        <f>HYPERLINK("http://141.218.60.56/~jnz1568/getInfo.php?workbook=11_02.xlsx&amp;sheet=A0&amp;row=209&amp;col=7&amp;number=0&amp;sourceID=14","0")</f>
        <v>0</v>
      </c>
    </row>
    <row r="210" spans="1:7">
      <c r="A210" s="3">
        <v>11</v>
      </c>
      <c r="B210" s="3">
        <v>2</v>
      </c>
      <c r="C210" s="3">
        <v>31</v>
      </c>
      <c r="D210" s="3">
        <v>7</v>
      </c>
      <c r="E210" s="3">
        <v>48.931</v>
      </c>
      <c r="F210" s="4" t="str">
        <f>HYPERLINK("http://141.218.60.56/~jnz1568/getInfo.php?workbook=11_02.xlsx&amp;sheet=A0&amp;row=210&amp;col=6&amp;number=12680000&amp;sourceID=14","12680000")</f>
        <v>12680000</v>
      </c>
      <c r="G210" s="4" t="str">
        <f>HYPERLINK("http://141.218.60.56/~jnz1568/getInfo.php?workbook=11_02.xlsx&amp;sheet=A0&amp;row=210&amp;col=7&amp;number=0&amp;sourceID=14","0")</f>
        <v>0</v>
      </c>
    </row>
    <row r="211" spans="1:7">
      <c r="A211" s="3">
        <v>11</v>
      </c>
      <c r="B211" s="3">
        <v>2</v>
      </c>
      <c r="C211" s="3">
        <v>32</v>
      </c>
      <c r="D211" s="3">
        <v>7</v>
      </c>
      <c r="E211" s="3">
        <v>43.837</v>
      </c>
      <c r="F211" s="4" t="str">
        <f>HYPERLINK("http://141.218.60.56/~jnz1568/getInfo.php?workbook=11_02.xlsx&amp;sheet=A0&amp;row=211&amp;col=6&amp;number=4939000&amp;sourceID=14","4939000")</f>
        <v>4939000</v>
      </c>
      <c r="G211" s="4" t="str">
        <f>HYPERLINK("http://141.218.60.56/~jnz1568/getInfo.php?workbook=11_02.xlsx&amp;sheet=A0&amp;row=211&amp;col=7&amp;number=0&amp;sourceID=14","0")</f>
        <v>0</v>
      </c>
    </row>
    <row r="212" spans="1:7">
      <c r="A212" s="3">
        <v>11</v>
      </c>
      <c r="B212" s="3">
        <v>2</v>
      </c>
      <c r="C212" s="3">
        <v>33</v>
      </c>
      <c r="D212" s="3">
        <v>7</v>
      </c>
      <c r="E212" s="3">
        <v>43.742</v>
      </c>
      <c r="F212" s="4" t="str">
        <f>HYPERLINK("http://141.218.60.56/~jnz1568/getInfo.php?workbook=11_02.xlsx&amp;sheet=A0&amp;row=212&amp;col=6&amp;number=42.66&amp;sourceID=14","42.66")</f>
        <v>42.66</v>
      </c>
      <c r="G212" s="4" t="str">
        <f>HYPERLINK("http://141.218.60.56/~jnz1568/getInfo.php?workbook=11_02.xlsx&amp;sheet=A0&amp;row=212&amp;col=7&amp;number=0&amp;sourceID=14","0")</f>
        <v>0</v>
      </c>
    </row>
    <row r="213" spans="1:7">
      <c r="A213" s="3">
        <v>11</v>
      </c>
      <c r="B213" s="3">
        <v>2</v>
      </c>
      <c r="C213" s="3">
        <v>34</v>
      </c>
      <c r="D213" s="3">
        <v>7</v>
      </c>
      <c r="E213" s="3">
        <v>43.741</v>
      </c>
      <c r="F213" s="4" t="str">
        <f>HYPERLINK("http://141.218.60.56/~jnz1568/getInfo.php?workbook=11_02.xlsx&amp;sheet=A0&amp;row=213&amp;col=6&amp;number=30650&amp;sourceID=14","30650")</f>
        <v>30650</v>
      </c>
      <c r="G213" s="4" t="str">
        <f>HYPERLINK("http://141.218.60.56/~jnz1568/getInfo.php?workbook=11_02.xlsx&amp;sheet=A0&amp;row=213&amp;col=7&amp;number=0&amp;sourceID=14","0")</f>
        <v>0</v>
      </c>
    </row>
    <row r="214" spans="1:7">
      <c r="A214" s="3">
        <v>11</v>
      </c>
      <c r="B214" s="3">
        <v>2</v>
      </c>
      <c r="C214" s="3">
        <v>35</v>
      </c>
      <c r="D214" s="3">
        <v>7</v>
      </c>
      <c r="E214" s="3">
        <v>43.738</v>
      </c>
      <c r="F214" s="4" t="str">
        <f>HYPERLINK("http://141.218.60.56/~jnz1568/getInfo.php?workbook=11_02.xlsx&amp;sheet=A0&amp;row=214&amp;col=6&amp;number=1301&amp;sourceID=14","1301")</f>
        <v>1301</v>
      </c>
      <c r="G214" s="4" t="str">
        <f>HYPERLINK("http://141.218.60.56/~jnz1568/getInfo.php?workbook=11_02.xlsx&amp;sheet=A0&amp;row=214&amp;col=7&amp;number=0&amp;sourceID=14","0")</f>
        <v>0</v>
      </c>
    </row>
    <row r="215" spans="1:7">
      <c r="A215" s="3">
        <v>11</v>
      </c>
      <c r="B215" s="3">
        <v>2</v>
      </c>
      <c r="C215" s="3">
        <v>36</v>
      </c>
      <c r="D215" s="3">
        <v>7</v>
      </c>
      <c r="E215" s="3">
        <v>43.741</v>
      </c>
      <c r="F215" s="4" t="str">
        <f>HYPERLINK("http://141.218.60.56/~jnz1568/getInfo.php?workbook=11_02.xlsx&amp;sheet=A0&amp;row=215&amp;col=6&amp;number=33290000000&amp;sourceID=14","33290000000")</f>
        <v>33290000000</v>
      </c>
      <c r="G215" s="4" t="str">
        <f>HYPERLINK("http://141.218.60.56/~jnz1568/getInfo.php?workbook=11_02.xlsx&amp;sheet=A0&amp;row=215&amp;col=7&amp;number=0&amp;sourceID=14","0")</f>
        <v>0</v>
      </c>
    </row>
    <row r="216" spans="1:7">
      <c r="A216" s="3">
        <v>11</v>
      </c>
      <c r="B216" s="3">
        <v>2</v>
      </c>
      <c r="C216" s="3">
        <v>37</v>
      </c>
      <c r="D216" s="3">
        <v>7</v>
      </c>
      <c r="E216" s="3">
        <v>43.686</v>
      </c>
      <c r="F216" s="4" t="str">
        <f>HYPERLINK("http://141.218.60.56/~jnz1568/getInfo.php?workbook=11_02.xlsx&amp;sheet=A0&amp;row=216&amp;col=6&amp;number=35600000&amp;sourceID=14","35600000")</f>
        <v>35600000</v>
      </c>
      <c r="G216" s="4" t="str">
        <f>HYPERLINK("http://141.218.60.56/~jnz1568/getInfo.php?workbook=11_02.xlsx&amp;sheet=A0&amp;row=216&amp;col=7&amp;number=0&amp;sourceID=14","0")</f>
        <v>0</v>
      </c>
    </row>
    <row r="217" spans="1:7">
      <c r="A217" s="3">
        <v>11</v>
      </c>
      <c r="B217" s="3">
        <v>2</v>
      </c>
      <c r="C217" s="3">
        <v>38</v>
      </c>
      <c r="D217" s="3">
        <v>7</v>
      </c>
      <c r="E217" s="3">
        <v>43.686</v>
      </c>
      <c r="F217" s="4" t="str">
        <f>HYPERLINK("http://141.218.60.56/~jnz1568/getInfo.php?workbook=11_02.xlsx&amp;sheet=A0&amp;row=217&amp;col=6&amp;number=2308000000&amp;sourceID=14","2308000000")</f>
        <v>2308000000</v>
      </c>
      <c r="G217" s="4" t="str">
        <f>HYPERLINK("http://141.218.60.56/~jnz1568/getInfo.php?workbook=11_02.xlsx&amp;sheet=A0&amp;row=217&amp;col=7&amp;number=0&amp;sourceID=14","0")</f>
        <v>0</v>
      </c>
    </row>
    <row r="218" spans="1:7">
      <c r="A218" s="3">
        <v>11</v>
      </c>
      <c r="B218" s="3">
        <v>2</v>
      </c>
      <c r="C218" s="3">
        <v>39</v>
      </c>
      <c r="D218" s="3">
        <v>7</v>
      </c>
      <c r="E218" s="3">
        <v>43.686</v>
      </c>
      <c r="F218" s="4" t="str">
        <f>HYPERLINK("http://141.218.60.56/~jnz1568/getInfo.php?workbook=11_02.xlsx&amp;sheet=A0&amp;row=218&amp;col=6&amp;number=2255&amp;sourceID=14","2255")</f>
        <v>2255</v>
      </c>
      <c r="G218" s="4" t="str">
        <f>HYPERLINK("http://141.218.60.56/~jnz1568/getInfo.php?workbook=11_02.xlsx&amp;sheet=A0&amp;row=218&amp;col=7&amp;number=0&amp;sourceID=14","0")</f>
        <v>0</v>
      </c>
    </row>
    <row r="219" spans="1:7">
      <c r="A219" s="3">
        <v>11</v>
      </c>
      <c r="B219" s="3">
        <v>2</v>
      </c>
      <c r="C219" s="3">
        <v>40</v>
      </c>
      <c r="D219" s="3">
        <v>7</v>
      </c>
      <c r="E219" s="3">
        <v>43.682</v>
      </c>
      <c r="F219" s="4" t="str">
        <f>HYPERLINK("http://141.218.60.56/~jnz1568/getInfo.php?workbook=11_02.xlsx&amp;sheet=A0&amp;row=219&amp;col=6&amp;number=19410&amp;sourceID=14","19410")</f>
        <v>19410</v>
      </c>
      <c r="G219" s="4" t="str">
        <f>HYPERLINK("http://141.218.60.56/~jnz1568/getInfo.php?workbook=11_02.xlsx&amp;sheet=A0&amp;row=219&amp;col=7&amp;number=0&amp;sourceID=14","0")</f>
        <v>0</v>
      </c>
    </row>
    <row r="220" spans="1:7">
      <c r="A220" s="3">
        <v>11</v>
      </c>
      <c r="B220" s="3">
        <v>2</v>
      </c>
      <c r="C220" s="3">
        <v>41</v>
      </c>
      <c r="D220" s="3">
        <v>7</v>
      </c>
      <c r="E220" s="3">
        <v>43.682</v>
      </c>
      <c r="F220" s="4" t="str">
        <f>HYPERLINK("http://141.218.60.56/~jnz1568/getInfo.php?workbook=11_02.xlsx&amp;sheet=A0&amp;row=220&amp;col=6&amp;number=11950000&amp;sourceID=14","11950000")</f>
        <v>11950000</v>
      </c>
      <c r="G220" s="4" t="str">
        <f>HYPERLINK("http://141.218.60.56/~jnz1568/getInfo.php?workbook=11_02.xlsx&amp;sheet=A0&amp;row=220&amp;col=7&amp;number=0&amp;sourceID=14","0")</f>
        <v>0</v>
      </c>
    </row>
    <row r="221" spans="1:7">
      <c r="A221" s="3">
        <v>11</v>
      </c>
      <c r="B221" s="3">
        <v>2</v>
      </c>
      <c r="C221" s="3">
        <v>43</v>
      </c>
      <c r="D221" s="3">
        <v>7</v>
      </c>
      <c r="E221" s="3">
        <v>43.682</v>
      </c>
      <c r="F221" s="4" t="str">
        <f>HYPERLINK("http://141.218.60.56/~jnz1568/getInfo.php?workbook=11_02.xlsx&amp;sheet=A0&amp;row=221&amp;col=6&amp;number=20450000&amp;sourceID=14","20450000")</f>
        <v>20450000</v>
      </c>
      <c r="G221" s="4" t="str">
        <f>HYPERLINK("http://141.218.60.56/~jnz1568/getInfo.php?workbook=11_02.xlsx&amp;sheet=A0&amp;row=221&amp;col=7&amp;number=0&amp;sourceID=14","0")</f>
        <v>0</v>
      </c>
    </row>
    <row r="222" spans="1:7">
      <c r="A222" s="3">
        <v>11</v>
      </c>
      <c r="B222" s="3">
        <v>2</v>
      </c>
      <c r="C222" s="3">
        <v>46</v>
      </c>
      <c r="D222" s="3">
        <v>7</v>
      </c>
      <c r="E222" s="3">
        <v>43.682</v>
      </c>
      <c r="F222" s="4" t="str">
        <f>HYPERLINK("http://141.218.60.56/~jnz1568/getInfo.php?workbook=11_02.xlsx&amp;sheet=A0&amp;row=222&amp;col=6&amp;number=97840000000&amp;sourceID=14","97840000000")</f>
        <v>97840000000</v>
      </c>
      <c r="G222" s="4" t="str">
        <f>HYPERLINK("http://141.218.60.56/~jnz1568/getInfo.php?workbook=11_02.xlsx&amp;sheet=A0&amp;row=222&amp;col=7&amp;number=0&amp;sourceID=14","0")</f>
        <v>0</v>
      </c>
    </row>
    <row r="223" spans="1:7">
      <c r="A223" s="3">
        <v>11</v>
      </c>
      <c r="B223" s="3">
        <v>2</v>
      </c>
      <c r="C223" s="3">
        <v>49</v>
      </c>
      <c r="D223" s="3">
        <v>7</v>
      </c>
      <c r="E223" s="3">
        <v>43.669</v>
      </c>
      <c r="F223" s="4" t="str">
        <f>HYPERLINK("http://141.218.60.56/~jnz1568/getInfo.php?workbook=11_02.xlsx&amp;sheet=A0&amp;row=223&amp;col=6&amp;number=21200000&amp;sourceID=14","21200000")</f>
        <v>21200000</v>
      </c>
      <c r="G223" s="4" t="str">
        <f>HYPERLINK("http://141.218.60.56/~jnz1568/getInfo.php?workbook=11_02.xlsx&amp;sheet=A0&amp;row=223&amp;col=7&amp;number=0&amp;sourceID=14","0")</f>
        <v>0</v>
      </c>
    </row>
    <row r="224" spans="1:7">
      <c r="A224" s="3">
        <v>11</v>
      </c>
      <c r="B224" s="3">
        <v>2</v>
      </c>
      <c r="C224" s="3">
        <v>9</v>
      </c>
      <c r="D224" s="3">
        <v>8</v>
      </c>
      <c r="E224" s="3">
        <v>4195.519</v>
      </c>
      <c r="F224" s="4" t="str">
        <f>HYPERLINK("http://141.218.60.56/~jnz1568/getInfo.php?workbook=11_02.xlsx&amp;sheet=A0&amp;row=224&amp;col=6&amp;number=14770000&amp;sourceID=14","14770000")</f>
        <v>14770000</v>
      </c>
      <c r="G224" s="4" t="str">
        <f>HYPERLINK("http://141.218.60.56/~jnz1568/getInfo.php?workbook=11_02.xlsx&amp;sheet=A0&amp;row=224&amp;col=7&amp;number=0&amp;sourceID=14","0")</f>
        <v>0</v>
      </c>
    </row>
    <row r="225" spans="1:7">
      <c r="A225" s="3">
        <v>11</v>
      </c>
      <c r="B225" s="3">
        <v>2</v>
      </c>
      <c r="C225" s="3">
        <v>10</v>
      </c>
      <c r="D225" s="3">
        <v>8</v>
      </c>
      <c r="E225" s="3">
        <v>4166.501</v>
      </c>
      <c r="F225" s="4" t="str">
        <f>HYPERLINK("http://141.218.60.56/~jnz1568/getInfo.php?workbook=11_02.xlsx&amp;sheet=A0&amp;row=225&amp;col=6&amp;number=15060000&amp;sourceID=14","15060000")</f>
        <v>15060000</v>
      </c>
      <c r="G225" s="4" t="str">
        <f>HYPERLINK("http://141.218.60.56/~jnz1568/getInfo.php?workbook=11_02.xlsx&amp;sheet=A0&amp;row=225&amp;col=7&amp;number=0&amp;sourceID=14","0")</f>
        <v>0</v>
      </c>
    </row>
    <row r="226" spans="1:7">
      <c r="A226" s="3">
        <v>11</v>
      </c>
      <c r="B226" s="3">
        <v>2</v>
      </c>
      <c r="C226" s="3">
        <v>11</v>
      </c>
      <c r="D226" s="3">
        <v>8</v>
      </c>
      <c r="E226" s="3">
        <v>4046.624</v>
      </c>
      <c r="F226" s="4" t="str">
        <f>HYPERLINK("http://141.218.60.56/~jnz1568/getInfo.php?workbook=11_02.xlsx&amp;sheet=A0&amp;row=226&amp;col=6&amp;number=16460000&amp;sourceID=14","16460000")</f>
        <v>16460000</v>
      </c>
      <c r="G226" s="4" t="str">
        <f>HYPERLINK("http://141.218.60.56/~jnz1568/getInfo.php?workbook=11_02.xlsx&amp;sheet=A0&amp;row=226&amp;col=7&amp;number=0&amp;sourceID=14","0")</f>
        <v>0</v>
      </c>
    </row>
    <row r="227" spans="1:7">
      <c r="A227" s="3">
        <v>11</v>
      </c>
      <c r="B227" s="3">
        <v>2</v>
      </c>
      <c r="C227" s="3">
        <v>13</v>
      </c>
      <c r="D227" s="3">
        <v>8</v>
      </c>
      <c r="E227" s="3">
        <v>2652.454</v>
      </c>
      <c r="F227" s="4" t="str">
        <f>HYPERLINK("http://141.218.60.56/~jnz1568/getInfo.php?workbook=11_02.xlsx&amp;sheet=A0&amp;row=227&amp;col=6&amp;number=3.358&amp;sourceID=14","3.358")</f>
        <v>3.358</v>
      </c>
      <c r="G227" s="4" t="str">
        <f>HYPERLINK("http://141.218.60.56/~jnz1568/getInfo.php?workbook=11_02.xlsx&amp;sheet=A0&amp;row=227&amp;col=7&amp;number=0&amp;sourceID=14","0")</f>
        <v>0</v>
      </c>
    </row>
    <row r="228" spans="1:7">
      <c r="A228" s="3">
        <v>11</v>
      </c>
      <c r="B228" s="3">
        <v>2</v>
      </c>
      <c r="C228" s="3">
        <v>14</v>
      </c>
      <c r="D228" s="3">
        <v>8</v>
      </c>
      <c r="E228" s="3">
        <v>2651.048</v>
      </c>
      <c r="F228" s="4" t="str">
        <f>HYPERLINK("http://141.218.60.56/~jnz1568/getInfo.php?workbook=11_02.xlsx&amp;sheet=A0&amp;row=228&amp;col=6&amp;number=3.186&amp;sourceID=14","3.186")</f>
        <v>3.186</v>
      </c>
      <c r="G228" s="4" t="str">
        <f>HYPERLINK("http://141.218.60.56/~jnz1568/getInfo.php?workbook=11_02.xlsx&amp;sheet=A0&amp;row=228&amp;col=7&amp;number=0&amp;sourceID=14","0")</f>
        <v>0</v>
      </c>
    </row>
    <row r="229" spans="1:7">
      <c r="A229" s="3">
        <v>11</v>
      </c>
      <c r="B229" s="3">
        <v>2</v>
      </c>
      <c r="C229" s="3">
        <v>15</v>
      </c>
      <c r="D229" s="3">
        <v>8</v>
      </c>
      <c r="E229" s="3">
        <v>2633.039</v>
      </c>
      <c r="F229" s="4" t="str">
        <f>HYPERLINK("http://141.218.60.56/~jnz1568/getInfo.php?workbook=11_02.xlsx&amp;sheet=A0&amp;row=229&amp;col=6&amp;number=3.486&amp;sourceID=14","3.486")</f>
        <v>3.486</v>
      </c>
      <c r="G229" s="4" t="str">
        <f>HYPERLINK("http://141.218.60.56/~jnz1568/getInfo.php?workbook=11_02.xlsx&amp;sheet=A0&amp;row=229&amp;col=7&amp;number=0&amp;sourceID=14","0")</f>
        <v>0</v>
      </c>
    </row>
    <row r="230" spans="1:7">
      <c r="A230" s="3">
        <v>11</v>
      </c>
      <c r="B230" s="3">
        <v>2</v>
      </c>
      <c r="C230" s="3">
        <v>17</v>
      </c>
      <c r="D230" s="3">
        <v>8</v>
      </c>
      <c r="E230" s="3">
        <v>2373.385</v>
      </c>
      <c r="F230" s="4" t="str">
        <f>HYPERLINK("http://141.218.60.56/~jnz1568/getInfo.php?workbook=11_02.xlsx&amp;sheet=A0&amp;row=230&amp;col=6&amp;number=93360&amp;sourceID=14","93360")</f>
        <v>93360</v>
      </c>
      <c r="G230" s="4" t="str">
        <f>HYPERLINK("http://141.218.60.56/~jnz1568/getInfo.php?workbook=11_02.xlsx&amp;sheet=A0&amp;row=230&amp;col=7&amp;number=0&amp;sourceID=14","0")</f>
        <v>0</v>
      </c>
    </row>
    <row r="231" spans="1:7">
      <c r="A231" s="3">
        <v>11</v>
      </c>
      <c r="B231" s="3">
        <v>2</v>
      </c>
      <c r="C231" s="3">
        <v>19</v>
      </c>
      <c r="D231" s="3">
        <v>8</v>
      </c>
      <c r="E231" s="3">
        <v>176.702</v>
      </c>
      <c r="F231" s="4" t="str">
        <f>HYPERLINK("http://141.218.60.56/~jnz1568/getInfo.php?workbook=11_02.xlsx&amp;sheet=A0&amp;row=231&amp;col=6&amp;number=28560000000&amp;sourceID=14","28560000000")</f>
        <v>28560000000</v>
      </c>
      <c r="G231" s="4" t="str">
        <f>HYPERLINK("http://141.218.60.56/~jnz1568/getInfo.php?workbook=11_02.xlsx&amp;sheet=A0&amp;row=231&amp;col=7&amp;number=0&amp;sourceID=14","0")</f>
        <v>0</v>
      </c>
    </row>
    <row r="232" spans="1:7">
      <c r="A232" s="3">
        <v>11</v>
      </c>
      <c r="B232" s="3">
        <v>2</v>
      </c>
      <c r="C232" s="3">
        <v>20</v>
      </c>
      <c r="D232" s="3">
        <v>8</v>
      </c>
      <c r="E232" s="3">
        <v>176.679</v>
      </c>
      <c r="F232" s="4" t="str">
        <f>HYPERLINK("http://141.218.60.56/~jnz1568/getInfo.php?workbook=11_02.xlsx&amp;sheet=A0&amp;row=232&amp;col=6&amp;number=28480000000&amp;sourceID=14","28480000000")</f>
        <v>28480000000</v>
      </c>
      <c r="G232" s="4" t="str">
        <f>HYPERLINK("http://141.218.60.56/~jnz1568/getInfo.php?workbook=11_02.xlsx&amp;sheet=A0&amp;row=232&amp;col=7&amp;number=0&amp;sourceID=14","0")</f>
        <v>0</v>
      </c>
    </row>
    <row r="233" spans="1:7">
      <c r="A233" s="3">
        <v>11</v>
      </c>
      <c r="B233" s="3">
        <v>2</v>
      </c>
      <c r="C233" s="3">
        <v>21</v>
      </c>
      <c r="D233" s="3">
        <v>8</v>
      </c>
      <c r="E233" s="3">
        <v>176.586</v>
      </c>
      <c r="F233" s="4" t="str">
        <f>HYPERLINK("http://141.218.60.56/~jnz1568/getInfo.php?workbook=11_02.xlsx&amp;sheet=A0&amp;row=233&amp;col=6&amp;number=28390000000&amp;sourceID=14","28390000000")</f>
        <v>28390000000</v>
      </c>
      <c r="G233" s="4" t="str">
        <f>HYPERLINK("http://141.218.60.56/~jnz1568/getInfo.php?workbook=11_02.xlsx&amp;sheet=A0&amp;row=233&amp;col=7&amp;number=0&amp;sourceID=14","0")</f>
        <v>0</v>
      </c>
    </row>
    <row r="234" spans="1:7">
      <c r="A234" s="3">
        <v>11</v>
      </c>
      <c r="B234" s="3">
        <v>2</v>
      </c>
      <c r="C234" s="3">
        <v>23</v>
      </c>
      <c r="D234" s="3">
        <v>8</v>
      </c>
      <c r="E234" s="3">
        <v>174.919</v>
      </c>
      <c r="F234" s="4" t="str">
        <f>HYPERLINK("http://141.218.60.56/~jnz1568/getInfo.php?workbook=11_02.xlsx&amp;sheet=A0&amp;row=234&amp;col=6&amp;number=4352000&amp;sourceID=14","4352000")</f>
        <v>4352000</v>
      </c>
      <c r="G234" s="4" t="str">
        <f>HYPERLINK("http://141.218.60.56/~jnz1568/getInfo.php?workbook=11_02.xlsx&amp;sheet=A0&amp;row=234&amp;col=7&amp;number=0&amp;sourceID=14","0")</f>
        <v>0</v>
      </c>
    </row>
    <row r="235" spans="1:7">
      <c r="A235" s="3">
        <v>11</v>
      </c>
      <c r="B235" s="3">
        <v>2</v>
      </c>
      <c r="C235" s="3">
        <v>24</v>
      </c>
      <c r="D235" s="3">
        <v>8</v>
      </c>
      <c r="E235" s="3">
        <v>174.919</v>
      </c>
      <c r="F235" s="4" t="str">
        <f>HYPERLINK("http://141.218.60.56/~jnz1568/getInfo.php?workbook=11_02.xlsx&amp;sheet=A0&amp;row=235&amp;col=6&amp;number=4190000&amp;sourceID=14","4190000")</f>
        <v>4190000</v>
      </c>
      <c r="G235" s="4" t="str">
        <f>HYPERLINK("http://141.218.60.56/~jnz1568/getInfo.php?workbook=11_02.xlsx&amp;sheet=A0&amp;row=235&amp;col=7&amp;number=0&amp;sourceID=14","0")</f>
        <v>0</v>
      </c>
    </row>
    <row r="236" spans="1:7">
      <c r="A236" s="3">
        <v>11</v>
      </c>
      <c r="B236" s="3">
        <v>2</v>
      </c>
      <c r="C236" s="3">
        <v>25</v>
      </c>
      <c r="D236" s="3">
        <v>8</v>
      </c>
      <c r="E236" s="3">
        <v>174.919</v>
      </c>
      <c r="F236" s="4" t="str">
        <f>HYPERLINK("http://141.218.60.56/~jnz1568/getInfo.php?workbook=11_02.xlsx&amp;sheet=A0&amp;row=236&amp;col=6&amp;number=4352000&amp;sourceID=14","4352000")</f>
        <v>4352000</v>
      </c>
      <c r="G236" s="4" t="str">
        <f>HYPERLINK("http://141.218.60.56/~jnz1568/getInfo.php?workbook=11_02.xlsx&amp;sheet=A0&amp;row=236&amp;col=7&amp;number=0&amp;sourceID=14","0")</f>
        <v>0</v>
      </c>
    </row>
    <row r="237" spans="1:7">
      <c r="A237" s="3">
        <v>11</v>
      </c>
      <c r="B237" s="3">
        <v>2</v>
      </c>
      <c r="C237" s="3">
        <v>26</v>
      </c>
      <c r="D237" s="3">
        <v>8</v>
      </c>
      <c r="E237" s="3">
        <v>174.793</v>
      </c>
      <c r="F237" s="4" t="str">
        <f>HYPERLINK("http://141.218.60.56/~jnz1568/getInfo.php?workbook=11_02.xlsx&amp;sheet=A0&amp;row=237&amp;col=6&amp;number=7477&amp;sourceID=14","7477")</f>
        <v>7477</v>
      </c>
      <c r="G237" s="4" t="str">
        <f>HYPERLINK("http://141.218.60.56/~jnz1568/getInfo.php?workbook=11_02.xlsx&amp;sheet=A0&amp;row=237&amp;col=7&amp;number=0&amp;sourceID=14","0")</f>
        <v>0</v>
      </c>
    </row>
    <row r="238" spans="1:7">
      <c r="A238" s="3">
        <v>11</v>
      </c>
      <c r="B238" s="3">
        <v>2</v>
      </c>
      <c r="C238" s="3">
        <v>30</v>
      </c>
      <c r="D238" s="3">
        <v>8</v>
      </c>
      <c r="E238" s="3">
        <v>174.804</v>
      </c>
      <c r="F238" s="4" t="str">
        <f>HYPERLINK("http://141.218.60.56/~jnz1568/getInfo.php?workbook=11_02.xlsx&amp;sheet=A0&amp;row=238&amp;col=6&amp;number=160100&amp;sourceID=14","160100")</f>
        <v>160100</v>
      </c>
      <c r="G238" s="4" t="str">
        <f>HYPERLINK("http://141.218.60.56/~jnz1568/getInfo.php?workbook=11_02.xlsx&amp;sheet=A0&amp;row=238&amp;col=7&amp;number=0&amp;sourceID=14","0")</f>
        <v>0</v>
      </c>
    </row>
    <row r="239" spans="1:7">
      <c r="A239" s="3">
        <v>11</v>
      </c>
      <c r="B239" s="3">
        <v>2</v>
      </c>
      <c r="C239" s="3">
        <v>31</v>
      </c>
      <c r="D239" s="3">
        <v>8</v>
      </c>
      <c r="E239" s="3">
        <v>174.384</v>
      </c>
      <c r="F239" s="4" t="str">
        <f>HYPERLINK("http://141.218.60.56/~jnz1568/getInfo.php?workbook=11_02.xlsx&amp;sheet=A0&amp;row=239&amp;col=6&amp;number=28040000&amp;sourceID=14","28040000")</f>
        <v>28040000</v>
      </c>
      <c r="G239" s="4" t="str">
        <f>HYPERLINK("http://141.218.60.56/~jnz1568/getInfo.php?workbook=11_02.xlsx&amp;sheet=A0&amp;row=239&amp;col=7&amp;number=0&amp;sourceID=14","0")</f>
        <v>0</v>
      </c>
    </row>
    <row r="240" spans="1:7">
      <c r="A240" s="3">
        <v>11</v>
      </c>
      <c r="B240" s="3">
        <v>2</v>
      </c>
      <c r="C240" s="3">
        <v>33</v>
      </c>
      <c r="D240" s="3">
        <v>8</v>
      </c>
      <c r="E240" s="3">
        <v>122.565</v>
      </c>
      <c r="F240" s="4" t="str">
        <f>HYPERLINK("http://141.218.60.56/~jnz1568/getInfo.php?workbook=11_02.xlsx&amp;sheet=A0&amp;row=240&amp;col=6&amp;number=15100000000&amp;sourceID=14","15100000000")</f>
        <v>15100000000</v>
      </c>
      <c r="G240" s="4" t="str">
        <f>HYPERLINK("http://141.218.60.56/~jnz1568/getInfo.php?workbook=11_02.xlsx&amp;sheet=A0&amp;row=240&amp;col=7&amp;number=0&amp;sourceID=14","0")</f>
        <v>0</v>
      </c>
    </row>
    <row r="241" spans="1:7">
      <c r="A241" s="3">
        <v>11</v>
      </c>
      <c r="B241" s="3">
        <v>2</v>
      </c>
      <c r="C241" s="3">
        <v>34</v>
      </c>
      <c r="D241" s="3">
        <v>8</v>
      </c>
      <c r="E241" s="3">
        <v>122.559</v>
      </c>
      <c r="F241" s="4" t="str">
        <f>HYPERLINK("http://141.218.60.56/~jnz1568/getInfo.php?workbook=11_02.xlsx&amp;sheet=A0&amp;row=241&amp;col=6&amp;number=15060000000&amp;sourceID=14","15060000000")</f>
        <v>15060000000</v>
      </c>
      <c r="G241" s="4" t="str">
        <f>HYPERLINK("http://141.218.60.56/~jnz1568/getInfo.php?workbook=11_02.xlsx&amp;sheet=A0&amp;row=241&amp;col=7&amp;number=0&amp;sourceID=14","0")</f>
        <v>0</v>
      </c>
    </row>
    <row r="242" spans="1:7">
      <c r="A242" s="3">
        <v>11</v>
      </c>
      <c r="B242" s="3">
        <v>2</v>
      </c>
      <c r="C242" s="3">
        <v>35</v>
      </c>
      <c r="D242" s="3">
        <v>8</v>
      </c>
      <c r="E242" s="3">
        <v>122.536</v>
      </c>
      <c r="F242" s="4" t="str">
        <f>HYPERLINK("http://141.218.60.56/~jnz1568/getInfo.php?workbook=11_02.xlsx&amp;sheet=A0&amp;row=242&amp;col=6&amp;number=15020000000&amp;sourceID=14","15020000000")</f>
        <v>15020000000</v>
      </c>
      <c r="G242" s="4" t="str">
        <f>HYPERLINK("http://141.218.60.56/~jnz1568/getInfo.php?workbook=11_02.xlsx&amp;sheet=A0&amp;row=242&amp;col=7&amp;number=0&amp;sourceID=14","0")</f>
        <v>0</v>
      </c>
    </row>
    <row r="243" spans="1:7">
      <c r="A243" s="3">
        <v>11</v>
      </c>
      <c r="B243" s="3">
        <v>2</v>
      </c>
      <c r="C243" s="3">
        <v>37</v>
      </c>
      <c r="D243" s="3">
        <v>8</v>
      </c>
      <c r="E243" s="3">
        <v>122.127</v>
      </c>
      <c r="F243" s="4" t="str">
        <f>HYPERLINK("http://141.218.60.56/~jnz1568/getInfo.php?workbook=11_02.xlsx&amp;sheet=A0&amp;row=243&amp;col=6&amp;number=1380000&amp;sourceID=14","1380000")</f>
        <v>1380000</v>
      </c>
      <c r="G243" s="4" t="str">
        <f>HYPERLINK("http://141.218.60.56/~jnz1568/getInfo.php?workbook=11_02.xlsx&amp;sheet=A0&amp;row=243&amp;col=7&amp;number=0&amp;sourceID=14","0")</f>
        <v>0</v>
      </c>
    </row>
    <row r="244" spans="1:7">
      <c r="A244" s="3">
        <v>11</v>
      </c>
      <c r="B244" s="3">
        <v>2</v>
      </c>
      <c r="C244" s="3">
        <v>38</v>
      </c>
      <c r="D244" s="3">
        <v>8</v>
      </c>
      <c r="E244" s="3">
        <v>122.127</v>
      </c>
      <c r="F244" s="4" t="str">
        <f>HYPERLINK("http://141.218.60.56/~jnz1568/getInfo.php?workbook=11_02.xlsx&amp;sheet=A0&amp;row=244&amp;col=6&amp;number=1336000&amp;sourceID=14","1336000")</f>
        <v>1336000</v>
      </c>
      <c r="G244" s="4" t="str">
        <f>HYPERLINK("http://141.218.60.56/~jnz1568/getInfo.php?workbook=11_02.xlsx&amp;sheet=A0&amp;row=244&amp;col=7&amp;number=0&amp;sourceID=14","0")</f>
        <v>0</v>
      </c>
    </row>
    <row r="245" spans="1:7">
      <c r="A245" s="3">
        <v>11</v>
      </c>
      <c r="B245" s="3">
        <v>2</v>
      </c>
      <c r="C245" s="3">
        <v>39</v>
      </c>
      <c r="D245" s="3">
        <v>8</v>
      </c>
      <c r="E245" s="3">
        <v>122.127</v>
      </c>
      <c r="F245" s="4" t="str">
        <f>HYPERLINK("http://141.218.60.56/~jnz1568/getInfo.php?workbook=11_02.xlsx&amp;sheet=A0&amp;row=245&amp;col=6&amp;number=1382000&amp;sourceID=14","1382000")</f>
        <v>1382000</v>
      </c>
      <c r="G245" s="4" t="str">
        <f>HYPERLINK("http://141.218.60.56/~jnz1568/getInfo.php?workbook=11_02.xlsx&amp;sheet=A0&amp;row=245&amp;col=7&amp;number=0&amp;sourceID=14","0")</f>
        <v>0</v>
      </c>
    </row>
    <row r="246" spans="1:7">
      <c r="A246" s="3">
        <v>11</v>
      </c>
      <c r="B246" s="3">
        <v>2</v>
      </c>
      <c r="C246" s="3">
        <v>40</v>
      </c>
      <c r="D246" s="3">
        <v>8</v>
      </c>
      <c r="E246" s="3">
        <v>122.094</v>
      </c>
      <c r="F246" s="4" t="str">
        <f>HYPERLINK("http://141.218.60.56/~jnz1568/getInfo.php?workbook=11_02.xlsx&amp;sheet=A0&amp;row=246&amp;col=6&amp;number=2149&amp;sourceID=14","2149")</f>
        <v>2149</v>
      </c>
      <c r="G246" s="4" t="str">
        <f>HYPERLINK("http://141.218.60.56/~jnz1568/getInfo.php?workbook=11_02.xlsx&amp;sheet=A0&amp;row=246&amp;col=7&amp;number=0&amp;sourceID=14","0")</f>
        <v>0</v>
      </c>
    </row>
    <row r="247" spans="1:7">
      <c r="A247" s="3">
        <v>11</v>
      </c>
      <c r="B247" s="3">
        <v>2</v>
      </c>
      <c r="C247" s="3">
        <v>46</v>
      </c>
      <c r="D247" s="3">
        <v>8</v>
      </c>
      <c r="E247" s="3">
        <v>122.095</v>
      </c>
      <c r="F247" s="4" t="str">
        <f>HYPERLINK("http://141.218.60.56/~jnz1568/getInfo.php?workbook=11_02.xlsx&amp;sheet=A0&amp;row=247&amp;col=6&amp;number=43690&amp;sourceID=14","43690")</f>
        <v>43690</v>
      </c>
      <c r="G247" s="4" t="str">
        <f>HYPERLINK("http://141.218.60.56/~jnz1568/getInfo.php?workbook=11_02.xlsx&amp;sheet=A0&amp;row=247&amp;col=7&amp;number=0&amp;sourceID=14","0")</f>
        <v>0</v>
      </c>
    </row>
    <row r="248" spans="1:7">
      <c r="A248" s="3">
        <v>11</v>
      </c>
      <c r="B248" s="3">
        <v>2</v>
      </c>
      <c r="C248" s="3">
        <v>49</v>
      </c>
      <c r="D248" s="3">
        <v>8</v>
      </c>
      <c r="E248" s="3">
        <v>121.996</v>
      </c>
      <c r="F248" s="4" t="str">
        <f>HYPERLINK("http://141.218.60.56/~jnz1568/getInfo.php?workbook=11_02.xlsx&amp;sheet=A0&amp;row=248&amp;col=6&amp;number=15190000&amp;sourceID=14","15190000")</f>
        <v>15190000</v>
      </c>
      <c r="G248" s="4" t="str">
        <f>HYPERLINK("http://141.218.60.56/~jnz1568/getInfo.php?workbook=11_02.xlsx&amp;sheet=A0&amp;row=248&amp;col=7&amp;number=0&amp;sourceID=14","0")</f>
        <v>0</v>
      </c>
    </row>
    <row r="249" spans="1:7">
      <c r="A249" s="3">
        <v>11</v>
      </c>
      <c r="B249" s="3">
        <v>2</v>
      </c>
      <c r="C249" s="3">
        <v>13</v>
      </c>
      <c r="D249" s="3">
        <v>9</v>
      </c>
      <c r="E249" s="3">
        <v>7211.898</v>
      </c>
      <c r="F249" s="4" t="str">
        <f>HYPERLINK("http://141.218.60.56/~jnz1568/getInfo.php?workbook=11_02.xlsx&amp;sheet=A0&amp;row=249&amp;col=6&amp;number=1147000&amp;sourceID=14","1147000")</f>
        <v>1147000</v>
      </c>
      <c r="G249" s="4" t="str">
        <f>HYPERLINK("http://141.218.60.56/~jnz1568/getInfo.php?workbook=11_02.xlsx&amp;sheet=A0&amp;row=249&amp;col=7&amp;number=0&amp;sourceID=14","0")</f>
        <v>0</v>
      </c>
    </row>
    <row r="250" spans="1:7">
      <c r="A250" s="3">
        <v>11</v>
      </c>
      <c r="B250" s="3">
        <v>2</v>
      </c>
      <c r="C250" s="3">
        <v>18</v>
      </c>
      <c r="D250" s="3">
        <v>9</v>
      </c>
      <c r="E250" s="3">
        <v>187.87</v>
      </c>
      <c r="F250" s="4" t="str">
        <f>HYPERLINK("http://141.218.60.56/~jnz1568/getInfo.php?workbook=11_02.xlsx&amp;sheet=A0&amp;row=250&amp;col=6&amp;number=2576000000&amp;sourceID=14","2576000000")</f>
        <v>2576000000</v>
      </c>
      <c r="G250" s="4" t="str">
        <f>HYPERLINK("http://141.218.60.56/~jnz1568/getInfo.php?workbook=11_02.xlsx&amp;sheet=A0&amp;row=250&amp;col=7&amp;number=0&amp;sourceID=14","0")</f>
        <v>0</v>
      </c>
    </row>
    <row r="251" spans="1:7">
      <c r="A251" s="3">
        <v>11</v>
      </c>
      <c r="B251" s="3">
        <v>2</v>
      </c>
      <c r="C251" s="3">
        <v>21</v>
      </c>
      <c r="D251" s="3">
        <v>9</v>
      </c>
      <c r="E251" s="3">
        <v>184.345</v>
      </c>
      <c r="F251" s="4" t="str">
        <f>HYPERLINK("http://141.218.60.56/~jnz1568/getInfo.php?workbook=11_02.xlsx&amp;sheet=A0&amp;row=251&amp;col=6&amp;number=523000&amp;sourceID=14","523000")</f>
        <v>523000</v>
      </c>
      <c r="G251" s="4" t="str">
        <f>HYPERLINK("http://141.218.60.56/~jnz1568/getInfo.php?workbook=11_02.xlsx&amp;sheet=A0&amp;row=251&amp;col=7&amp;number=0&amp;sourceID=14","0")</f>
        <v>0</v>
      </c>
    </row>
    <row r="252" spans="1:7">
      <c r="A252" s="3">
        <v>11</v>
      </c>
      <c r="B252" s="3">
        <v>2</v>
      </c>
      <c r="C252" s="3">
        <v>23</v>
      </c>
      <c r="D252" s="3">
        <v>9</v>
      </c>
      <c r="E252" s="3">
        <v>182.529</v>
      </c>
      <c r="F252" s="4" t="str">
        <f>HYPERLINK("http://141.218.60.56/~jnz1568/getInfo.php?workbook=11_02.xlsx&amp;sheet=A0&amp;row=252&amp;col=6&amp;number=38670000000&amp;sourceID=14","38670000000")</f>
        <v>38670000000</v>
      </c>
      <c r="G252" s="4" t="str">
        <f>HYPERLINK("http://141.218.60.56/~jnz1568/getInfo.php?workbook=11_02.xlsx&amp;sheet=A0&amp;row=252&amp;col=7&amp;number=0&amp;sourceID=14","0")</f>
        <v>0</v>
      </c>
    </row>
    <row r="253" spans="1:7">
      <c r="A253" s="3">
        <v>11</v>
      </c>
      <c r="B253" s="3">
        <v>2</v>
      </c>
      <c r="C253" s="3">
        <v>24</v>
      </c>
      <c r="D253" s="3">
        <v>9</v>
      </c>
      <c r="E253" s="3">
        <v>182.529</v>
      </c>
      <c r="F253" s="4" t="str">
        <f>HYPERLINK("http://141.218.60.56/~jnz1568/getInfo.php?workbook=11_02.xlsx&amp;sheet=A0&amp;row=253&amp;col=6&amp;number=1.34&amp;sourceID=14","1.34")</f>
        <v>1.34</v>
      </c>
      <c r="G253" s="4" t="str">
        <f>HYPERLINK("http://141.218.60.56/~jnz1568/getInfo.php?workbook=11_02.xlsx&amp;sheet=A0&amp;row=253&amp;col=7&amp;number=0&amp;sourceID=14","0")</f>
        <v>0</v>
      </c>
    </row>
    <row r="254" spans="1:7">
      <c r="A254" s="3">
        <v>11</v>
      </c>
      <c r="B254" s="3">
        <v>2</v>
      </c>
      <c r="C254" s="3">
        <v>26</v>
      </c>
      <c r="D254" s="3">
        <v>9</v>
      </c>
      <c r="E254" s="3">
        <v>182.392</v>
      </c>
      <c r="F254" s="4" t="str">
        <f>HYPERLINK("http://141.218.60.56/~jnz1568/getInfo.php?workbook=11_02.xlsx&amp;sheet=A0&amp;row=254&amp;col=6&amp;number=2943000&amp;sourceID=14","2943000")</f>
        <v>2943000</v>
      </c>
      <c r="G254" s="4" t="str">
        <f>HYPERLINK("http://141.218.60.56/~jnz1568/getInfo.php?workbook=11_02.xlsx&amp;sheet=A0&amp;row=254&amp;col=7&amp;number=0&amp;sourceID=14","0")</f>
        <v>0</v>
      </c>
    </row>
    <row r="255" spans="1:7">
      <c r="A255" s="3">
        <v>11</v>
      </c>
      <c r="B255" s="3">
        <v>2</v>
      </c>
      <c r="C255" s="3">
        <v>30</v>
      </c>
      <c r="D255" s="3">
        <v>9</v>
      </c>
      <c r="E255" s="3">
        <v>182.404</v>
      </c>
      <c r="F255" s="4" t="str">
        <f>HYPERLINK("http://141.218.60.56/~jnz1568/getInfo.php?workbook=11_02.xlsx&amp;sheet=A0&amp;row=255&amp;col=6&amp;number=34.47&amp;sourceID=14","34.47")</f>
        <v>34.47</v>
      </c>
      <c r="G255" s="4" t="str">
        <f>HYPERLINK("http://141.218.60.56/~jnz1568/getInfo.php?workbook=11_02.xlsx&amp;sheet=A0&amp;row=255&amp;col=7&amp;number=0&amp;sourceID=14","0")</f>
        <v>0</v>
      </c>
    </row>
    <row r="256" spans="1:7">
      <c r="A256" s="3">
        <v>11</v>
      </c>
      <c r="B256" s="3">
        <v>2</v>
      </c>
      <c r="C256" s="3">
        <v>31</v>
      </c>
      <c r="D256" s="3">
        <v>9</v>
      </c>
      <c r="E256" s="3">
        <v>181.947</v>
      </c>
      <c r="F256" s="4" t="str">
        <f>HYPERLINK("http://141.218.60.56/~jnz1568/getInfo.php?workbook=11_02.xlsx&amp;sheet=A0&amp;row=256&amp;col=6&amp;number=1.316&amp;sourceID=14","1.316")</f>
        <v>1.316</v>
      </c>
      <c r="G256" s="4" t="str">
        <f>HYPERLINK("http://141.218.60.56/~jnz1568/getInfo.php?workbook=11_02.xlsx&amp;sheet=A0&amp;row=256&amp;col=7&amp;number=0&amp;sourceID=14","0")</f>
        <v>0</v>
      </c>
    </row>
    <row r="257" spans="1:7">
      <c r="A257" s="3">
        <v>11</v>
      </c>
      <c r="B257" s="3">
        <v>2</v>
      </c>
      <c r="C257" s="3">
        <v>32</v>
      </c>
      <c r="D257" s="3">
        <v>9</v>
      </c>
      <c r="E257" s="3">
        <v>127.048</v>
      </c>
      <c r="F257" s="4" t="str">
        <f>HYPERLINK("http://141.218.60.56/~jnz1568/getInfo.php?workbook=11_02.xlsx&amp;sheet=A0&amp;row=257&amp;col=6&amp;number=1151000000&amp;sourceID=14","1151000000")</f>
        <v>1151000000</v>
      </c>
      <c r="G257" s="4" t="str">
        <f>HYPERLINK("http://141.218.60.56/~jnz1568/getInfo.php?workbook=11_02.xlsx&amp;sheet=A0&amp;row=257&amp;col=7&amp;number=0&amp;sourceID=14","0")</f>
        <v>0</v>
      </c>
    </row>
    <row r="258" spans="1:7">
      <c r="A258" s="3">
        <v>11</v>
      </c>
      <c r="B258" s="3">
        <v>2</v>
      </c>
      <c r="C258" s="3">
        <v>35</v>
      </c>
      <c r="D258" s="3">
        <v>9</v>
      </c>
      <c r="E258" s="3">
        <v>126.223</v>
      </c>
      <c r="F258" s="4" t="str">
        <f>HYPERLINK("http://141.218.60.56/~jnz1568/getInfo.php?workbook=11_02.xlsx&amp;sheet=A0&amp;row=258&amp;col=6&amp;number=260400&amp;sourceID=14","260400")</f>
        <v>260400</v>
      </c>
      <c r="G258" s="4" t="str">
        <f>HYPERLINK("http://141.218.60.56/~jnz1568/getInfo.php?workbook=11_02.xlsx&amp;sheet=A0&amp;row=258&amp;col=7&amp;number=0&amp;sourceID=14","0")</f>
        <v>0</v>
      </c>
    </row>
    <row r="259" spans="1:7">
      <c r="A259" s="3">
        <v>11</v>
      </c>
      <c r="B259" s="3">
        <v>2</v>
      </c>
      <c r="C259" s="3">
        <v>37</v>
      </c>
      <c r="D259" s="3">
        <v>9</v>
      </c>
      <c r="E259" s="3">
        <v>125.789</v>
      </c>
      <c r="F259" s="4" t="str">
        <f>HYPERLINK("http://141.218.60.56/~jnz1568/getInfo.php?workbook=11_02.xlsx&amp;sheet=A0&amp;row=259&amp;col=6&amp;number=18870000000&amp;sourceID=14","18870000000")</f>
        <v>18870000000</v>
      </c>
      <c r="G259" s="4" t="str">
        <f>HYPERLINK("http://141.218.60.56/~jnz1568/getInfo.php?workbook=11_02.xlsx&amp;sheet=A0&amp;row=259&amp;col=7&amp;number=0&amp;sourceID=14","0")</f>
        <v>0</v>
      </c>
    </row>
    <row r="260" spans="1:7">
      <c r="A260" s="3">
        <v>11</v>
      </c>
      <c r="B260" s="3">
        <v>2</v>
      </c>
      <c r="C260" s="3">
        <v>38</v>
      </c>
      <c r="D260" s="3">
        <v>9</v>
      </c>
      <c r="E260" s="3">
        <v>125.789</v>
      </c>
      <c r="F260" s="4" t="str">
        <f>HYPERLINK("http://141.218.60.56/~jnz1568/getInfo.php?workbook=11_02.xlsx&amp;sheet=A0&amp;row=260&amp;col=6&amp;number=1.586&amp;sourceID=14","1.586")</f>
        <v>1.586</v>
      </c>
      <c r="G260" s="4" t="str">
        <f>HYPERLINK("http://141.218.60.56/~jnz1568/getInfo.php?workbook=11_02.xlsx&amp;sheet=A0&amp;row=260&amp;col=7&amp;number=0&amp;sourceID=14","0")</f>
        <v>0</v>
      </c>
    </row>
    <row r="261" spans="1:7">
      <c r="A261" s="3">
        <v>11</v>
      </c>
      <c r="B261" s="3">
        <v>2</v>
      </c>
      <c r="C261" s="3">
        <v>40</v>
      </c>
      <c r="D261" s="3">
        <v>9</v>
      </c>
      <c r="E261" s="3">
        <v>125.754</v>
      </c>
      <c r="F261" s="4" t="str">
        <f>HYPERLINK("http://141.218.60.56/~jnz1568/getInfo.php?workbook=11_02.xlsx&amp;sheet=A0&amp;row=261&amp;col=6&amp;number=27150&amp;sourceID=14","27150")</f>
        <v>27150</v>
      </c>
      <c r="G261" s="4" t="str">
        <f>HYPERLINK("http://141.218.60.56/~jnz1568/getInfo.php?workbook=11_02.xlsx&amp;sheet=A0&amp;row=261&amp;col=7&amp;number=0&amp;sourceID=14","0")</f>
        <v>0</v>
      </c>
    </row>
    <row r="262" spans="1:7">
      <c r="A262" s="3">
        <v>11</v>
      </c>
      <c r="B262" s="3">
        <v>2</v>
      </c>
      <c r="C262" s="3">
        <v>46</v>
      </c>
      <c r="D262" s="3">
        <v>9</v>
      </c>
      <c r="E262" s="3">
        <v>125.754</v>
      </c>
      <c r="F262" s="4" t="str">
        <f>HYPERLINK("http://141.218.60.56/~jnz1568/getInfo.php?workbook=11_02.xlsx&amp;sheet=A0&amp;row=262&amp;col=6&amp;number=35.34&amp;sourceID=14","35.34")</f>
        <v>35.34</v>
      </c>
      <c r="G262" s="4" t="str">
        <f>HYPERLINK("http://141.218.60.56/~jnz1568/getInfo.php?workbook=11_02.xlsx&amp;sheet=A0&amp;row=262&amp;col=7&amp;number=0&amp;sourceID=14","0")</f>
        <v>0</v>
      </c>
    </row>
    <row r="263" spans="1:7">
      <c r="A263" s="3">
        <v>11</v>
      </c>
      <c r="B263" s="3">
        <v>2</v>
      </c>
      <c r="C263" s="3">
        <v>12</v>
      </c>
      <c r="D263" s="3">
        <v>10</v>
      </c>
      <c r="E263" s="3">
        <v>206611.953</v>
      </c>
      <c r="F263" s="4" t="str">
        <f>HYPERLINK("http://141.218.60.56/~jnz1568/getInfo.php?workbook=11_02.xlsx&amp;sheet=A0&amp;row=263&amp;col=6&amp;number=23.76&amp;sourceID=14","23.76")</f>
        <v>23.76</v>
      </c>
      <c r="G263" s="4" t="str">
        <f>HYPERLINK("http://141.218.60.56/~jnz1568/getInfo.php?workbook=11_02.xlsx&amp;sheet=A0&amp;row=263&amp;col=7&amp;number=0&amp;sourceID=14","0")</f>
        <v>0</v>
      </c>
    </row>
    <row r="264" spans="1:7">
      <c r="A264" s="3">
        <v>11</v>
      </c>
      <c r="B264" s="3">
        <v>2</v>
      </c>
      <c r="C264" s="3">
        <v>13</v>
      </c>
      <c r="D264" s="3">
        <v>10</v>
      </c>
      <c r="E264" s="3">
        <v>7299.284</v>
      </c>
      <c r="F264" s="4" t="str">
        <f>HYPERLINK("http://141.218.60.56/~jnz1568/getInfo.php?workbook=11_02.xlsx&amp;sheet=A0&amp;row=264&amp;col=6&amp;number=828600&amp;sourceID=14","828600")</f>
        <v>828600</v>
      </c>
      <c r="G264" s="4" t="str">
        <f>HYPERLINK("http://141.218.60.56/~jnz1568/getInfo.php?workbook=11_02.xlsx&amp;sheet=A0&amp;row=264&amp;col=7&amp;number=0&amp;sourceID=14","0")</f>
        <v>0</v>
      </c>
    </row>
    <row r="265" spans="1:7">
      <c r="A265" s="3">
        <v>11</v>
      </c>
      <c r="B265" s="3">
        <v>2</v>
      </c>
      <c r="C265" s="3">
        <v>14</v>
      </c>
      <c r="D265" s="3">
        <v>10</v>
      </c>
      <c r="E265" s="3">
        <v>7288.643</v>
      </c>
      <c r="F265" s="4" t="str">
        <f>HYPERLINK("http://141.218.60.56/~jnz1568/getInfo.php?workbook=11_02.xlsx&amp;sheet=A0&amp;row=265&amp;col=6&amp;number=1445000&amp;sourceID=14","1445000")</f>
        <v>1445000</v>
      </c>
      <c r="G265" s="4" t="str">
        <f>HYPERLINK("http://141.218.60.56/~jnz1568/getInfo.php?workbook=11_02.xlsx&amp;sheet=A0&amp;row=265&amp;col=7&amp;number=0&amp;sourceID=14","0")</f>
        <v>0</v>
      </c>
    </row>
    <row r="266" spans="1:7">
      <c r="A266" s="3">
        <v>11</v>
      </c>
      <c r="B266" s="3">
        <v>2</v>
      </c>
      <c r="C266" s="3">
        <v>16</v>
      </c>
      <c r="D266" s="3">
        <v>10</v>
      </c>
      <c r="E266" s="3">
        <v>6883.273</v>
      </c>
      <c r="F266" s="4" t="str">
        <f>HYPERLINK("http://141.218.60.56/~jnz1568/getInfo.php?workbook=11_02.xlsx&amp;sheet=A0&amp;row=266&amp;col=6&amp;number=72290&amp;sourceID=14","72290")</f>
        <v>72290</v>
      </c>
      <c r="G266" s="4" t="str">
        <f>HYPERLINK("http://141.218.60.56/~jnz1568/getInfo.php?workbook=11_02.xlsx&amp;sheet=A0&amp;row=266&amp;col=7&amp;number=0&amp;sourceID=14","0")</f>
        <v>0</v>
      </c>
    </row>
    <row r="267" spans="1:7">
      <c r="A267" s="3">
        <v>11</v>
      </c>
      <c r="B267" s="3">
        <v>2</v>
      </c>
      <c r="C267" s="3">
        <v>18</v>
      </c>
      <c r="D267" s="3">
        <v>10</v>
      </c>
      <c r="E267" s="3">
        <v>187.929</v>
      </c>
      <c r="F267" s="4" t="str">
        <f>HYPERLINK("http://141.218.60.56/~jnz1568/getInfo.php?workbook=11_02.xlsx&amp;sheet=A0&amp;row=267&amp;col=6&amp;number=7693000000&amp;sourceID=14","7693000000")</f>
        <v>7693000000</v>
      </c>
      <c r="G267" s="4" t="str">
        <f>HYPERLINK("http://141.218.60.56/~jnz1568/getInfo.php?workbook=11_02.xlsx&amp;sheet=A0&amp;row=267&amp;col=7&amp;number=0&amp;sourceID=14","0")</f>
        <v>0</v>
      </c>
    </row>
    <row r="268" spans="1:7">
      <c r="A268" s="3">
        <v>11</v>
      </c>
      <c r="B268" s="3">
        <v>2</v>
      </c>
      <c r="C268" s="3">
        <v>20</v>
      </c>
      <c r="D268" s="3">
        <v>10</v>
      </c>
      <c r="E268" s="3">
        <v>184.503</v>
      </c>
      <c r="F268" s="4" t="str">
        <f>HYPERLINK("http://141.218.60.56/~jnz1568/getInfo.php?workbook=11_02.xlsx&amp;sheet=A0&amp;row=268&amp;col=6&amp;number=649400&amp;sourceID=14","649400")</f>
        <v>649400</v>
      </c>
      <c r="G268" s="4" t="str">
        <f>HYPERLINK("http://141.218.60.56/~jnz1568/getInfo.php?workbook=11_02.xlsx&amp;sheet=A0&amp;row=268&amp;col=7&amp;number=0&amp;sourceID=14","0")</f>
        <v>0</v>
      </c>
    </row>
    <row r="269" spans="1:7">
      <c r="A269" s="3">
        <v>11</v>
      </c>
      <c r="B269" s="3">
        <v>2</v>
      </c>
      <c r="C269" s="3">
        <v>21</v>
      </c>
      <c r="D269" s="3">
        <v>10</v>
      </c>
      <c r="E269" s="3">
        <v>184.401</v>
      </c>
      <c r="F269" s="4" t="str">
        <f>HYPERLINK("http://141.218.60.56/~jnz1568/getInfo.php?workbook=11_02.xlsx&amp;sheet=A0&amp;row=269&amp;col=6&amp;number=1174000&amp;sourceID=14","1174000")</f>
        <v>1174000</v>
      </c>
      <c r="G269" s="4" t="str">
        <f>HYPERLINK("http://141.218.60.56/~jnz1568/getInfo.php?workbook=11_02.xlsx&amp;sheet=A0&amp;row=269&amp;col=7&amp;number=0&amp;sourceID=14","0")</f>
        <v>0</v>
      </c>
    </row>
    <row r="270" spans="1:7">
      <c r="A270" s="3">
        <v>11</v>
      </c>
      <c r="B270" s="3">
        <v>2</v>
      </c>
      <c r="C270" s="3">
        <v>22</v>
      </c>
      <c r="D270" s="3">
        <v>10</v>
      </c>
      <c r="E270" s="3">
        <v>184.489</v>
      </c>
      <c r="F270" s="4" t="str">
        <f>HYPERLINK("http://141.218.60.56/~jnz1568/getInfo.php?workbook=11_02.xlsx&amp;sheet=A0&amp;row=270&amp;col=6&amp;number=21270000&amp;sourceID=14","21270000")</f>
        <v>21270000</v>
      </c>
      <c r="G270" s="4" t="str">
        <f>HYPERLINK("http://141.218.60.56/~jnz1568/getInfo.php?workbook=11_02.xlsx&amp;sheet=A0&amp;row=270&amp;col=7&amp;number=0&amp;sourceID=14","0")</f>
        <v>0</v>
      </c>
    </row>
    <row r="271" spans="1:7">
      <c r="A271" s="3">
        <v>11</v>
      </c>
      <c r="B271" s="3">
        <v>2</v>
      </c>
      <c r="C271" s="3">
        <v>23</v>
      </c>
      <c r="D271" s="3">
        <v>10</v>
      </c>
      <c r="E271" s="3">
        <v>182.585</v>
      </c>
      <c r="F271" s="4" t="str">
        <f>HYPERLINK("http://141.218.60.56/~jnz1568/getInfo.php?workbook=11_02.xlsx&amp;sheet=A0&amp;row=271&amp;col=6&amp;number=28990000000&amp;sourceID=14","28990000000")</f>
        <v>28990000000</v>
      </c>
      <c r="G271" s="4" t="str">
        <f>HYPERLINK("http://141.218.60.56/~jnz1568/getInfo.php?workbook=11_02.xlsx&amp;sheet=A0&amp;row=271&amp;col=7&amp;number=0&amp;sourceID=14","0")</f>
        <v>0</v>
      </c>
    </row>
    <row r="272" spans="1:7">
      <c r="A272" s="3">
        <v>11</v>
      </c>
      <c r="B272" s="3">
        <v>2</v>
      </c>
      <c r="C272" s="3">
        <v>24</v>
      </c>
      <c r="D272" s="3">
        <v>10</v>
      </c>
      <c r="E272" s="3">
        <v>182.585</v>
      </c>
      <c r="F272" s="4" t="str">
        <f>HYPERLINK("http://141.218.60.56/~jnz1568/getInfo.php?workbook=11_02.xlsx&amp;sheet=A0&amp;row=272&amp;col=6&amp;number=50990000000&amp;sourceID=14","50990000000")</f>
        <v>50990000000</v>
      </c>
      <c r="G272" s="4" t="str">
        <f>HYPERLINK("http://141.218.60.56/~jnz1568/getInfo.php?workbook=11_02.xlsx&amp;sheet=A0&amp;row=272&amp;col=7&amp;number=0&amp;sourceID=14","0")</f>
        <v>0</v>
      </c>
    </row>
    <row r="273" spans="1:7">
      <c r="A273" s="3">
        <v>11</v>
      </c>
      <c r="B273" s="3">
        <v>2</v>
      </c>
      <c r="C273" s="3">
        <v>25</v>
      </c>
      <c r="D273" s="3">
        <v>10</v>
      </c>
      <c r="E273" s="3">
        <v>182.585</v>
      </c>
      <c r="F273" s="4" t="str">
        <f>HYPERLINK("http://141.218.60.56/~jnz1568/getInfo.php?workbook=11_02.xlsx&amp;sheet=A0&amp;row=273&amp;col=6&amp;number=6.636&amp;sourceID=14","6.636")</f>
        <v>6.636</v>
      </c>
      <c r="G273" s="4" t="str">
        <f>HYPERLINK("http://141.218.60.56/~jnz1568/getInfo.php?workbook=11_02.xlsx&amp;sheet=A0&amp;row=273&amp;col=7&amp;number=0&amp;sourceID=14","0")</f>
        <v>0</v>
      </c>
    </row>
    <row r="274" spans="1:7">
      <c r="A274" s="3">
        <v>11</v>
      </c>
      <c r="B274" s="3">
        <v>2</v>
      </c>
      <c r="C274" s="3">
        <v>26</v>
      </c>
      <c r="D274" s="3">
        <v>10</v>
      </c>
      <c r="E274" s="3">
        <v>182.447</v>
      </c>
      <c r="F274" s="4" t="str">
        <f>HYPERLINK("http://141.218.60.56/~jnz1568/getInfo.php?workbook=11_02.xlsx&amp;sheet=A0&amp;row=274&amp;col=6&amp;number=2938000&amp;sourceID=14","2938000")</f>
        <v>2938000</v>
      </c>
      <c r="G274" s="4" t="str">
        <f>HYPERLINK("http://141.218.60.56/~jnz1568/getInfo.php?workbook=11_02.xlsx&amp;sheet=A0&amp;row=274&amp;col=7&amp;number=0&amp;sourceID=14","0")</f>
        <v>0</v>
      </c>
    </row>
    <row r="275" spans="1:7">
      <c r="A275" s="3">
        <v>11</v>
      </c>
      <c r="B275" s="3">
        <v>2</v>
      </c>
      <c r="C275" s="3">
        <v>27</v>
      </c>
      <c r="D275" s="3">
        <v>10</v>
      </c>
      <c r="E275" s="3">
        <v>182.447</v>
      </c>
      <c r="F275" s="4" t="str">
        <f>HYPERLINK("http://141.218.60.56/~jnz1568/getInfo.php?workbook=11_02.xlsx&amp;sheet=A0&amp;row=275&amp;col=6&amp;number=2633000&amp;sourceID=14","2633000")</f>
        <v>2633000</v>
      </c>
      <c r="G275" s="4" t="str">
        <f>HYPERLINK("http://141.218.60.56/~jnz1568/getInfo.php?workbook=11_02.xlsx&amp;sheet=A0&amp;row=275&amp;col=7&amp;number=0&amp;sourceID=14","0")</f>
        <v>0</v>
      </c>
    </row>
    <row r="276" spans="1:7">
      <c r="A276" s="3">
        <v>11</v>
      </c>
      <c r="B276" s="3">
        <v>2</v>
      </c>
      <c r="C276" s="3">
        <v>29</v>
      </c>
      <c r="D276" s="3">
        <v>10</v>
      </c>
      <c r="E276" s="3">
        <v>182.446</v>
      </c>
      <c r="F276" s="4" t="str">
        <f>HYPERLINK("http://141.218.60.56/~jnz1568/getInfo.php?workbook=11_02.xlsx&amp;sheet=A0&amp;row=276&amp;col=6&amp;number=1571000&amp;sourceID=14","1571000")</f>
        <v>1571000</v>
      </c>
      <c r="G276" s="4" t="str">
        <f>HYPERLINK("http://141.218.60.56/~jnz1568/getInfo.php?workbook=11_02.xlsx&amp;sheet=A0&amp;row=276&amp;col=7&amp;number=0&amp;sourceID=14","0")</f>
        <v>0</v>
      </c>
    </row>
    <row r="277" spans="1:7">
      <c r="A277" s="3">
        <v>11</v>
      </c>
      <c r="B277" s="3">
        <v>2</v>
      </c>
      <c r="C277" s="3">
        <v>30</v>
      </c>
      <c r="D277" s="3">
        <v>10</v>
      </c>
      <c r="E277" s="3">
        <v>182.459</v>
      </c>
      <c r="F277" s="4" t="str">
        <f>HYPERLINK("http://141.218.60.56/~jnz1568/getInfo.php?workbook=11_02.xlsx&amp;sheet=A0&amp;row=277&amp;col=6&amp;number=1239000000&amp;sourceID=14","1239000000")</f>
        <v>1239000000</v>
      </c>
      <c r="G277" s="4" t="str">
        <f>HYPERLINK("http://141.218.60.56/~jnz1568/getInfo.php?workbook=11_02.xlsx&amp;sheet=A0&amp;row=277&amp;col=7&amp;number=0&amp;sourceID=14","0")</f>
        <v>0</v>
      </c>
    </row>
    <row r="278" spans="1:7">
      <c r="A278" s="3">
        <v>11</v>
      </c>
      <c r="B278" s="3">
        <v>2</v>
      </c>
      <c r="C278" s="3">
        <v>31</v>
      </c>
      <c r="D278" s="3">
        <v>10</v>
      </c>
      <c r="E278" s="3">
        <v>182.002</v>
      </c>
      <c r="F278" s="4" t="str">
        <f>HYPERLINK("http://141.218.60.56/~jnz1568/getInfo.php?workbook=11_02.xlsx&amp;sheet=A0&amp;row=278&amp;col=6&amp;number=6418&amp;sourceID=14","6418")</f>
        <v>6418</v>
      </c>
      <c r="G278" s="4" t="str">
        <f>HYPERLINK("http://141.218.60.56/~jnz1568/getInfo.php?workbook=11_02.xlsx&amp;sheet=A0&amp;row=278&amp;col=7&amp;number=0&amp;sourceID=14","0")</f>
        <v>0</v>
      </c>
    </row>
    <row r="279" spans="1:7">
      <c r="A279" s="3">
        <v>11</v>
      </c>
      <c r="B279" s="3">
        <v>2</v>
      </c>
      <c r="C279" s="3">
        <v>32</v>
      </c>
      <c r="D279" s="3">
        <v>10</v>
      </c>
      <c r="E279" s="3">
        <v>127.075</v>
      </c>
      <c r="F279" s="4" t="str">
        <f>HYPERLINK("http://141.218.60.56/~jnz1568/getInfo.php?workbook=11_02.xlsx&amp;sheet=A0&amp;row=279&amp;col=6&amp;number=3429000000&amp;sourceID=14","3429000000")</f>
        <v>3429000000</v>
      </c>
      <c r="G279" s="4" t="str">
        <f>HYPERLINK("http://141.218.60.56/~jnz1568/getInfo.php?workbook=11_02.xlsx&amp;sheet=A0&amp;row=279&amp;col=7&amp;number=0&amp;sourceID=14","0")</f>
        <v>0</v>
      </c>
    </row>
    <row r="280" spans="1:7">
      <c r="A280" s="3">
        <v>11</v>
      </c>
      <c r="B280" s="3">
        <v>2</v>
      </c>
      <c r="C280" s="3">
        <v>34</v>
      </c>
      <c r="D280" s="3">
        <v>10</v>
      </c>
      <c r="E280" s="3">
        <v>126.274</v>
      </c>
      <c r="F280" s="4" t="str">
        <f>HYPERLINK("http://141.218.60.56/~jnz1568/getInfo.php?workbook=11_02.xlsx&amp;sheet=A0&amp;row=280&amp;col=6&amp;number=321000&amp;sourceID=14","321000")</f>
        <v>321000</v>
      </c>
      <c r="G280" s="4" t="str">
        <f>HYPERLINK("http://141.218.60.56/~jnz1568/getInfo.php?workbook=11_02.xlsx&amp;sheet=A0&amp;row=280&amp;col=7&amp;number=0&amp;sourceID=14","0")</f>
        <v>0</v>
      </c>
    </row>
    <row r="281" spans="1:7">
      <c r="A281" s="3">
        <v>11</v>
      </c>
      <c r="B281" s="3">
        <v>2</v>
      </c>
      <c r="C281" s="3">
        <v>35</v>
      </c>
      <c r="D281" s="3">
        <v>10</v>
      </c>
      <c r="E281" s="3">
        <v>126.249</v>
      </c>
      <c r="F281" s="4" t="str">
        <f>HYPERLINK("http://141.218.60.56/~jnz1568/getInfo.php?workbook=11_02.xlsx&amp;sheet=A0&amp;row=281&amp;col=6&amp;number=581700&amp;sourceID=14","581700")</f>
        <v>581700</v>
      </c>
      <c r="G281" s="4" t="str">
        <f>HYPERLINK("http://141.218.60.56/~jnz1568/getInfo.php?workbook=11_02.xlsx&amp;sheet=A0&amp;row=281&amp;col=7&amp;number=0&amp;sourceID=14","0")</f>
        <v>0</v>
      </c>
    </row>
    <row r="282" spans="1:7">
      <c r="A282" s="3">
        <v>11</v>
      </c>
      <c r="B282" s="3">
        <v>2</v>
      </c>
      <c r="C282" s="3">
        <v>36</v>
      </c>
      <c r="D282" s="3">
        <v>10</v>
      </c>
      <c r="E282" s="3">
        <v>126.275</v>
      </c>
      <c r="F282" s="4" t="str">
        <f>HYPERLINK("http://141.218.60.56/~jnz1568/getInfo.php?workbook=11_02.xlsx&amp;sheet=A0&amp;row=282&amp;col=6&amp;number=13120000&amp;sourceID=14","13120000")</f>
        <v>13120000</v>
      </c>
      <c r="G282" s="4" t="str">
        <f>HYPERLINK("http://141.218.60.56/~jnz1568/getInfo.php?workbook=11_02.xlsx&amp;sheet=A0&amp;row=282&amp;col=7&amp;number=0&amp;sourceID=14","0")</f>
        <v>0</v>
      </c>
    </row>
    <row r="283" spans="1:7">
      <c r="A283" s="3">
        <v>11</v>
      </c>
      <c r="B283" s="3">
        <v>2</v>
      </c>
      <c r="C283" s="3">
        <v>37</v>
      </c>
      <c r="D283" s="3">
        <v>10</v>
      </c>
      <c r="E283" s="3">
        <v>125.815</v>
      </c>
      <c r="F283" s="4" t="str">
        <f>HYPERLINK("http://141.218.60.56/~jnz1568/getInfo.php?workbook=11_02.xlsx&amp;sheet=A0&amp;row=283&amp;col=6&amp;number=14130000000&amp;sourceID=14","14130000000")</f>
        <v>14130000000</v>
      </c>
      <c r="G283" s="4" t="str">
        <f>HYPERLINK("http://141.218.60.56/~jnz1568/getInfo.php?workbook=11_02.xlsx&amp;sheet=A0&amp;row=283&amp;col=7&amp;number=0&amp;sourceID=14","0")</f>
        <v>0</v>
      </c>
    </row>
    <row r="284" spans="1:7">
      <c r="A284" s="3">
        <v>11</v>
      </c>
      <c r="B284" s="3">
        <v>2</v>
      </c>
      <c r="C284" s="3">
        <v>38</v>
      </c>
      <c r="D284" s="3">
        <v>10</v>
      </c>
      <c r="E284" s="3">
        <v>125.815</v>
      </c>
      <c r="F284" s="4" t="str">
        <f>HYPERLINK("http://141.218.60.56/~jnz1568/getInfo.php?workbook=11_02.xlsx&amp;sheet=A0&amp;row=284&amp;col=6&amp;number=24970000000&amp;sourceID=14","24970000000")</f>
        <v>24970000000</v>
      </c>
      <c r="G284" s="4" t="str">
        <f>HYPERLINK("http://141.218.60.56/~jnz1568/getInfo.php?workbook=11_02.xlsx&amp;sheet=A0&amp;row=284&amp;col=7&amp;number=0&amp;sourceID=14","0")</f>
        <v>0</v>
      </c>
    </row>
    <row r="285" spans="1:7">
      <c r="A285" s="3">
        <v>11</v>
      </c>
      <c r="B285" s="3">
        <v>2</v>
      </c>
      <c r="C285" s="3">
        <v>39</v>
      </c>
      <c r="D285" s="3">
        <v>10</v>
      </c>
      <c r="E285" s="3">
        <v>125.815</v>
      </c>
      <c r="F285" s="4" t="str">
        <f>HYPERLINK("http://141.218.60.56/~jnz1568/getInfo.php?workbook=11_02.xlsx&amp;sheet=A0&amp;row=285&amp;col=6&amp;number=6.847&amp;sourceID=14","6.847")</f>
        <v>6.847</v>
      </c>
      <c r="G285" s="4" t="str">
        <f>HYPERLINK("http://141.218.60.56/~jnz1568/getInfo.php?workbook=11_02.xlsx&amp;sheet=A0&amp;row=285&amp;col=7&amp;number=0&amp;sourceID=14","0")</f>
        <v>0</v>
      </c>
    </row>
    <row r="286" spans="1:7">
      <c r="A286" s="3">
        <v>11</v>
      </c>
      <c r="B286" s="3">
        <v>2</v>
      </c>
      <c r="C286" s="3">
        <v>40</v>
      </c>
      <c r="D286" s="3">
        <v>10</v>
      </c>
      <c r="E286" s="3">
        <v>125.78</v>
      </c>
      <c r="F286" s="4" t="str">
        <f>HYPERLINK("http://141.218.60.56/~jnz1568/getInfo.php?workbook=11_02.xlsx&amp;sheet=A0&amp;row=286&amp;col=6&amp;number=26670&amp;sourceID=14","26670")</f>
        <v>26670</v>
      </c>
      <c r="G286" s="4" t="str">
        <f>HYPERLINK("http://141.218.60.56/~jnz1568/getInfo.php?workbook=11_02.xlsx&amp;sheet=A0&amp;row=286&amp;col=7&amp;number=0&amp;sourceID=14","0")</f>
        <v>0</v>
      </c>
    </row>
    <row r="287" spans="1:7">
      <c r="A287" s="3">
        <v>11</v>
      </c>
      <c r="B287" s="3">
        <v>2</v>
      </c>
      <c r="C287" s="3">
        <v>41</v>
      </c>
      <c r="D287" s="3">
        <v>10</v>
      </c>
      <c r="E287" s="3">
        <v>125.78</v>
      </c>
      <c r="F287" s="4" t="str">
        <f>HYPERLINK("http://141.218.60.56/~jnz1568/getInfo.php?workbook=11_02.xlsx&amp;sheet=A0&amp;row=287&amp;col=6&amp;number=24960&amp;sourceID=14","24960")</f>
        <v>24960</v>
      </c>
      <c r="G287" s="4" t="str">
        <f>HYPERLINK("http://141.218.60.56/~jnz1568/getInfo.php?workbook=11_02.xlsx&amp;sheet=A0&amp;row=287&amp;col=7&amp;number=0&amp;sourceID=14","0")</f>
        <v>0</v>
      </c>
    </row>
    <row r="288" spans="1:7">
      <c r="A288" s="3">
        <v>11</v>
      </c>
      <c r="B288" s="3">
        <v>2</v>
      </c>
      <c r="C288" s="3">
        <v>43</v>
      </c>
      <c r="D288" s="3">
        <v>10</v>
      </c>
      <c r="E288" s="3">
        <v>125.779</v>
      </c>
      <c r="F288" s="4" t="str">
        <f>HYPERLINK("http://141.218.60.56/~jnz1568/getInfo.php?workbook=11_02.xlsx&amp;sheet=A0&amp;row=288&amp;col=6&amp;number=13330&amp;sourceID=14","13330")</f>
        <v>13330</v>
      </c>
      <c r="G288" s="4" t="str">
        <f>HYPERLINK("http://141.218.60.56/~jnz1568/getInfo.php?workbook=11_02.xlsx&amp;sheet=A0&amp;row=288&amp;col=7&amp;number=0&amp;sourceID=14","0")</f>
        <v>0</v>
      </c>
    </row>
    <row r="289" spans="1:7">
      <c r="A289" s="3">
        <v>11</v>
      </c>
      <c r="B289" s="3">
        <v>2</v>
      </c>
      <c r="C289" s="3">
        <v>46</v>
      </c>
      <c r="D289" s="3">
        <v>10</v>
      </c>
      <c r="E289" s="3">
        <v>125.781</v>
      </c>
      <c r="F289" s="4" t="str">
        <f>HYPERLINK("http://141.218.60.56/~jnz1568/getInfo.php?workbook=11_02.xlsx&amp;sheet=A0&amp;row=289&amp;col=6&amp;number=491300000&amp;sourceID=14","491300000")</f>
        <v>491300000</v>
      </c>
      <c r="G289" s="4" t="str">
        <f>HYPERLINK("http://141.218.60.56/~jnz1568/getInfo.php?workbook=11_02.xlsx&amp;sheet=A0&amp;row=289&amp;col=7&amp;number=0&amp;sourceID=14","0")</f>
        <v>0</v>
      </c>
    </row>
    <row r="290" spans="1:7">
      <c r="A290" s="3">
        <v>11</v>
      </c>
      <c r="B290" s="3">
        <v>2</v>
      </c>
      <c r="C290" s="3">
        <v>49</v>
      </c>
      <c r="D290" s="3">
        <v>10</v>
      </c>
      <c r="E290" s="3">
        <v>125.676</v>
      </c>
      <c r="F290" s="4" t="str">
        <f>HYPERLINK("http://141.218.60.56/~jnz1568/getInfo.php?workbook=11_02.xlsx&amp;sheet=A0&amp;row=290&amp;col=6&amp;number=4387&amp;sourceID=14","4387")</f>
        <v>4387</v>
      </c>
      <c r="G290" s="4" t="str">
        <f>HYPERLINK("http://141.218.60.56/~jnz1568/getInfo.php?workbook=11_02.xlsx&amp;sheet=A0&amp;row=290&amp;col=7&amp;number=0&amp;sourceID=14","0")</f>
        <v>0</v>
      </c>
    </row>
    <row r="291" spans="1:7">
      <c r="A291" s="3">
        <v>11</v>
      </c>
      <c r="B291" s="3">
        <v>2</v>
      </c>
      <c r="C291" s="3">
        <v>13</v>
      </c>
      <c r="D291" s="3">
        <v>11</v>
      </c>
      <c r="E291" s="3">
        <v>7698.836</v>
      </c>
      <c r="F291" s="4" t="str">
        <f>HYPERLINK("http://141.218.60.56/~jnz1568/getInfo.php?workbook=11_02.xlsx&amp;sheet=A0&amp;row=291&amp;col=6&amp;number=46690&amp;sourceID=14","46690")</f>
        <v>46690</v>
      </c>
      <c r="G291" s="4" t="str">
        <f>HYPERLINK("http://141.218.60.56/~jnz1568/getInfo.php?workbook=11_02.xlsx&amp;sheet=A0&amp;row=291&amp;col=7&amp;number=0&amp;sourceID=14","0")</f>
        <v>0</v>
      </c>
    </row>
    <row r="292" spans="1:7">
      <c r="A292" s="3">
        <v>11</v>
      </c>
      <c r="B292" s="3">
        <v>2</v>
      </c>
      <c r="C292" s="3">
        <v>14</v>
      </c>
      <c r="D292" s="3">
        <v>11</v>
      </c>
      <c r="E292" s="3">
        <v>7687</v>
      </c>
      <c r="F292" s="4" t="str">
        <f>HYPERLINK("http://141.218.60.56/~jnz1568/getInfo.php?workbook=11_02.xlsx&amp;sheet=A0&amp;row=292&amp;col=6&amp;number=402400&amp;sourceID=14","402400")</f>
        <v>402400</v>
      </c>
      <c r="G292" s="4" t="str">
        <f>HYPERLINK("http://141.218.60.56/~jnz1568/getInfo.php?workbook=11_02.xlsx&amp;sheet=A0&amp;row=292&amp;col=7&amp;number=0&amp;sourceID=14","0")</f>
        <v>0</v>
      </c>
    </row>
    <row r="293" spans="1:7">
      <c r="A293" s="3">
        <v>11</v>
      </c>
      <c r="B293" s="3">
        <v>2</v>
      </c>
      <c r="C293" s="3">
        <v>15</v>
      </c>
      <c r="D293" s="3">
        <v>11</v>
      </c>
      <c r="E293" s="3">
        <v>7537.513</v>
      </c>
      <c r="F293" s="4" t="str">
        <f>HYPERLINK("http://141.218.60.56/~jnz1568/getInfo.php?workbook=11_02.xlsx&amp;sheet=A0&amp;row=293&amp;col=6&amp;number=1804000&amp;sourceID=14","1804000")</f>
        <v>1804000</v>
      </c>
      <c r="G293" s="4" t="str">
        <f>HYPERLINK("http://141.218.60.56/~jnz1568/getInfo.php?workbook=11_02.xlsx&amp;sheet=A0&amp;row=293&amp;col=7&amp;number=0&amp;sourceID=14","0")</f>
        <v>0</v>
      </c>
    </row>
    <row r="294" spans="1:7">
      <c r="A294" s="3">
        <v>11</v>
      </c>
      <c r="B294" s="3">
        <v>2</v>
      </c>
      <c r="C294" s="3">
        <v>16</v>
      </c>
      <c r="D294" s="3">
        <v>11</v>
      </c>
      <c r="E294" s="3">
        <v>7237.475</v>
      </c>
      <c r="F294" s="4" t="str">
        <f>HYPERLINK("http://141.218.60.56/~jnz1568/getInfo.php?workbook=11_02.xlsx&amp;sheet=A0&amp;row=294&amp;col=6&amp;number=29120&amp;sourceID=14","29120")</f>
        <v>29120</v>
      </c>
      <c r="G294" s="4" t="str">
        <f>HYPERLINK("http://141.218.60.56/~jnz1568/getInfo.php?workbook=11_02.xlsx&amp;sheet=A0&amp;row=294&amp;col=7&amp;number=0&amp;sourceID=14","0")</f>
        <v>0</v>
      </c>
    </row>
    <row r="295" spans="1:7">
      <c r="A295" s="3">
        <v>11</v>
      </c>
      <c r="B295" s="3">
        <v>2</v>
      </c>
      <c r="C295" s="3">
        <v>18</v>
      </c>
      <c r="D295" s="3">
        <v>11</v>
      </c>
      <c r="E295" s="3">
        <v>188.18</v>
      </c>
      <c r="F295" s="4" t="str">
        <f>HYPERLINK("http://141.218.60.56/~jnz1568/getInfo.php?workbook=11_02.xlsx&amp;sheet=A0&amp;row=295&amp;col=6&amp;number=12920000000&amp;sourceID=14","12920000000")</f>
        <v>12920000000</v>
      </c>
      <c r="G295" s="4" t="str">
        <f>HYPERLINK("http://141.218.60.56/~jnz1568/getInfo.php?workbook=11_02.xlsx&amp;sheet=A0&amp;row=295&amp;col=7&amp;number=0&amp;sourceID=14","0")</f>
        <v>0</v>
      </c>
    </row>
    <row r="296" spans="1:7">
      <c r="A296" s="3">
        <v>11</v>
      </c>
      <c r="B296" s="3">
        <v>2</v>
      </c>
      <c r="C296" s="3">
        <v>19</v>
      </c>
      <c r="D296" s="3">
        <v>11</v>
      </c>
      <c r="E296" s="3">
        <v>184.77</v>
      </c>
      <c r="F296" s="4" t="str">
        <f>HYPERLINK("http://141.218.60.56/~jnz1568/getInfo.php?workbook=11_02.xlsx&amp;sheet=A0&amp;row=296&amp;col=6&amp;number=2612000&amp;sourceID=14","2612000")</f>
        <v>2612000</v>
      </c>
      <c r="G296" s="4" t="str">
        <f>HYPERLINK("http://141.218.60.56/~jnz1568/getInfo.php?workbook=11_02.xlsx&amp;sheet=A0&amp;row=296&amp;col=7&amp;number=0&amp;sourceID=14","0")</f>
        <v>0</v>
      </c>
    </row>
    <row r="297" spans="1:7">
      <c r="A297" s="3">
        <v>11</v>
      </c>
      <c r="B297" s="3">
        <v>2</v>
      </c>
      <c r="C297" s="3">
        <v>20</v>
      </c>
      <c r="D297" s="3">
        <v>11</v>
      </c>
      <c r="E297" s="3">
        <v>184.746</v>
      </c>
      <c r="F297" s="4" t="str">
        <f>HYPERLINK("http://141.218.60.56/~jnz1568/getInfo.php?workbook=11_02.xlsx&amp;sheet=A0&amp;row=297&amp;col=6&amp;number=1956000&amp;sourceID=14","1956000")</f>
        <v>1956000</v>
      </c>
      <c r="G297" s="4" t="str">
        <f>HYPERLINK("http://141.218.60.56/~jnz1568/getInfo.php?workbook=11_02.xlsx&amp;sheet=A0&amp;row=297&amp;col=7&amp;number=0&amp;sourceID=14","0")</f>
        <v>0</v>
      </c>
    </row>
    <row r="298" spans="1:7">
      <c r="A298" s="3">
        <v>11</v>
      </c>
      <c r="B298" s="3">
        <v>2</v>
      </c>
      <c r="C298" s="3">
        <v>21</v>
      </c>
      <c r="D298" s="3">
        <v>11</v>
      </c>
      <c r="E298" s="3">
        <v>184.643</v>
      </c>
      <c r="F298" s="4" t="str">
        <f>HYPERLINK("http://141.218.60.56/~jnz1568/getInfo.php?workbook=11_02.xlsx&amp;sheet=A0&amp;row=298&amp;col=6&amp;number=913500&amp;sourceID=14","913500")</f>
        <v>913500</v>
      </c>
      <c r="G298" s="4" t="str">
        <f>HYPERLINK("http://141.218.60.56/~jnz1568/getInfo.php?workbook=11_02.xlsx&amp;sheet=A0&amp;row=298&amp;col=7&amp;number=0&amp;sourceID=14","0")</f>
        <v>0</v>
      </c>
    </row>
    <row r="299" spans="1:7">
      <c r="A299" s="3">
        <v>11</v>
      </c>
      <c r="B299" s="3">
        <v>2</v>
      </c>
      <c r="C299" s="3">
        <v>22</v>
      </c>
      <c r="D299" s="3">
        <v>11</v>
      </c>
      <c r="E299" s="3">
        <v>184.731</v>
      </c>
      <c r="F299" s="4" t="str">
        <f>HYPERLINK("http://141.218.60.56/~jnz1568/getInfo.php?workbook=11_02.xlsx&amp;sheet=A0&amp;row=299&amp;col=6&amp;number=40.22&amp;sourceID=14","40.22")</f>
        <v>40.22</v>
      </c>
      <c r="G299" s="4" t="str">
        <f>HYPERLINK("http://141.218.60.56/~jnz1568/getInfo.php?workbook=11_02.xlsx&amp;sheet=A0&amp;row=299&amp;col=7&amp;number=0&amp;sourceID=14","0")</f>
        <v>0</v>
      </c>
    </row>
    <row r="300" spans="1:7">
      <c r="A300" s="3">
        <v>11</v>
      </c>
      <c r="B300" s="3">
        <v>2</v>
      </c>
      <c r="C300" s="3">
        <v>23</v>
      </c>
      <c r="D300" s="3">
        <v>11</v>
      </c>
      <c r="E300" s="3">
        <v>182.822</v>
      </c>
      <c r="F300" s="4" t="str">
        <f>HYPERLINK("http://141.218.60.56/~jnz1568/getInfo.php?workbook=11_02.xlsx&amp;sheet=A0&amp;row=300&amp;col=6&amp;number=1932000000&amp;sourceID=14","1932000000")</f>
        <v>1932000000</v>
      </c>
      <c r="G300" s="4" t="str">
        <f>HYPERLINK("http://141.218.60.56/~jnz1568/getInfo.php?workbook=11_02.xlsx&amp;sheet=A0&amp;row=300&amp;col=7&amp;number=0&amp;sourceID=14","0")</f>
        <v>0</v>
      </c>
    </row>
    <row r="301" spans="1:7">
      <c r="A301" s="3">
        <v>11</v>
      </c>
      <c r="B301" s="3">
        <v>2</v>
      </c>
      <c r="C301" s="3">
        <v>24</v>
      </c>
      <c r="D301" s="3">
        <v>11</v>
      </c>
      <c r="E301" s="3">
        <v>182.822</v>
      </c>
      <c r="F301" s="4" t="str">
        <f>HYPERLINK("http://141.218.60.56/~jnz1568/getInfo.php?workbook=11_02.xlsx&amp;sheet=A0&amp;row=301&amp;col=6&amp;number=16770000000&amp;sourceID=14","16770000000")</f>
        <v>16770000000</v>
      </c>
      <c r="G301" s="4" t="str">
        <f>HYPERLINK("http://141.218.60.56/~jnz1568/getInfo.php?workbook=11_02.xlsx&amp;sheet=A0&amp;row=301&amp;col=7&amp;number=0&amp;sourceID=14","0")</f>
        <v>0</v>
      </c>
    </row>
    <row r="302" spans="1:7">
      <c r="A302" s="3">
        <v>11</v>
      </c>
      <c r="B302" s="3">
        <v>2</v>
      </c>
      <c r="C302" s="3">
        <v>25</v>
      </c>
      <c r="D302" s="3">
        <v>11</v>
      </c>
      <c r="E302" s="3">
        <v>182.822</v>
      </c>
      <c r="F302" s="4" t="str">
        <f>HYPERLINK("http://141.218.60.56/~jnz1568/getInfo.php?workbook=11_02.xlsx&amp;sheet=A0&amp;row=302&amp;col=6&amp;number=69610000000&amp;sourceID=14","69610000000")</f>
        <v>69610000000</v>
      </c>
      <c r="G302" s="4" t="str">
        <f>HYPERLINK("http://141.218.60.56/~jnz1568/getInfo.php?workbook=11_02.xlsx&amp;sheet=A0&amp;row=302&amp;col=7&amp;number=0&amp;sourceID=14","0")</f>
        <v>0</v>
      </c>
    </row>
    <row r="303" spans="1:7">
      <c r="A303" s="3">
        <v>11</v>
      </c>
      <c r="B303" s="3">
        <v>2</v>
      </c>
      <c r="C303" s="3">
        <v>26</v>
      </c>
      <c r="D303" s="3">
        <v>11</v>
      </c>
      <c r="E303" s="3">
        <v>182.684</v>
      </c>
      <c r="F303" s="4" t="str">
        <f>HYPERLINK("http://141.218.60.56/~jnz1568/getInfo.php?workbook=11_02.xlsx&amp;sheet=A0&amp;row=303&amp;col=6&amp;number=418200&amp;sourceID=14","418200")</f>
        <v>418200</v>
      </c>
      <c r="G303" s="4" t="str">
        <f>HYPERLINK("http://141.218.60.56/~jnz1568/getInfo.php?workbook=11_02.xlsx&amp;sheet=A0&amp;row=303&amp;col=7&amp;number=0&amp;sourceID=14","0")</f>
        <v>0</v>
      </c>
    </row>
    <row r="304" spans="1:7">
      <c r="A304" s="3">
        <v>11</v>
      </c>
      <c r="B304" s="3">
        <v>2</v>
      </c>
      <c r="C304" s="3">
        <v>27</v>
      </c>
      <c r="D304" s="3">
        <v>11</v>
      </c>
      <c r="E304" s="3">
        <v>182.684</v>
      </c>
      <c r="F304" s="4" t="str">
        <f>HYPERLINK("http://141.218.60.56/~jnz1568/getInfo.php?workbook=11_02.xlsx&amp;sheet=A0&amp;row=304&amp;col=6&amp;number=1228000&amp;sourceID=14","1228000")</f>
        <v>1228000</v>
      </c>
      <c r="G304" s="4" t="str">
        <f>HYPERLINK("http://141.218.60.56/~jnz1568/getInfo.php?workbook=11_02.xlsx&amp;sheet=A0&amp;row=304&amp;col=7&amp;number=0&amp;sourceID=14","0")</f>
        <v>0</v>
      </c>
    </row>
    <row r="305" spans="1:7">
      <c r="A305" s="3">
        <v>11</v>
      </c>
      <c r="B305" s="3">
        <v>2</v>
      </c>
      <c r="C305" s="3">
        <v>28</v>
      </c>
      <c r="D305" s="3">
        <v>11</v>
      </c>
      <c r="E305" s="3">
        <v>182.684</v>
      </c>
      <c r="F305" s="4" t="str">
        <f>HYPERLINK("http://141.218.60.56/~jnz1568/getInfo.php?workbook=11_02.xlsx&amp;sheet=A0&amp;row=305&amp;col=6&amp;number=6278000&amp;sourceID=14","6278000")</f>
        <v>6278000</v>
      </c>
      <c r="G305" s="4" t="str">
        <f>HYPERLINK("http://141.218.60.56/~jnz1568/getInfo.php?workbook=11_02.xlsx&amp;sheet=A0&amp;row=305&amp;col=7&amp;number=0&amp;sourceID=14","0")</f>
        <v>0</v>
      </c>
    </row>
    <row r="306" spans="1:7">
      <c r="A306" s="3">
        <v>11</v>
      </c>
      <c r="B306" s="3">
        <v>2</v>
      </c>
      <c r="C306" s="3">
        <v>29</v>
      </c>
      <c r="D306" s="3">
        <v>11</v>
      </c>
      <c r="E306" s="3">
        <v>182.683</v>
      </c>
      <c r="F306" s="4" t="str">
        <f>HYPERLINK("http://141.218.60.56/~jnz1568/getInfo.php?workbook=11_02.xlsx&amp;sheet=A0&amp;row=306&amp;col=6&amp;number=864100&amp;sourceID=14","864100")</f>
        <v>864100</v>
      </c>
      <c r="G306" s="4" t="str">
        <f>HYPERLINK("http://141.218.60.56/~jnz1568/getInfo.php?workbook=11_02.xlsx&amp;sheet=A0&amp;row=306&amp;col=7&amp;number=0&amp;sourceID=14","0")</f>
        <v>0</v>
      </c>
    </row>
    <row r="307" spans="1:7">
      <c r="A307" s="3">
        <v>11</v>
      </c>
      <c r="B307" s="3">
        <v>2</v>
      </c>
      <c r="C307" s="3">
        <v>30</v>
      </c>
      <c r="D307" s="3">
        <v>11</v>
      </c>
      <c r="E307" s="3">
        <v>182.696</v>
      </c>
      <c r="F307" s="4" t="str">
        <f>HYPERLINK("http://141.218.60.56/~jnz1568/getInfo.php?workbook=11_02.xlsx&amp;sheet=A0&amp;row=307&amp;col=6&amp;number=638200000&amp;sourceID=14","638200000")</f>
        <v>638200000</v>
      </c>
      <c r="G307" s="4" t="str">
        <f>HYPERLINK("http://141.218.60.56/~jnz1568/getInfo.php?workbook=11_02.xlsx&amp;sheet=A0&amp;row=307&amp;col=7&amp;number=0&amp;sourceID=14","0")</f>
        <v>0</v>
      </c>
    </row>
    <row r="308" spans="1:7">
      <c r="A308" s="3">
        <v>11</v>
      </c>
      <c r="B308" s="3">
        <v>2</v>
      </c>
      <c r="C308" s="3">
        <v>31</v>
      </c>
      <c r="D308" s="3">
        <v>11</v>
      </c>
      <c r="E308" s="3">
        <v>182.238</v>
      </c>
      <c r="F308" s="4" t="str">
        <f>HYPERLINK("http://141.218.60.56/~jnz1568/getInfo.php?workbook=11_02.xlsx&amp;sheet=A0&amp;row=308&amp;col=6&amp;number=2132&amp;sourceID=14","2132")</f>
        <v>2132</v>
      </c>
      <c r="G308" s="4" t="str">
        <f>HYPERLINK("http://141.218.60.56/~jnz1568/getInfo.php?workbook=11_02.xlsx&amp;sheet=A0&amp;row=308&amp;col=7&amp;number=0&amp;sourceID=14","0")</f>
        <v>0</v>
      </c>
    </row>
    <row r="309" spans="1:7">
      <c r="A309" s="3">
        <v>11</v>
      </c>
      <c r="B309" s="3">
        <v>2</v>
      </c>
      <c r="C309" s="3">
        <v>32</v>
      </c>
      <c r="D309" s="3">
        <v>11</v>
      </c>
      <c r="E309" s="3">
        <v>127.19</v>
      </c>
      <c r="F309" s="4" t="str">
        <f>HYPERLINK("http://141.218.60.56/~jnz1568/getInfo.php?workbook=11_02.xlsx&amp;sheet=A0&amp;row=309&amp;col=6&amp;number=5751000000&amp;sourceID=14","5751000000")</f>
        <v>5751000000</v>
      </c>
      <c r="G309" s="4" t="str">
        <f>HYPERLINK("http://141.218.60.56/~jnz1568/getInfo.php?workbook=11_02.xlsx&amp;sheet=A0&amp;row=309&amp;col=7&amp;number=0&amp;sourceID=14","0")</f>
        <v>0</v>
      </c>
    </row>
    <row r="310" spans="1:7">
      <c r="A310" s="3">
        <v>11</v>
      </c>
      <c r="B310" s="3">
        <v>2</v>
      </c>
      <c r="C310" s="3">
        <v>33</v>
      </c>
      <c r="D310" s="3">
        <v>11</v>
      </c>
      <c r="E310" s="3">
        <v>126.393</v>
      </c>
      <c r="F310" s="4" t="str">
        <f>HYPERLINK("http://141.218.60.56/~jnz1568/getInfo.php?workbook=11_02.xlsx&amp;sheet=A0&amp;row=310&amp;col=6&amp;number=1288000&amp;sourceID=14","1288000")</f>
        <v>1288000</v>
      </c>
      <c r="G310" s="4" t="str">
        <f>HYPERLINK("http://141.218.60.56/~jnz1568/getInfo.php?workbook=11_02.xlsx&amp;sheet=A0&amp;row=310&amp;col=7&amp;number=0&amp;sourceID=14","0")</f>
        <v>0</v>
      </c>
    </row>
    <row r="311" spans="1:7">
      <c r="A311" s="3">
        <v>11</v>
      </c>
      <c r="B311" s="3">
        <v>2</v>
      </c>
      <c r="C311" s="3">
        <v>34</v>
      </c>
      <c r="D311" s="3">
        <v>11</v>
      </c>
      <c r="E311" s="3">
        <v>126.387</v>
      </c>
      <c r="F311" s="4" t="str">
        <f>HYPERLINK("http://141.218.60.56/~jnz1568/getInfo.php?workbook=11_02.xlsx&amp;sheet=A0&amp;row=311&amp;col=6&amp;number=964800&amp;sourceID=14","964800")</f>
        <v>964800</v>
      </c>
      <c r="G311" s="4" t="str">
        <f>HYPERLINK("http://141.218.60.56/~jnz1568/getInfo.php?workbook=11_02.xlsx&amp;sheet=A0&amp;row=311&amp;col=7&amp;number=0&amp;sourceID=14","0")</f>
        <v>0</v>
      </c>
    </row>
    <row r="312" spans="1:7">
      <c r="A312" s="3">
        <v>11</v>
      </c>
      <c r="B312" s="3">
        <v>2</v>
      </c>
      <c r="C312" s="3">
        <v>35</v>
      </c>
      <c r="D312" s="3">
        <v>11</v>
      </c>
      <c r="E312" s="3">
        <v>126.363</v>
      </c>
      <c r="F312" s="4" t="str">
        <f>HYPERLINK("http://141.218.60.56/~jnz1568/getInfo.php?workbook=11_02.xlsx&amp;sheet=A0&amp;row=312&amp;col=6&amp;number=450800&amp;sourceID=14","450800")</f>
        <v>450800</v>
      </c>
      <c r="G312" s="4" t="str">
        <f>HYPERLINK("http://141.218.60.56/~jnz1568/getInfo.php?workbook=11_02.xlsx&amp;sheet=A0&amp;row=312&amp;col=7&amp;number=0&amp;sourceID=14","0")</f>
        <v>0</v>
      </c>
    </row>
    <row r="313" spans="1:7">
      <c r="A313" s="3">
        <v>11</v>
      </c>
      <c r="B313" s="3">
        <v>2</v>
      </c>
      <c r="C313" s="3">
        <v>36</v>
      </c>
      <c r="D313" s="3">
        <v>11</v>
      </c>
      <c r="E313" s="3">
        <v>126.389</v>
      </c>
      <c r="F313" s="4" t="str">
        <f>HYPERLINK("http://141.218.60.56/~jnz1568/getInfo.php?workbook=11_02.xlsx&amp;sheet=A0&amp;row=313&amp;col=6&amp;number=41.62&amp;sourceID=14","41.62")</f>
        <v>41.62</v>
      </c>
      <c r="G313" s="4" t="str">
        <f>HYPERLINK("http://141.218.60.56/~jnz1568/getInfo.php?workbook=11_02.xlsx&amp;sheet=A0&amp;row=313&amp;col=7&amp;number=0&amp;sourceID=14","0")</f>
        <v>0</v>
      </c>
    </row>
    <row r="314" spans="1:7">
      <c r="A314" s="3">
        <v>11</v>
      </c>
      <c r="B314" s="3">
        <v>2</v>
      </c>
      <c r="C314" s="3">
        <v>37</v>
      </c>
      <c r="D314" s="3">
        <v>11</v>
      </c>
      <c r="E314" s="3">
        <v>125.927</v>
      </c>
      <c r="F314" s="4" t="str">
        <f>HYPERLINK("http://141.218.60.56/~jnz1568/getInfo.php?workbook=11_02.xlsx&amp;sheet=A0&amp;row=314&amp;col=6&amp;number=940400000&amp;sourceID=14","940400000")</f>
        <v>940400000</v>
      </c>
      <c r="G314" s="4" t="str">
        <f>HYPERLINK("http://141.218.60.56/~jnz1568/getInfo.php?workbook=11_02.xlsx&amp;sheet=A0&amp;row=314&amp;col=7&amp;number=0&amp;sourceID=14","0")</f>
        <v>0</v>
      </c>
    </row>
    <row r="315" spans="1:7">
      <c r="A315" s="3">
        <v>11</v>
      </c>
      <c r="B315" s="3">
        <v>2</v>
      </c>
      <c r="C315" s="3">
        <v>38</v>
      </c>
      <c r="D315" s="3">
        <v>11</v>
      </c>
      <c r="E315" s="3">
        <v>125.927</v>
      </c>
      <c r="F315" s="4" t="str">
        <f>HYPERLINK("http://141.218.60.56/~jnz1568/getInfo.php?workbook=11_02.xlsx&amp;sheet=A0&amp;row=315&amp;col=6&amp;number=8210000000&amp;sourceID=14","8210000000")</f>
        <v>8210000000</v>
      </c>
      <c r="G315" s="4" t="str">
        <f>HYPERLINK("http://141.218.60.56/~jnz1568/getInfo.php?workbook=11_02.xlsx&amp;sheet=A0&amp;row=315&amp;col=7&amp;number=0&amp;sourceID=14","0")</f>
        <v>0</v>
      </c>
    </row>
    <row r="316" spans="1:7">
      <c r="A316" s="3">
        <v>11</v>
      </c>
      <c r="B316" s="3">
        <v>2</v>
      </c>
      <c r="C316" s="3">
        <v>39</v>
      </c>
      <c r="D316" s="3">
        <v>11</v>
      </c>
      <c r="E316" s="3">
        <v>125.927</v>
      </c>
      <c r="F316" s="4" t="str">
        <f>HYPERLINK("http://141.218.60.56/~jnz1568/getInfo.php?workbook=11_02.xlsx&amp;sheet=A0&amp;row=316&amp;col=6&amp;number=33900000000&amp;sourceID=14","33900000000")</f>
        <v>33900000000</v>
      </c>
      <c r="G316" s="4" t="str">
        <f>HYPERLINK("http://141.218.60.56/~jnz1568/getInfo.php?workbook=11_02.xlsx&amp;sheet=A0&amp;row=316&amp;col=7&amp;number=0&amp;sourceID=14","0")</f>
        <v>0</v>
      </c>
    </row>
    <row r="317" spans="1:7">
      <c r="A317" s="3">
        <v>11</v>
      </c>
      <c r="B317" s="3">
        <v>2</v>
      </c>
      <c r="C317" s="3">
        <v>40</v>
      </c>
      <c r="D317" s="3">
        <v>11</v>
      </c>
      <c r="E317" s="3">
        <v>125.893</v>
      </c>
      <c r="F317" s="4" t="str">
        <f>HYPERLINK("http://141.218.60.56/~jnz1568/getInfo.php?workbook=11_02.xlsx&amp;sheet=A0&amp;row=317&amp;col=6&amp;number=3631&amp;sourceID=14","3631")</f>
        <v>3631</v>
      </c>
      <c r="G317" s="4" t="str">
        <f>HYPERLINK("http://141.218.60.56/~jnz1568/getInfo.php?workbook=11_02.xlsx&amp;sheet=A0&amp;row=317&amp;col=7&amp;number=0&amp;sourceID=14","0")</f>
        <v>0</v>
      </c>
    </row>
    <row r="318" spans="1:7">
      <c r="A318" s="3">
        <v>11</v>
      </c>
      <c r="B318" s="3">
        <v>2</v>
      </c>
      <c r="C318" s="3">
        <v>41</v>
      </c>
      <c r="D318" s="3">
        <v>11</v>
      </c>
      <c r="E318" s="3">
        <v>125.893</v>
      </c>
      <c r="F318" s="4" t="str">
        <f>HYPERLINK("http://141.218.60.56/~jnz1568/getInfo.php?workbook=11_02.xlsx&amp;sheet=A0&amp;row=318&amp;col=6&amp;number=10950&amp;sourceID=14","10950")</f>
        <v>10950</v>
      </c>
      <c r="G318" s="4" t="str">
        <f>HYPERLINK("http://141.218.60.56/~jnz1568/getInfo.php?workbook=11_02.xlsx&amp;sheet=A0&amp;row=318&amp;col=7&amp;number=0&amp;sourceID=14","0")</f>
        <v>0</v>
      </c>
    </row>
    <row r="319" spans="1:7">
      <c r="A319" s="3">
        <v>11</v>
      </c>
      <c r="B319" s="3">
        <v>2</v>
      </c>
      <c r="C319" s="3">
        <v>42</v>
      </c>
      <c r="D319" s="3">
        <v>11</v>
      </c>
      <c r="E319" s="3">
        <v>125.893</v>
      </c>
      <c r="F319" s="4" t="str">
        <f>HYPERLINK("http://141.218.60.56/~jnz1568/getInfo.php?workbook=11_02.xlsx&amp;sheet=A0&amp;row=319&amp;col=6&amp;number=55100&amp;sourceID=14","55100")</f>
        <v>55100</v>
      </c>
      <c r="G319" s="4" t="str">
        <f>HYPERLINK("http://141.218.60.56/~jnz1568/getInfo.php?workbook=11_02.xlsx&amp;sheet=A0&amp;row=319&amp;col=7&amp;number=0&amp;sourceID=14","0")</f>
        <v>0</v>
      </c>
    </row>
    <row r="320" spans="1:7">
      <c r="A320" s="3">
        <v>11</v>
      </c>
      <c r="B320" s="3">
        <v>2</v>
      </c>
      <c r="C320" s="3">
        <v>43</v>
      </c>
      <c r="D320" s="3">
        <v>11</v>
      </c>
      <c r="E320" s="3">
        <v>125.892</v>
      </c>
      <c r="F320" s="4" t="str">
        <f>HYPERLINK("http://141.218.60.56/~jnz1568/getInfo.php?workbook=11_02.xlsx&amp;sheet=A0&amp;row=320&amp;col=6&amp;number=7312&amp;sourceID=14","7312")</f>
        <v>7312</v>
      </c>
      <c r="G320" s="4" t="str">
        <f>HYPERLINK("http://141.218.60.56/~jnz1568/getInfo.php?workbook=11_02.xlsx&amp;sheet=A0&amp;row=320&amp;col=7&amp;number=0&amp;sourceID=14","0")</f>
        <v>0</v>
      </c>
    </row>
    <row r="321" spans="1:7">
      <c r="A321" s="3">
        <v>11</v>
      </c>
      <c r="B321" s="3">
        <v>2</v>
      </c>
      <c r="C321" s="3">
        <v>44</v>
      </c>
      <c r="D321" s="3">
        <v>11</v>
      </c>
      <c r="E321" s="3">
        <v>-126.194</v>
      </c>
      <c r="F321" s="4" t="str">
        <f>HYPERLINK("http://141.218.60.56/~jnz1568/getInfo.php?workbook=11_02.xlsx&amp;sheet=A0&amp;row=321&amp;col=6&amp;number=7.394&amp;sourceID=14","7.394")</f>
        <v>7.394</v>
      </c>
      <c r="G321" s="4" t="str">
        <f>HYPERLINK("http://141.218.60.56/~jnz1568/getInfo.php?workbook=11_02.xlsx&amp;sheet=A0&amp;row=321&amp;col=7&amp;number=0&amp;sourceID=14","0")</f>
        <v>0</v>
      </c>
    </row>
    <row r="322" spans="1:7">
      <c r="A322" s="3">
        <v>11</v>
      </c>
      <c r="B322" s="3">
        <v>2</v>
      </c>
      <c r="C322" s="3">
        <v>46</v>
      </c>
      <c r="D322" s="3">
        <v>11</v>
      </c>
      <c r="E322" s="3">
        <v>125.893</v>
      </c>
      <c r="F322" s="4" t="str">
        <f>HYPERLINK("http://141.218.60.56/~jnz1568/getInfo.php?workbook=11_02.xlsx&amp;sheet=A0&amp;row=322&amp;col=6&amp;number=266400000&amp;sourceID=14","266400000")</f>
        <v>266400000</v>
      </c>
      <c r="G322" s="4" t="str">
        <f>HYPERLINK("http://141.218.60.56/~jnz1568/getInfo.php?workbook=11_02.xlsx&amp;sheet=A0&amp;row=322&amp;col=7&amp;number=0&amp;sourceID=14","0")</f>
        <v>0</v>
      </c>
    </row>
    <row r="323" spans="1:7">
      <c r="A323" s="3">
        <v>11</v>
      </c>
      <c r="B323" s="3">
        <v>2</v>
      </c>
      <c r="C323" s="3">
        <v>49</v>
      </c>
      <c r="D323" s="3">
        <v>11</v>
      </c>
      <c r="E323" s="3">
        <v>125.788</v>
      </c>
      <c r="F323" s="4" t="str">
        <f>HYPERLINK("http://141.218.60.56/~jnz1568/getInfo.php?workbook=11_02.xlsx&amp;sheet=A0&amp;row=323&amp;col=6&amp;number=1082&amp;sourceID=14","1082")</f>
        <v>1082</v>
      </c>
      <c r="G323" s="4" t="str">
        <f>HYPERLINK("http://141.218.60.56/~jnz1568/getInfo.php?workbook=11_02.xlsx&amp;sheet=A0&amp;row=323&amp;col=7&amp;number=0&amp;sourceID=14","0")</f>
        <v>0</v>
      </c>
    </row>
    <row r="324" spans="1:7">
      <c r="A324" s="3">
        <v>11</v>
      </c>
      <c r="B324" s="3">
        <v>2</v>
      </c>
      <c r="C324" s="3">
        <v>17</v>
      </c>
      <c r="D324" s="3">
        <v>12</v>
      </c>
      <c r="E324" s="3">
        <v>5666.054</v>
      </c>
      <c r="F324" s="4" t="str">
        <f>HYPERLINK("http://141.218.60.56/~jnz1568/getInfo.php?workbook=11_02.xlsx&amp;sheet=A0&amp;row=324&amp;col=6&amp;number=5217000&amp;sourceID=14","5217000")</f>
        <v>5217000</v>
      </c>
      <c r="G324" s="4" t="str">
        <f>HYPERLINK("http://141.218.60.56/~jnz1568/getInfo.php?workbook=11_02.xlsx&amp;sheet=A0&amp;row=324&amp;col=7&amp;number=0&amp;sourceID=14","0")</f>
        <v>0</v>
      </c>
    </row>
    <row r="325" spans="1:7">
      <c r="A325" s="3">
        <v>11</v>
      </c>
      <c r="B325" s="3">
        <v>2</v>
      </c>
      <c r="C325" s="3">
        <v>20</v>
      </c>
      <c r="D325" s="3">
        <v>12</v>
      </c>
      <c r="E325" s="3">
        <v>184.668</v>
      </c>
      <c r="F325" s="4" t="str">
        <f>HYPERLINK("http://141.218.60.56/~jnz1568/getInfo.php?workbook=11_02.xlsx&amp;sheet=A0&amp;row=325&amp;col=6&amp;number=36220000&amp;sourceID=14","36220000")</f>
        <v>36220000</v>
      </c>
      <c r="G325" s="4" t="str">
        <f>HYPERLINK("http://141.218.60.56/~jnz1568/getInfo.php?workbook=11_02.xlsx&amp;sheet=A0&amp;row=325&amp;col=7&amp;number=0&amp;sourceID=14","0")</f>
        <v>0</v>
      </c>
    </row>
    <row r="326" spans="1:7">
      <c r="A326" s="3">
        <v>11</v>
      </c>
      <c r="B326" s="3">
        <v>2</v>
      </c>
      <c r="C326" s="3">
        <v>21</v>
      </c>
      <c r="D326" s="3">
        <v>12</v>
      </c>
      <c r="E326" s="3">
        <v>184.566</v>
      </c>
      <c r="F326" s="4" t="str">
        <f>HYPERLINK("http://141.218.60.56/~jnz1568/getInfo.php?workbook=11_02.xlsx&amp;sheet=A0&amp;row=326&amp;col=6&amp;number=41.28&amp;sourceID=14","41.28")</f>
        <v>41.28</v>
      </c>
      <c r="G326" s="4" t="str">
        <f>HYPERLINK("http://141.218.60.56/~jnz1568/getInfo.php?workbook=11_02.xlsx&amp;sheet=A0&amp;row=326&amp;col=7&amp;number=0&amp;sourceID=14","0")</f>
        <v>0</v>
      </c>
    </row>
    <row r="327" spans="1:7">
      <c r="A327" s="3">
        <v>11</v>
      </c>
      <c r="B327" s="3">
        <v>2</v>
      </c>
      <c r="C327" s="3">
        <v>24</v>
      </c>
      <c r="D327" s="3">
        <v>12</v>
      </c>
      <c r="E327" s="3">
        <v>182.746</v>
      </c>
      <c r="F327" s="4" t="str">
        <f>HYPERLINK("http://141.218.60.56/~jnz1568/getInfo.php?workbook=11_02.xlsx&amp;sheet=A0&amp;row=327&amp;col=6&amp;number=146800&amp;sourceID=14","146800")</f>
        <v>146800</v>
      </c>
      <c r="G327" s="4" t="str">
        <f>HYPERLINK("http://141.218.60.56/~jnz1568/getInfo.php?workbook=11_02.xlsx&amp;sheet=A0&amp;row=327&amp;col=7&amp;number=0&amp;sourceID=14","0")</f>
        <v>0</v>
      </c>
    </row>
    <row r="328" spans="1:7">
      <c r="A328" s="3">
        <v>11</v>
      </c>
      <c r="B328" s="3">
        <v>2</v>
      </c>
      <c r="C328" s="3">
        <v>30</v>
      </c>
      <c r="D328" s="3">
        <v>12</v>
      </c>
      <c r="E328" s="3">
        <v>182.62</v>
      </c>
      <c r="F328" s="4" t="str">
        <f>HYPERLINK("http://141.218.60.56/~jnz1568/getInfo.php?workbook=11_02.xlsx&amp;sheet=A0&amp;row=328&amp;col=6&amp;number=3852000&amp;sourceID=14","3852000")</f>
        <v>3852000</v>
      </c>
      <c r="G328" s="4" t="str">
        <f>HYPERLINK("http://141.218.60.56/~jnz1568/getInfo.php?workbook=11_02.xlsx&amp;sheet=A0&amp;row=328&amp;col=7&amp;number=0&amp;sourceID=14","0")</f>
        <v>0</v>
      </c>
    </row>
    <row r="329" spans="1:7">
      <c r="A329" s="3">
        <v>11</v>
      </c>
      <c r="B329" s="3">
        <v>2</v>
      </c>
      <c r="C329" s="3">
        <v>31</v>
      </c>
      <c r="D329" s="3">
        <v>12</v>
      </c>
      <c r="E329" s="3">
        <v>182.162</v>
      </c>
      <c r="F329" s="4" t="str">
        <f>HYPERLINK("http://141.218.60.56/~jnz1568/getInfo.php?workbook=11_02.xlsx&amp;sheet=A0&amp;row=329&amp;col=6&amp;number=29650000000&amp;sourceID=14","29650000000")</f>
        <v>29650000000</v>
      </c>
      <c r="G329" s="4" t="str">
        <f>HYPERLINK("http://141.218.60.56/~jnz1568/getInfo.php?workbook=11_02.xlsx&amp;sheet=A0&amp;row=329&amp;col=7&amp;number=0&amp;sourceID=14","0")</f>
        <v>0</v>
      </c>
    </row>
    <row r="330" spans="1:7">
      <c r="A330" s="3">
        <v>11</v>
      </c>
      <c r="B330" s="3">
        <v>2</v>
      </c>
      <c r="C330" s="3">
        <v>34</v>
      </c>
      <c r="D330" s="3">
        <v>12</v>
      </c>
      <c r="E330" s="3">
        <v>126.351</v>
      </c>
      <c r="F330" s="4" t="str">
        <f>HYPERLINK("http://141.218.60.56/~jnz1568/getInfo.php?workbook=11_02.xlsx&amp;sheet=A0&amp;row=330&amp;col=6&amp;number=21460000&amp;sourceID=14","21460000")</f>
        <v>21460000</v>
      </c>
      <c r="G330" s="4" t="str">
        <f>HYPERLINK("http://141.218.60.56/~jnz1568/getInfo.php?workbook=11_02.xlsx&amp;sheet=A0&amp;row=330&amp;col=7&amp;number=0&amp;sourceID=14","0")</f>
        <v>0</v>
      </c>
    </row>
    <row r="331" spans="1:7">
      <c r="A331" s="3">
        <v>11</v>
      </c>
      <c r="B331" s="3">
        <v>2</v>
      </c>
      <c r="C331" s="3">
        <v>35</v>
      </c>
      <c r="D331" s="3">
        <v>12</v>
      </c>
      <c r="E331" s="3">
        <v>126.326</v>
      </c>
      <c r="F331" s="4" t="str">
        <f>HYPERLINK("http://141.218.60.56/~jnz1568/getInfo.php?workbook=11_02.xlsx&amp;sheet=A0&amp;row=331&amp;col=6&amp;number=50.73&amp;sourceID=14","50.73")</f>
        <v>50.73</v>
      </c>
      <c r="G331" s="4" t="str">
        <f>HYPERLINK("http://141.218.60.56/~jnz1568/getInfo.php?workbook=11_02.xlsx&amp;sheet=A0&amp;row=331&amp;col=7&amp;number=0&amp;sourceID=14","0")</f>
        <v>0</v>
      </c>
    </row>
    <row r="332" spans="1:7">
      <c r="A332" s="3">
        <v>11</v>
      </c>
      <c r="B332" s="3">
        <v>2</v>
      </c>
      <c r="C332" s="3">
        <v>38</v>
      </c>
      <c r="D332" s="3">
        <v>12</v>
      </c>
      <c r="E332" s="3">
        <v>125.891</v>
      </c>
      <c r="F332" s="4" t="str">
        <f>HYPERLINK("http://141.218.60.56/~jnz1568/getInfo.php?workbook=11_02.xlsx&amp;sheet=A0&amp;row=332&amp;col=6&amp;number=49110&amp;sourceID=14","49110")</f>
        <v>49110</v>
      </c>
      <c r="G332" s="4" t="str">
        <f>HYPERLINK("http://141.218.60.56/~jnz1568/getInfo.php?workbook=11_02.xlsx&amp;sheet=A0&amp;row=332&amp;col=7&amp;number=0&amp;sourceID=14","0")</f>
        <v>0</v>
      </c>
    </row>
    <row r="333" spans="1:7">
      <c r="A333" s="3">
        <v>11</v>
      </c>
      <c r="B333" s="3">
        <v>2</v>
      </c>
      <c r="C333" s="3">
        <v>46</v>
      </c>
      <c r="D333" s="3">
        <v>12</v>
      </c>
      <c r="E333" s="3">
        <v>125.857</v>
      </c>
      <c r="F333" s="4" t="str">
        <f>HYPERLINK("http://141.218.60.56/~jnz1568/getInfo.php?workbook=11_02.xlsx&amp;sheet=A0&amp;row=333&amp;col=6&amp;number=1526000&amp;sourceID=14","1526000")</f>
        <v>1526000</v>
      </c>
      <c r="G333" s="4" t="str">
        <f>HYPERLINK("http://141.218.60.56/~jnz1568/getInfo.php?workbook=11_02.xlsx&amp;sheet=A0&amp;row=333&amp;col=7&amp;number=0&amp;sourceID=14","0")</f>
        <v>0</v>
      </c>
    </row>
    <row r="334" spans="1:7">
      <c r="A334" s="3">
        <v>11</v>
      </c>
      <c r="B334" s="3">
        <v>2</v>
      </c>
      <c r="C334" s="3">
        <v>49</v>
      </c>
      <c r="D334" s="3">
        <v>12</v>
      </c>
      <c r="E334" s="3">
        <v>125.752</v>
      </c>
      <c r="F334" s="4" t="str">
        <f>HYPERLINK("http://141.218.60.56/~jnz1568/getInfo.php?workbook=11_02.xlsx&amp;sheet=A0&amp;row=334&amp;col=6&amp;number=18500000000&amp;sourceID=14","18500000000")</f>
        <v>18500000000</v>
      </c>
      <c r="G334" s="4" t="str">
        <f>HYPERLINK("http://141.218.60.56/~jnz1568/getInfo.php?workbook=11_02.xlsx&amp;sheet=A0&amp;row=334&amp;col=7&amp;number=0&amp;sourceID=14","0")</f>
        <v>0</v>
      </c>
    </row>
    <row r="335" spans="1:7">
      <c r="A335" s="3">
        <v>11</v>
      </c>
      <c r="B335" s="3">
        <v>2</v>
      </c>
      <c r="C335" s="3">
        <v>17</v>
      </c>
      <c r="D335" s="3">
        <v>13</v>
      </c>
      <c r="E335" s="3">
        <v>22558.129</v>
      </c>
      <c r="F335" s="4" t="str">
        <f>HYPERLINK("http://141.218.60.56/~jnz1568/getInfo.php?workbook=11_02.xlsx&amp;sheet=A0&amp;row=335&amp;col=6&amp;number=57.19&amp;sourceID=14","57.19")</f>
        <v>57.19</v>
      </c>
      <c r="G335" s="4" t="str">
        <f>HYPERLINK("http://141.218.60.56/~jnz1568/getInfo.php?workbook=11_02.xlsx&amp;sheet=A0&amp;row=335&amp;col=7&amp;number=0&amp;sourceID=14","0")</f>
        <v>0</v>
      </c>
    </row>
    <row r="336" spans="1:7">
      <c r="A336" s="3">
        <v>11</v>
      </c>
      <c r="B336" s="3">
        <v>2</v>
      </c>
      <c r="C336" s="3">
        <v>18</v>
      </c>
      <c r="D336" s="3">
        <v>13</v>
      </c>
      <c r="E336" s="3">
        <v>192.895</v>
      </c>
      <c r="F336" s="4" t="str">
        <f>HYPERLINK("http://141.218.60.56/~jnz1568/getInfo.php?workbook=11_02.xlsx&amp;sheet=A0&amp;row=336&amp;col=6&amp;number=230000&amp;sourceID=14","230000")</f>
        <v>230000</v>
      </c>
      <c r="G336" s="4" t="str">
        <f>HYPERLINK("http://141.218.60.56/~jnz1568/getInfo.php?workbook=11_02.xlsx&amp;sheet=A0&amp;row=336&amp;col=7&amp;number=0&amp;sourceID=14","0")</f>
        <v>0</v>
      </c>
    </row>
    <row r="337" spans="1:7">
      <c r="A337" s="3">
        <v>11</v>
      </c>
      <c r="B337" s="3">
        <v>2</v>
      </c>
      <c r="C337" s="3">
        <v>19</v>
      </c>
      <c r="D337" s="3">
        <v>13</v>
      </c>
      <c r="E337" s="3">
        <v>189.313</v>
      </c>
      <c r="F337" s="4" t="str">
        <f>HYPERLINK("http://141.218.60.56/~jnz1568/getInfo.php?workbook=11_02.xlsx&amp;sheet=A0&amp;row=337&amp;col=6&amp;number=4131000000&amp;sourceID=14","4131000000")</f>
        <v>4131000000</v>
      </c>
      <c r="G337" s="4" t="str">
        <f>HYPERLINK("http://141.218.60.56/~jnz1568/getInfo.php?workbook=11_02.xlsx&amp;sheet=A0&amp;row=337&amp;col=7&amp;number=0&amp;sourceID=14","0")</f>
        <v>0</v>
      </c>
    </row>
    <row r="338" spans="1:7">
      <c r="A338" s="3">
        <v>11</v>
      </c>
      <c r="B338" s="3">
        <v>2</v>
      </c>
      <c r="C338" s="3">
        <v>20</v>
      </c>
      <c r="D338" s="3">
        <v>13</v>
      </c>
      <c r="E338" s="3">
        <v>189.288</v>
      </c>
      <c r="F338" s="4" t="str">
        <f>HYPERLINK("http://141.218.60.56/~jnz1568/getInfo.php?workbook=11_02.xlsx&amp;sheet=A0&amp;row=338&amp;col=6&amp;number=1034000000&amp;sourceID=14","1034000000")</f>
        <v>1034000000</v>
      </c>
      <c r="G338" s="4" t="str">
        <f>HYPERLINK("http://141.218.60.56/~jnz1568/getInfo.php?workbook=11_02.xlsx&amp;sheet=A0&amp;row=338&amp;col=7&amp;number=0&amp;sourceID=14","0")</f>
        <v>0</v>
      </c>
    </row>
    <row r="339" spans="1:7">
      <c r="A339" s="3">
        <v>11</v>
      </c>
      <c r="B339" s="3">
        <v>2</v>
      </c>
      <c r="C339" s="3">
        <v>21</v>
      </c>
      <c r="D339" s="3">
        <v>13</v>
      </c>
      <c r="E339" s="3">
        <v>189.18</v>
      </c>
      <c r="F339" s="4" t="str">
        <f>HYPERLINK("http://141.218.60.56/~jnz1568/getInfo.php?workbook=11_02.xlsx&amp;sheet=A0&amp;row=339&amp;col=6&amp;number=40530000&amp;sourceID=14","40530000")</f>
        <v>40530000</v>
      </c>
      <c r="G339" s="4" t="str">
        <f>HYPERLINK("http://141.218.60.56/~jnz1568/getInfo.php?workbook=11_02.xlsx&amp;sheet=A0&amp;row=339&amp;col=7&amp;number=0&amp;sourceID=14","0")</f>
        <v>0</v>
      </c>
    </row>
    <row r="340" spans="1:7">
      <c r="A340" s="3">
        <v>11</v>
      </c>
      <c r="B340" s="3">
        <v>2</v>
      </c>
      <c r="C340" s="3">
        <v>23</v>
      </c>
      <c r="D340" s="3">
        <v>13</v>
      </c>
      <c r="E340" s="3">
        <v>187.269</v>
      </c>
      <c r="F340" s="4" t="str">
        <f>HYPERLINK("http://141.218.60.56/~jnz1568/getInfo.php?workbook=11_02.xlsx&amp;sheet=A0&amp;row=340&amp;col=6&amp;number=416000&amp;sourceID=14","416000")</f>
        <v>416000</v>
      </c>
      <c r="G340" s="4" t="str">
        <f>HYPERLINK("http://141.218.60.56/~jnz1568/getInfo.php?workbook=11_02.xlsx&amp;sheet=A0&amp;row=340&amp;col=7&amp;number=0&amp;sourceID=14","0")</f>
        <v>0</v>
      </c>
    </row>
    <row r="341" spans="1:7">
      <c r="A341" s="3">
        <v>11</v>
      </c>
      <c r="B341" s="3">
        <v>2</v>
      </c>
      <c r="C341" s="3">
        <v>24</v>
      </c>
      <c r="D341" s="3">
        <v>13</v>
      </c>
      <c r="E341" s="3">
        <v>187.269</v>
      </c>
      <c r="F341" s="4" t="str">
        <f>HYPERLINK("http://141.218.60.56/~jnz1568/getInfo.php?workbook=11_02.xlsx&amp;sheet=A0&amp;row=341&amp;col=6&amp;number=402200&amp;sourceID=14","402200")</f>
        <v>402200</v>
      </c>
      <c r="G341" s="4" t="str">
        <f>HYPERLINK("http://141.218.60.56/~jnz1568/getInfo.php?workbook=11_02.xlsx&amp;sheet=A0&amp;row=341&amp;col=7&amp;number=0&amp;sourceID=14","0")</f>
        <v>0</v>
      </c>
    </row>
    <row r="342" spans="1:7">
      <c r="A342" s="3">
        <v>11</v>
      </c>
      <c r="B342" s="3">
        <v>2</v>
      </c>
      <c r="C342" s="3">
        <v>25</v>
      </c>
      <c r="D342" s="3">
        <v>13</v>
      </c>
      <c r="E342" s="3">
        <v>187.269</v>
      </c>
      <c r="F342" s="4" t="str">
        <f>HYPERLINK("http://141.218.60.56/~jnz1568/getInfo.php?workbook=11_02.xlsx&amp;sheet=A0&amp;row=342&amp;col=6&amp;number=33820&amp;sourceID=14","33820")</f>
        <v>33820</v>
      </c>
      <c r="G342" s="4" t="str">
        <f>HYPERLINK("http://141.218.60.56/~jnz1568/getInfo.php?workbook=11_02.xlsx&amp;sheet=A0&amp;row=342&amp;col=7&amp;number=0&amp;sourceID=14","0")</f>
        <v>0</v>
      </c>
    </row>
    <row r="343" spans="1:7">
      <c r="A343" s="3">
        <v>11</v>
      </c>
      <c r="B343" s="3">
        <v>2</v>
      </c>
      <c r="C343" s="3">
        <v>26</v>
      </c>
      <c r="D343" s="3">
        <v>13</v>
      </c>
      <c r="E343" s="3">
        <v>187.125</v>
      </c>
      <c r="F343" s="4" t="str">
        <f>HYPERLINK("http://141.218.60.56/~jnz1568/getInfo.php?workbook=11_02.xlsx&amp;sheet=A0&amp;row=343&amp;col=6&amp;number=116000000000&amp;sourceID=14","116000000000")</f>
        <v>116000000000</v>
      </c>
      <c r="G343" s="4" t="str">
        <f>HYPERLINK("http://141.218.60.56/~jnz1568/getInfo.php?workbook=11_02.xlsx&amp;sheet=A0&amp;row=343&amp;col=7&amp;number=0&amp;sourceID=14","0")</f>
        <v>0</v>
      </c>
    </row>
    <row r="344" spans="1:7">
      <c r="A344" s="3">
        <v>11</v>
      </c>
      <c r="B344" s="3">
        <v>2</v>
      </c>
      <c r="C344" s="3">
        <v>27</v>
      </c>
      <c r="D344" s="3">
        <v>13</v>
      </c>
      <c r="E344" s="3">
        <v>187.125</v>
      </c>
      <c r="F344" s="4" t="str">
        <f>HYPERLINK("http://141.218.60.56/~jnz1568/getInfo.php?workbook=11_02.xlsx&amp;sheet=A0&amp;row=344&amp;col=6&amp;number=12.62&amp;sourceID=14","12.62")</f>
        <v>12.62</v>
      </c>
      <c r="G344" s="4" t="str">
        <f>HYPERLINK("http://141.218.60.56/~jnz1568/getInfo.php?workbook=11_02.xlsx&amp;sheet=A0&amp;row=344&amp;col=7&amp;number=0&amp;sourceID=14","0")</f>
        <v>0</v>
      </c>
    </row>
    <row r="345" spans="1:7">
      <c r="A345" s="3">
        <v>11</v>
      </c>
      <c r="B345" s="3">
        <v>2</v>
      </c>
      <c r="C345" s="3">
        <v>29</v>
      </c>
      <c r="D345" s="3">
        <v>13</v>
      </c>
      <c r="E345" s="3">
        <v>187.123</v>
      </c>
      <c r="F345" s="4" t="str">
        <f>HYPERLINK("http://141.218.60.56/~jnz1568/getInfo.php?workbook=11_02.xlsx&amp;sheet=A0&amp;row=345&amp;col=6&amp;number=107.3&amp;sourceID=14","107.3")</f>
        <v>107.3</v>
      </c>
      <c r="G345" s="4" t="str">
        <f>HYPERLINK("http://141.218.60.56/~jnz1568/getInfo.php?workbook=11_02.xlsx&amp;sheet=A0&amp;row=345&amp;col=7&amp;number=0&amp;sourceID=14","0")</f>
        <v>0</v>
      </c>
    </row>
    <row r="346" spans="1:7">
      <c r="A346" s="3">
        <v>11</v>
      </c>
      <c r="B346" s="3">
        <v>2</v>
      </c>
      <c r="C346" s="3">
        <v>30</v>
      </c>
      <c r="D346" s="3">
        <v>13</v>
      </c>
      <c r="E346" s="3">
        <v>187.137</v>
      </c>
      <c r="F346" s="4" t="str">
        <f>HYPERLINK("http://141.218.60.56/~jnz1568/getInfo.php?workbook=11_02.xlsx&amp;sheet=A0&amp;row=346&amp;col=6&amp;number=15350&amp;sourceID=14","15350")</f>
        <v>15350</v>
      </c>
      <c r="G346" s="4" t="str">
        <f>HYPERLINK("http://141.218.60.56/~jnz1568/getInfo.php?workbook=11_02.xlsx&amp;sheet=A0&amp;row=346&amp;col=7&amp;number=0&amp;sourceID=14","0")</f>
        <v>0</v>
      </c>
    </row>
    <row r="347" spans="1:7">
      <c r="A347" s="3">
        <v>11</v>
      </c>
      <c r="B347" s="3">
        <v>2</v>
      </c>
      <c r="C347" s="3">
        <v>31</v>
      </c>
      <c r="D347" s="3">
        <v>13</v>
      </c>
      <c r="E347" s="3">
        <v>186.656</v>
      </c>
      <c r="F347" s="4" t="str">
        <f>HYPERLINK("http://141.218.60.56/~jnz1568/getInfo.php?workbook=11_02.xlsx&amp;sheet=A0&amp;row=347&amp;col=6&amp;number=891900&amp;sourceID=14","891900")</f>
        <v>891900</v>
      </c>
      <c r="G347" s="4" t="str">
        <f>HYPERLINK("http://141.218.60.56/~jnz1568/getInfo.php?workbook=11_02.xlsx&amp;sheet=A0&amp;row=347&amp;col=7&amp;number=0&amp;sourceID=14","0")</f>
        <v>0</v>
      </c>
    </row>
    <row r="348" spans="1:7">
      <c r="A348" s="3">
        <v>11</v>
      </c>
      <c r="B348" s="3">
        <v>2</v>
      </c>
      <c r="C348" s="3">
        <v>32</v>
      </c>
      <c r="D348" s="3">
        <v>13</v>
      </c>
      <c r="E348" s="3">
        <v>129.326</v>
      </c>
      <c r="F348" s="4" t="str">
        <f>HYPERLINK("http://141.218.60.56/~jnz1568/getInfo.php?workbook=11_02.xlsx&amp;sheet=A0&amp;row=348&amp;col=6&amp;number=135800&amp;sourceID=14","135800")</f>
        <v>135800</v>
      </c>
      <c r="G348" s="4" t="str">
        <f>HYPERLINK("http://141.218.60.56/~jnz1568/getInfo.php?workbook=11_02.xlsx&amp;sheet=A0&amp;row=348&amp;col=7&amp;number=0&amp;sourceID=14","0")</f>
        <v>0</v>
      </c>
    </row>
    <row r="349" spans="1:7">
      <c r="A349" s="3">
        <v>11</v>
      </c>
      <c r="B349" s="3">
        <v>2</v>
      </c>
      <c r="C349" s="3">
        <v>33</v>
      </c>
      <c r="D349" s="3">
        <v>13</v>
      </c>
      <c r="E349" s="3">
        <v>128.503</v>
      </c>
      <c r="F349" s="4" t="str">
        <f>HYPERLINK("http://141.218.60.56/~jnz1568/getInfo.php?workbook=11_02.xlsx&amp;sheet=A0&amp;row=349&amp;col=6&amp;number=1736000000&amp;sourceID=14","1736000000")</f>
        <v>1736000000</v>
      </c>
      <c r="G349" s="4" t="str">
        <f>HYPERLINK("http://141.218.60.56/~jnz1568/getInfo.php?workbook=11_02.xlsx&amp;sheet=A0&amp;row=349&amp;col=7&amp;number=0&amp;sourceID=14","0")</f>
        <v>0</v>
      </c>
    </row>
    <row r="350" spans="1:7">
      <c r="A350" s="3">
        <v>11</v>
      </c>
      <c r="B350" s="3">
        <v>2</v>
      </c>
      <c r="C350" s="3">
        <v>34</v>
      </c>
      <c r="D350" s="3">
        <v>13</v>
      </c>
      <c r="E350" s="3">
        <v>128.497</v>
      </c>
      <c r="F350" s="4" t="str">
        <f>HYPERLINK("http://141.218.60.56/~jnz1568/getInfo.php?workbook=11_02.xlsx&amp;sheet=A0&amp;row=350&amp;col=6&amp;number=434800000&amp;sourceID=14","434800000")</f>
        <v>434800000</v>
      </c>
      <c r="G350" s="4" t="str">
        <f>HYPERLINK("http://141.218.60.56/~jnz1568/getInfo.php?workbook=11_02.xlsx&amp;sheet=A0&amp;row=350&amp;col=7&amp;number=0&amp;sourceID=14","0")</f>
        <v>0</v>
      </c>
    </row>
    <row r="351" spans="1:7">
      <c r="A351" s="3">
        <v>11</v>
      </c>
      <c r="B351" s="3">
        <v>2</v>
      </c>
      <c r="C351" s="3">
        <v>35</v>
      </c>
      <c r="D351" s="3">
        <v>13</v>
      </c>
      <c r="E351" s="3">
        <v>128.471</v>
      </c>
      <c r="F351" s="4" t="str">
        <f>HYPERLINK("http://141.218.60.56/~jnz1568/getInfo.php?workbook=11_02.xlsx&amp;sheet=A0&amp;row=351&amp;col=6&amp;number=16990000&amp;sourceID=14","16990000")</f>
        <v>16990000</v>
      </c>
      <c r="G351" s="4" t="str">
        <f>HYPERLINK("http://141.218.60.56/~jnz1568/getInfo.php?workbook=11_02.xlsx&amp;sheet=A0&amp;row=351&amp;col=7&amp;number=0&amp;sourceID=14","0")</f>
        <v>0</v>
      </c>
    </row>
    <row r="352" spans="1:7">
      <c r="A352" s="3">
        <v>11</v>
      </c>
      <c r="B352" s="3">
        <v>2</v>
      </c>
      <c r="C352" s="3">
        <v>37</v>
      </c>
      <c r="D352" s="3">
        <v>13</v>
      </c>
      <c r="E352" s="3">
        <v>128.022</v>
      </c>
      <c r="F352" s="4" t="str">
        <f>HYPERLINK("http://141.218.60.56/~jnz1568/getInfo.php?workbook=11_02.xlsx&amp;sheet=A0&amp;row=352&amp;col=6&amp;number=199000&amp;sourceID=14","199000")</f>
        <v>199000</v>
      </c>
      <c r="G352" s="4" t="str">
        <f>HYPERLINK("http://141.218.60.56/~jnz1568/getInfo.php?workbook=11_02.xlsx&amp;sheet=A0&amp;row=352&amp;col=7&amp;number=0&amp;sourceID=14","0")</f>
        <v>0</v>
      </c>
    </row>
    <row r="353" spans="1:7">
      <c r="A353" s="3">
        <v>11</v>
      </c>
      <c r="B353" s="3">
        <v>2</v>
      </c>
      <c r="C353" s="3">
        <v>38</v>
      </c>
      <c r="D353" s="3">
        <v>13</v>
      </c>
      <c r="E353" s="3">
        <v>128.022</v>
      </c>
      <c r="F353" s="4" t="str">
        <f>HYPERLINK("http://141.218.60.56/~jnz1568/getInfo.php?workbook=11_02.xlsx&amp;sheet=A0&amp;row=353&amp;col=6&amp;number=193400&amp;sourceID=14","193400")</f>
        <v>193400</v>
      </c>
      <c r="G353" s="4" t="str">
        <f>HYPERLINK("http://141.218.60.56/~jnz1568/getInfo.php?workbook=11_02.xlsx&amp;sheet=A0&amp;row=353&amp;col=7&amp;number=0&amp;sourceID=14","0")</f>
        <v>0</v>
      </c>
    </row>
    <row r="354" spans="1:7">
      <c r="A354" s="3">
        <v>11</v>
      </c>
      <c r="B354" s="3">
        <v>2</v>
      </c>
      <c r="C354" s="3">
        <v>39</v>
      </c>
      <c r="D354" s="3">
        <v>13</v>
      </c>
      <c r="E354" s="3">
        <v>128.022</v>
      </c>
      <c r="F354" s="4" t="str">
        <f>HYPERLINK("http://141.218.60.56/~jnz1568/getInfo.php?workbook=11_02.xlsx&amp;sheet=A0&amp;row=354&amp;col=6&amp;number=16180&amp;sourceID=14","16180")</f>
        <v>16180</v>
      </c>
      <c r="G354" s="4" t="str">
        <f>HYPERLINK("http://141.218.60.56/~jnz1568/getInfo.php?workbook=11_02.xlsx&amp;sheet=A0&amp;row=354&amp;col=7&amp;number=0&amp;sourceID=14","0")</f>
        <v>0</v>
      </c>
    </row>
    <row r="355" spans="1:7">
      <c r="A355" s="3">
        <v>11</v>
      </c>
      <c r="B355" s="3">
        <v>2</v>
      </c>
      <c r="C355" s="3">
        <v>40</v>
      </c>
      <c r="D355" s="3">
        <v>13</v>
      </c>
      <c r="E355" s="3">
        <v>127.986</v>
      </c>
      <c r="F355" s="4" t="str">
        <f>HYPERLINK("http://141.218.60.56/~jnz1568/getInfo.php?workbook=11_02.xlsx&amp;sheet=A0&amp;row=355&amp;col=6&amp;number=38290000000&amp;sourceID=14","38290000000")</f>
        <v>38290000000</v>
      </c>
      <c r="G355" s="4" t="str">
        <f>HYPERLINK("http://141.218.60.56/~jnz1568/getInfo.php?workbook=11_02.xlsx&amp;sheet=A0&amp;row=355&amp;col=7&amp;number=0&amp;sourceID=14","0")</f>
        <v>0</v>
      </c>
    </row>
    <row r="356" spans="1:7">
      <c r="A356" s="3">
        <v>11</v>
      </c>
      <c r="B356" s="3">
        <v>2</v>
      </c>
      <c r="C356" s="3">
        <v>41</v>
      </c>
      <c r="D356" s="3">
        <v>13</v>
      </c>
      <c r="E356" s="3">
        <v>127.986</v>
      </c>
      <c r="F356" s="4" t="str">
        <f>HYPERLINK("http://141.218.60.56/~jnz1568/getInfo.php?workbook=11_02.xlsx&amp;sheet=A0&amp;row=356&amp;col=6&amp;number=8.082&amp;sourceID=14","8.082")</f>
        <v>8.082</v>
      </c>
      <c r="G356" s="4" t="str">
        <f>HYPERLINK("http://141.218.60.56/~jnz1568/getInfo.php?workbook=11_02.xlsx&amp;sheet=A0&amp;row=356&amp;col=7&amp;number=0&amp;sourceID=14","0")</f>
        <v>0</v>
      </c>
    </row>
    <row r="357" spans="1:7">
      <c r="A357" s="3">
        <v>11</v>
      </c>
      <c r="B357" s="3">
        <v>2</v>
      </c>
      <c r="C357" s="3">
        <v>43</v>
      </c>
      <c r="D357" s="3">
        <v>13</v>
      </c>
      <c r="E357" s="3">
        <v>127.985</v>
      </c>
      <c r="F357" s="4" t="str">
        <f>HYPERLINK("http://141.218.60.56/~jnz1568/getInfo.php?workbook=11_02.xlsx&amp;sheet=A0&amp;row=357&amp;col=6&amp;number=76.55&amp;sourceID=14","76.55")</f>
        <v>76.55</v>
      </c>
      <c r="G357" s="4" t="str">
        <f>HYPERLINK("http://141.218.60.56/~jnz1568/getInfo.php?workbook=11_02.xlsx&amp;sheet=A0&amp;row=357&amp;col=7&amp;number=0&amp;sourceID=14","0")</f>
        <v>0</v>
      </c>
    </row>
    <row r="358" spans="1:7">
      <c r="A358" s="3">
        <v>11</v>
      </c>
      <c r="B358" s="3">
        <v>2</v>
      </c>
      <c r="C358" s="3">
        <v>44</v>
      </c>
      <c r="D358" s="3">
        <v>13</v>
      </c>
      <c r="E358" s="3">
        <v>-128.096</v>
      </c>
      <c r="F358" s="4" t="str">
        <f>HYPERLINK("http://141.218.60.56/~jnz1568/getInfo.php?workbook=11_02.xlsx&amp;sheet=A0&amp;row=358&amp;col=6&amp;number=8961000&amp;sourceID=14","8961000")</f>
        <v>8961000</v>
      </c>
      <c r="G358" s="4" t="str">
        <f>HYPERLINK("http://141.218.60.56/~jnz1568/getInfo.php?workbook=11_02.xlsx&amp;sheet=A0&amp;row=358&amp;col=7&amp;number=0&amp;sourceID=14","0")</f>
        <v>0</v>
      </c>
    </row>
    <row r="359" spans="1:7">
      <c r="A359" s="3">
        <v>11</v>
      </c>
      <c r="B359" s="3">
        <v>2</v>
      </c>
      <c r="C359" s="3">
        <v>46</v>
      </c>
      <c r="D359" s="3">
        <v>13</v>
      </c>
      <c r="E359" s="3">
        <v>127.986</v>
      </c>
      <c r="F359" s="4" t="str">
        <f>HYPERLINK("http://141.218.60.56/~jnz1568/getInfo.php?workbook=11_02.xlsx&amp;sheet=A0&amp;row=359&amp;col=6&amp;number=6298&amp;sourceID=14","6298")</f>
        <v>6298</v>
      </c>
      <c r="G359" s="4" t="str">
        <f>HYPERLINK("http://141.218.60.56/~jnz1568/getInfo.php?workbook=11_02.xlsx&amp;sheet=A0&amp;row=359&amp;col=7&amp;number=0&amp;sourceID=14","0")</f>
        <v>0</v>
      </c>
    </row>
    <row r="360" spans="1:7">
      <c r="A360" s="3">
        <v>11</v>
      </c>
      <c r="B360" s="3">
        <v>2</v>
      </c>
      <c r="C360" s="3">
        <v>49</v>
      </c>
      <c r="D360" s="3">
        <v>13</v>
      </c>
      <c r="E360" s="3">
        <v>127.878</v>
      </c>
      <c r="F360" s="4" t="str">
        <f>HYPERLINK("http://141.218.60.56/~jnz1568/getInfo.php?workbook=11_02.xlsx&amp;sheet=A0&amp;row=360&amp;col=6&amp;number=374000&amp;sourceID=14","374000")</f>
        <v>374000</v>
      </c>
      <c r="G360" s="4" t="str">
        <f>HYPERLINK("http://141.218.60.56/~jnz1568/getInfo.php?workbook=11_02.xlsx&amp;sheet=A0&amp;row=360&amp;col=7&amp;number=0&amp;sourceID=14","0")</f>
        <v>0</v>
      </c>
    </row>
    <row r="361" spans="1:7">
      <c r="A361" s="3">
        <v>11</v>
      </c>
      <c r="B361" s="3">
        <v>2</v>
      </c>
      <c r="C361" s="3">
        <v>17</v>
      </c>
      <c r="D361" s="3">
        <v>14</v>
      </c>
      <c r="E361" s="3">
        <v>22660.363</v>
      </c>
      <c r="F361" s="4" t="str">
        <f>HYPERLINK("http://141.218.60.56/~jnz1568/getInfo.php?workbook=11_02.xlsx&amp;sheet=A0&amp;row=361&amp;col=6&amp;number=8903&amp;sourceID=14","8903")</f>
        <v>8903</v>
      </c>
      <c r="G361" s="4" t="str">
        <f>HYPERLINK("http://141.218.60.56/~jnz1568/getInfo.php?workbook=11_02.xlsx&amp;sheet=A0&amp;row=361&amp;col=7&amp;number=0&amp;sourceID=14","0")</f>
        <v>0</v>
      </c>
    </row>
    <row r="362" spans="1:7">
      <c r="A362" s="3">
        <v>11</v>
      </c>
      <c r="B362" s="3">
        <v>2</v>
      </c>
      <c r="C362" s="3">
        <v>18</v>
      </c>
      <c r="D362" s="3">
        <v>14</v>
      </c>
      <c r="E362" s="3">
        <v>192.902</v>
      </c>
      <c r="F362" s="4" t="str">
        <f>HYPERLINK("http://141.218.60.56/~jnz1568/getInfo.php?workbook=11_02.xlsx&amp;sheet=A0&amp;row=362&amp;col=6&amp;number=361500&amp;sourceID=14","361500")</f>
        <v>361500</v>
      </c>
      <c r="G362" s="4" t="str">
        <f>HYPERLINK("http://141.218.60.56/~jnz1568/getInfo.php?workbook=11_02.xlsx&amp;sheet=A0&amp;row=362&amp;col=7&amp;number=0&amp;sourceID=14","0")</f>
        <v>0</v>
      </c>
    </row>
    <row r="363" spans="1:7">
      <c r="A363" s="3">
        <v>11</v>
      </c>
      <c r="B363" s="3">
        <v>2</v>
      </c>
      <c r="C363" s="3">
        <v>20</v>
      </c>
      <c r="D363" s="3">
        <v>14</v>
      </c>
      <c r="E363" s="3">
        <v>189.295</v>
      </c>
      <c r="F363" s="4" t="str">
        <f>HYPERLINK("http://141.218.60.56/~jnz1568/getInfo.php?workbook=11_02.xlsx&amp;sheet=A0&amp;row=363&amp;col=6&amp;number=2977000000&amp;sourceID=14","2977000000")</f>
        <v>2977000000</v>
      </c>
      <c r="G363" s="4" t="str">
        <f>HYPERLINK("http://141.218.60.56/~jnz1568/getInfo.php?workbook=11_02.xlsx&amp;sheet=A0&amp;row=363&amp;col=7&amp;number=0&amp;sourceID=14","0")</f>
        <v>0</v>
      </c>
    </row>
    <row r="364" spans="1:7">
      <c r="A364" s="3">
        <v>11</v>
      </c>
      <c r="B364" s="3">
        <v>2</v>
      </c>
      <c r="C364" s="3">
        <v>21</v>
      </c>
      <c r="D364" s="3">
        <v>14</v>
      </c>
      <c r="E364" s="3">
        <v>189.188</v>
      </c>
      <c r="F364" s="4" t="str">
        <f>HYPERLINK("http://141.218.60.56/~jnz1568/getInfo.php?workbook=11_02.xlsx&amp;sheet=A0&amp;row=364&amp;col=6&amp;number=579300000&amp;sourceID=14","579300000")</f>
        <v>579300000</v>
      </c>
      <c r="G364" s="4" t="str">
        <f>HYPERLINK("http://141.218.60.56/~jnz1568/getInfo.php?workbook=11_02.xlsx&amp;sheet=A0&amp;row=364&amp;col=7&amp;number=0&amp;sourceID=14","0")</f>
        <v>0</v>
      </c>
    </row>
    <row r="365" spans="1:7">
      <c r="A365" s="3">
        <v>11</v>
      </c>
      <c r="B365" s="3">
        <v>2</v>
      </c>
      <c r="C365" s="3">
        <v>22</v>
      </c>
      <c r="D365" s="3">
        <v>14</v>
      </c>
      <c r="E365" s="3">
        <v>189.28</v>
      </c>
      <c r="F365" s="4" t="str">
        <f>HYPERLINK("http://141.218.60.56/~jnz1568/getInfo.php?workbook=11_02.xlsx&amp;sheet=A0&amp;row=365&amp;col=6&amp;number=60110&amp;sourceID=14","60110")</f>
        <v>60110</v>
      </c>
      <c r="G365" s="4" t="str">
        <f>HYPERLINK("http://141.218.60.56/~jnz1568/getInfo.php?workbook=11_02.xlsx&amp;sheet=A0&amp;row=365&amp;col=7&amp;number=0&amp;sourceID=14","0")</f>
        <v>0</v>
      </c>
    </row>
    <row r="366" spans="1:7">
      <c r="A366" s="3">
        <v>11</v>
      </c>
      <c r="B366" s="3">
        <v>2</v>
      </c>
      <c r="C366" s="3">
        <v>23</v>
      </c>
      <c r="D366" s="3">
        <v>14</v>
      </c>
      <c r="E366" s="3">
        <v>187.276</v>
      </c>
      <c r="F366" s="4" t="str">
        <f>HYPERLINK("http://141.218.60.56/~jnz1568/getInfo.php?workbook=11_02.xlsx&amp;sheet=A0&amp;row=366&amp;col=6&amp;number=656600&amp;sourceID=14","656600")</f>
        <v>656600</v>
      </c>
      <c r="G366" s="4" t="str">
        <f>HYPERLINK("http://141.218.60.56/~jnz1568/getInfo.php?workbook=11_02.xlsx&amp;sheet=A0&amp;row=366&amp;col=7&amp;number=0&amp;sourceID=14","0")</f>
        <v>0</v>
      </c>
    </row>
    <row r="367" spans="1:7">
      <c r="A367" s="3">
        <v>11</v>
      </c>
      <c r="B367" s="3">
        <v>2</v>
      </c>
      <c r="C367" s="3">
        <v>24</v>
      </c>
      <c r="D367" s="3">
        <v>14</v>
      </c>
      <c r="E367" s="3">
        <v>187.276</v>
      </c>
      <c r="F367" s="4" t="str">
        <f>HYPERLINK("http://141.218.60.56/~jnz1568/getInfo.php?workbook=11_02.xlsx&amp;sheet=A0&amp;row=367&amp;col=6&amp;number=324600&amp;sourceID=14","324600")</f>
        <v>324600</v>
      </c>
      <c r="G367" s="4" t="str">
        <f>HYPERLINK("http://141.218.60.56/~jnz1568/getInfo.php?workbook=11_02.xlsx&amp;sheet=A0&amp;row=367&amp;col=7&amp;number=0&amp;sourceID=14","0")</f>
        <v>0</v>
      </c>
    </row>
    <row r="368" spans="1:7">
      <c r="A368" s="3">
        <v>11</v>
      </c>
      <c r="B368" s="3">
        <v>2</v>
      </c>
      <c r="C368" s="3">
        <v>25</v>
      </c>
      <c r="D368" s="3">
        <v>14</v>
      </c>
      <c r="E368" s="3">
        <v>187.276</v>
      </c>
      <c r="F368" s="4" t="str">
        <f>HYPERLINK("http://141.218.60.56/~jnz1568/getInfo.php?workbook=11_02.xlsx&amp;sheet=A0&amp;row=368&amp;col=6&amp;number=321400&amp;sourceID=14","321400")</f>
        <v>321400</v>
      </c>
      <c r="G368" s="4" t="str">
        <f>HYPERLINK("http://141.218.60.56/~jnz1568/getInfo.php?workbook=11_02.xlsx&amp;sheet=A0&amp;row=368&amp;col=7&amp;number=0&amp;sourceID=14","0")</f>
        <v>0</v>
      </c>
    </row>
    <row r="369" spans="1:7">
      <c r="A369" s="3">
        <v>11</v>
      </c>
      <c r="B369" s="3">
        <v>2</v>
      </c>
      <c r="C369" s="3">
        <v>26</v>
      </c>
      <c r="D369" s="3">
        <v>14</v>
      </c>
      <c r="E369" s="3">
        <v>187.132</v>
      </c>
      <c r="F369" s="4" t="str">
        <f>HYPERLINK("http://141.218.60.56/~jnz1568/getInfo.php?workbook=11_02.xlsx&amp;sheet=A0&amp;row=369&amp;col=6&amp;number=20300000000&amp;sourceID=14","20300000000")</f>
        <v>20300000000</v>
      </c>
      <c r="G369" s="4" t="str">
        <f>HYPERLINK("http://141.218.60.56/~jnz1568/getInfo.php?workbook=11_02.xlsx&amp;sheet=A0&amp;row=369&amp;col=7&amp;number=0&amp;sourceID=14","0")</f>
        <v>0</v>
      </c>
    </row>
    <row r="370" spans="1:7">
      <c r="A370" s="3">
        <v>11</v>
      </c>
      <c r="B370" s="3">
        <v>2</v>
      </c>
      <c r="C370" s="3">
        <v>27</v>
      </c>
      <c r="D370" s="3">
        <v>14</v>
      </c>
      <c r="E370" s="3">
        <v>187.132</v>
      </c>
      <c r="F370" s="4" t="str">
        <f>HYPERLINK("http://141.218.60.56/~jnz1568/getInfo.php?workbook=11_02.xlsx&amp;sheet=A0&amp;row=370&amp;col=6&amp;number=100600000000&amp;sourceID=14","100600000000")</f>
        <v>100600000000</v>
      </c>
      <c r="G370" s="4" t="str">
        <f>HYPERLINK("http://141.218.60.56/~jnz1568/getInfo.php?workbook=11_02.xlsx&amp;sheet=A0&amp;row=370&amp;col=7&amp;number=0&amp;sourceID=14","0")</f>
        <v>0</v>
      </c>
    </row>
    <row r="371" spans="1:7">
      <c r="A371" s="3">
        <v>11</v>
      </c>
      <c r="B371" s="3">
        <v>2</v>
      </c>
      <c r="C371" s="3">
        <v>28</v>
      </c>
      <c r="D371" s="3">
        <v>14</v>
      </c>
      <c r="E371" s="3">
        <v>187.132</v>
      </c>
      <c r="F371" s="4" t="str">
        <f>HYPERLINK("http://141.218.60.56/~jnz1568/getInfo.php?workbook=11_02.xlsx&amp;sheet=A0&amp;row=371&amp;col=6&amp;number=43.47&amp;sourceID=14","43.47")</f>
        <v>43.47</v>
      </c>
      <c r="G371" s="4" t="str">
        <f>HYPERLINK("http://141.218.60.56/~jnz1568/getInfo.php?workbook=11_02.xlsx&amp;sheet=A0&amp;row=371&amp;col=7&amp;number=0&amp;sourceID=14","0")</f>
        <v>0</v>
      </c>
    </row>
    <row r="372" spans="1:7">
      <c r="A372" s="3">
        <v>11</v>
      </c>
      <c r="B372" s="3">
        <v>2</v>
      </c>
      <c r="C372" s="3">
        <v>29</v>
      </c>
      <c r="D372" s="3">
        <v>14</v>
      </c>
      <c r="E372" s="3">
        <v>187.13</v>
      </c>
      <c r="F372" s="4" t="str">
        <f>HYPERLINK("http://141.218.60.56/~jnz1568/getInfo.php?workbook=11_02.xlsx&amp;sheet=A0&amp;row=372&amp;col=6&amp;number=23070000000&amp;sourceID=14","23070000000")</f>
        <v>23070000000</v>
      </c>
      <c r="G372" s="4" t="str">
        <f>HYPERLINK("http://141.218.60.56/~jnz1568/getInfo.php?workbook=11_02.xlsx&amp;sheet=A0&amp;row=372&amp;col=7&amp;number=0&amp;sourceID=14","0")</f>
        <v>0</v>
      </c>
    </row>
    <row r="373" spans="1:7">
      <c r="A373" s="3">
        <v>11</v>
      </c>
      <c r="B373" s="3">
        <v>2</v>
      </c>
      <c r="C373" s="3">
        <v>30</v>
      </c>
      <c r="D373" s="3">
        <v>14</v>
      </c>
      <c r="E373" s="3">
        <v>187.144</v>
      </c>
      <c r="F373" s="4" t="str">
        <f>HYPERLINK("http://141.218.60.56/~jnz1568/getInfo.php?workbook=11_02.xlsx&amp;sheet=A0&amp;row=373&amp;col=6&amp;number=22620&amp;sourceID=14","22620")</f>
        <v>22620</v>
      </c>
      <c r="G373" s="4" t="str">
        <f>HYPERLINK("http://141.218.60.56/~jnz1568/getInfo.php?workbook=11_02.xlsx&amp;sheet=A0&amp;row=373&amp;col=7&amp;number=0&amp;sourceID=14","0")</f>
        <v>0</v>
      </c>
    </row>
    <row r="374" spans="1:7">
      <c r="A374" s="3">
        <v>11</v>
      </c>
      <c r="B374" s="3">
        <v>2</v>
      </c>
      <c r="C374" s="3">
        <v>31</v>
      </c>
      <c r="D374" s="3">
        <v>14</v>
      </c>
      <c r="E374" s="3">
        <v>186.663</v>
      </c>
      <c r="F374" s="4" t="str">
        <f>HYPERLINK("http://141.218.60.56/~jnz1568/getInfo.php?workbook=11_02.xlsx&amp;sheet=A0&amp;row=374&amp;col=6&amp;number=141700000&amp;sourceID=14","141700000")</f>
        <v>141700000</v>
      </c>
      <c r="G374" s="4" t="str">
        <f>HYPERLINK("http://141.218.60.56/~jnz1568/getInfo.php?workbook=11_02.xlsx&amp;sheet=A0&amp;row=374&amp;col=7&amp;number=0&amp;sourceID=14","0")</f>
        <v>0</v>
      </c>
    </row>
    <row r="375" spans="1:7">
      <c r="A375" s="3">
        <v>11</v>
      </c>
      <c r="B375" s="3">
        <v>2</v>
      </c>
      <c r="C375" s="3">
        <v>32</v>
      </c>
      <c r="D375" s="3">
        <v>14</v>
      </c>
      <c r="E375" s="3">
        <v>129.329</v>
      </c>
      <c r="F375" s="4" t="str">
        <f>HYPERLINK("http://141.218.60.56/~jnz1568/getInfo.php?workbook=11_02.xlsx&amp;sheet=A0&amp;row=375&amp;col=6&amp;number=212700&amp;sourceID=14","212700")</f>
        <v>212700</v>
      </c>
      <c r="G375" s="4" t="str">
        <f>HYPERLINK("http://141.218.60.56/~jnz1568/getInfo.php?workbook=11_02.xlsx&amp;sheet=A0&amp;row=375&amp;col=7&amp;number=0&amp;sourceID=14","0")</f>
        <v>0</v>
      </c>
    </row>
    <row r="376" spans="1:7">
      <c r="A376" s="3">
        <v>11</v>
      </c>
      <c r="B376" s="3">
        <v>2</v>
      </c>
      <c r="C376" s="3">
        <v>34</v>
      </c>
      <c r="D376" s="3">
        <v>14</v>
      </c>
      <c r="E376" s="3">
        <v>128.5</v>
      </c>
      <c r="F376" s="4" t="str">
        <f>HYPERLINK("http://141.218.60.56/~jnz1568/getInfo.php?workbook=11_02.xlsx&amp;sheet=A0&amp;row=376&amp;col=6&amp;number=1249000000&amp;sourceID=14","1249000000")</f>
        <v>1249000000</v>
      </c>
      <c r="G376" s="4" t="str">
        <f>HYPERLINK("http://141.218.60.56/~jnz1568/getInfo.php?workbook=11_02.xlsx&amp;sheet=A0&amp;row=376&amp;col=7&amp;number=0&amp;sourceID=14","0")</f>
        <v>0</v>
      </c>
    </row>
    <row r="377" spans="1:7">
      <c r="A377" s="3">
        <v>11</v>
      </c>
      <c r="B377" s="3">
        <v>2</v>
      </c>
      <c r="C377" s="3">
        <v>35</v>
      </c>
      <c r="D377" s="3">
        <v>14</v>
      </c>
      <c r="E377" s="3">
        <v>128.475</v>
      </c>
      <c r="F377" s="4" t="str">
        <f>HYPERLINK("http://141.218.60.56/~jnz1568/getInfo.php?workbook=11_02.xlsx&amp;sheet=A0&amp;row=377&amp;col=6&amp;number=242900000&amp;sourceID=14","242900000")</f>
        <v>242900000</v>
      </c>
      <c r="G377" s="4" t="str">
        <f>HYPERLINK("http://141.218.60.56/~jnz1568/getInfo.php?workbook=11_02.xlsx&amp;sheet=A0&amp;row=377&amp;col=7&amp;number=0&amp;sourceID=14","0")</f>
        <v>0</v>
      </c>
    </row>
    <row r="378" spans="1:7">
      <c r="A378" s="3">
        <v>11</v>
      </c>
      <c r="B378" s="3">
        <v>2</v>
      </c>
      <c r="C378" s="3">
        <v>36</v>
      </c>
      <c r="D378" s="3">
        <v>14</v>
      </c>
      <c r="E378" s="3">
        <v>128.502</v>
      </c>
      <c r="F378" s="4" t="str">
        <f>HYPERLINK("http://141.218.60.56/~jnz1568/getInfo.php?workbook=11_02.xlsx&amp;sheet=A0&amp;row=378&amp;col=6&amp;number=40440&amp;sourceID=14","40440")</f>
        <v>40440</v>
      </c>
      <c r="G378" s="4" t="str">
        <f>HYPERLINK("http://141.218.60.56/~jnz1568/getInfo.php?workbook=11_02.xlsx&amp;sheet=A0&amp;row=378&amp;col=7&amp;number=0&amp;sourceID=14","0")</f>
        <v>0</v>
      </c>
    </row>
    <row r="379" spans="1:7">
      <c r="A379" s="3">
        <v>11</v>
      </c>
      <c r="B379" s="3">
        <v>2</v>
      </c>
      <c r="C379" s="3">
        <v>37</v>
      </c>
      <c r="D379" s="3">
        <v>14</v>
      </c>
      <c r="E379" s="3">
        <v>128.025</v>
      </c>
      <c r="F379" s="4" t="str">
        <f>HYPERLINK("http://141.218.60.56/~jnz1568/getInfo.php?workbook=11_02.xlsx&amp;sheet=A0&amp;row=379&amp;col=6&amp;number=313600&amp;sourceID=14","313600")</f>
        <v>313600</v>
      </c>
      <c r="G379" s="4" t="str">
        <f>HYPERLINK("http://141.218.60.56/~jnz1568/getInfo.php?workbook=11_02.xlsx&amp;sheet=A0&amp;row=379&amp;col=7&amp;number=0&amp;sourceID=14","0")</f>
        <v>0</v>
      </c>
    </row>
    <row r="380" spans="1:7">
      <c r="A380" s="3">
        <v>11</v>
      </c>
      <c r="B380" s="3">
        <v>2</v>
      </c>
      <c r="C380" s="3">
        <v>38</v>
      </c>
      <c r="D380" s="3">
        <v>14</v>
      </c>
      <c r="E380" s="3">
        <v>128.025</v>
      </c>
      <c r="F380" s="4" t="str">
        <f>HYPERLINK("http://141.218.60.56/~jnz1568/getInfo.php?workbook=11_02.xlsx&amp;sheet=A0&amp;row=380&amp;col=6&amp;number=154100&amp;sourceID=14","154100")</f>
        <v>154100</v>
      </c>
      <c r="G380" s="4" t="str">
        <f>HYPERLINK("http://141.218.60.56/~jnz1568/getInfo.php?workbook=11_02.xlsx&amp;sheet=A0&amp;row=380&amp;col=7&amp;number=0&amp;sourceID=14","0")</f>
        <v>0</v>
      </c>
    </row>
    <row r="381" spans="1:7">
      <c r="A381" s="3">
        <v>11</v>
      </c>
      <c r="B381" s="3">
        <v>2</v>
      </c>
      <c r="C381" s="3">
        <v>39</v>
      </c>
      <c r="D381" s="3">
        <v>14</v>
      </c>
      <c r="E381" s="3">
        <v>128.025</v>
      </c>
      <c r="F381" s="4" t="str">
        <f>HYPERLINK("http://141.218.60.56/~jnz1568/getInfo.php?workbook=11_02.xlsx&amp;sheet=A0&amp;row=381&amp;col=6&amp;number=153600&amp;sourceID=14","153600")</f>
        <v>153600</v>
      </c>
      <c r="G381" s="4" t="str">
        <f>HYPERLINK("http://141.218.60.56/~jnz1568/getInfo.php?workbook=11_02.xlsx&amp;sheet=A0&amp;row=381&amp;col=7&amp;number=0&amp;sourceID=14","0")</f>
        <v>0</v>
      </c>
    </row>
    <row r="382" spans="1:7">
      <c r="A382" s="3">
        <v>11</v>
      </c>
      <c r="B382" s="3">
        <v>2</v>
      </c>
      <c r="C382" s="3">
        <v>40</v>
      </c>
      <c r="D382" s="3">
        <v>14</v>
      </c>
      <c r="E382" s="3">
        <v>127.989</v>
      </c>
      <c r="F382" s="4" t="str">
        <f>HYPERLINK("http://141.218.60.56/~jnz1568/getInfo.php?workbook=11_02.xlsx&amp;sheet=A0&amp;row=382&amp;col=6&amp;number=6697000000&amp;sourceID=14","6697000000")</f>
        <v>6697000000</v>
      </c>
      <c r="G382" s="4" t="str">
        <f>HYPERLINK("http://141.218.60.56/~jnz1568/getInfo.php?workbook=11_02.xlsx&amp;sheet=A0&amp;row=382&amp;col=7&amp;number=0&amp;sourceID=14","0")</f>
        <v>0</v>
      </c>
    </row>
    <row r="383" spans="1:7">
      <c r="A383" s="3">
        <v>11</v>
      </c>
      <c r="B383" s="3">
        <v>2</v>
      </c>
      <c r="C383" s="3">
        <v>41</v>
      </c>
      <c r="D383" s="3">
        <v>14</v>
      </c>
      <c r="E383" s="3">
        <v>127.989</v>
      </c>
      <c r="F383" s="4" t="str">
        <f>HYPERLINK("http://141.218.60.56/~jnz1568/getInfo.php?workbook=11_02.xlsx&amp;sheet=A0&amp;row=383&amp;col=6&amp;number=33680000000&amp;sourceID=14","33680000000")</f>
        <v>33680000000</v>
      </c>
      <c r="G383" s="4" t="str">
        <f>HYPERLINK("http://141.218.60.56/~jnz1568/getInfo.php?workbook=11_02.xlsx&amp;sheet=A0&amp;row=383&amp;col=7&amp;number=0&amp;sourceID=14","0")</f>
        <v>0</v>
      </c>
    </row>
    <row r="384" spans="1:7">
      <c r="A384" s="3">
        <v>11</v>
      </c>
      <c r="B384" s="3">
        <v>2</v>
      </c>
      <c r="C384" s="3">
        <v>42</v>
      </c>
      <c r="D384" s="3">
        <v>14</v>
      </c>
      <c r="E384" s="3">
        <v>127.989</v>
      </c>
      <c r="F384" s="4" t="str">
        <f>HYPERLINK("http://141.218.60.56/~jnz1568/getInfo.php?workbook=11_02.xlsx&amp;sheet=A0&amp;row=384&amp;col=6&amp;number=30.67&amp;sourceID=14","30.67")</f>
        <v>30.67</v>
      </c>
      <c r="G384" s="4" t="str">
        <f>HYPERLINK("http://141.218.60.56/~jnz1568/getInfo.php?workbook=11_02.xlsx&amp;sheet=A0&amp;row=384&amp;col=7&amp;number=0&amp;sourceID=14","0")</f>
        <v>0</v>
      </c>
    </row>
    <row r="385" spans="1:7">
      <c r="A385" s="3">
        <v>11</v>
      </c>
      <c r="B385" s="3">
        <v>2</v>
      </c>
      <c r="C385" s="3">
        <v>43</v>
      </c>
      <c r="D385" s="3">
        <v>14</v>
      </c>
      <c r="E385" s="3">
        <v>127.988</v>
      </c>
      <c r="F385" s="4" t="str">
        <f>HYPERLINK("http://141.218.60.56/~jnz1568/getInfo.php?workbook=11_02.xlsx&amp;sheet=A0&amp;row=385&amp;col=6&amp;number=7109000000&amp;sourceID=14","7109000000")</f>
        <v>7109000000</v>
      </c>
      <c r="G385" s="4" t="str">
        <f>HYPERLINK("http://141.218.60.56/~jnz1568/getInfo.php?workbook=11_02.xlsx&amp;sheet=A0&amp;row=385&amp;col=7&amp;number=0&amp;sourceID=14","0")</f>
        <v>0</v>
      </c>
    </row>
    <row r="386" spans="1:7">
      <c r="A386" s="3">
        <v>11</v>
      </c>
      <c r="B386" s="3">
        <v>2</v>
      </c>
      <c r="C386" s="3">
        <v>44</v>
      </c>
      <c r="D386" s="3">
        <v>14</v>
      </c>
      <c r="E386" s="3">
        <v>-128.103</v>
      </c>
      <c r="F386" s="4" t="str">
        <f>HYPERLINK("http://141.218.60.56/~jnz1568/getInfo.php?workbook=11_02.xlsx&amp;sheet=A0&amp;row=386&amp;col=6&amp;number=2352000&amp;sourceID=14","2352000")</f>
        <v>2352000</v>
      </c>
      <c r="G386" s="4" t="str">
        <f>HYPERLINK("http://141.218.60.56/~jnz1568/getInfo.php?workbook=11_02.xlsx&amp;sheet=A0&amp;row=386&amp;col=7&amp;number=0&amp;sourceID=14","0")</f>
        <v>0</v>
      </c>
    </row>
    <row r="387" spans="1:7">
      <c r="A387" s="3">
        <v>11</v>
      </c>
      <c r="B387" s="3">
        <v>2</v>
      </c>
      <c r="C387" s="3">
        <v>45</v>
      </c>
      <c r="D387" s="3">
        <v>14</v>
      </c>
      <c r="E387" s="3">
        <v>-128.103</v>
      </c>
      <c r="F387" s="4" t="str">
        <f>HYPERLINK("http://141.218.60.56/~jnz1568/getInfo.php?workbook=11_02.xlsx&amp;sheet=A0&amp;row=387&amp;col=6&amp;number=7703000&amp;sourceID=14","7703000")</f>
        <v>7703000</v>
      </c>
      <c r="G387" s="4" t="str">
        <f>HYPERLINK("http://141.218.60.56/~jnz1568/getInfo.php?workbook=11_02.xlsx&amp;sheet=A0&amp;row=387&amp;col=7&amp;number=0&amp;sourceID=14","0")</f>
        <v>0</v>
      </c>
    </row>
    <row r="388" spans="1:7">
      <c r="A388" s="3">
        <v>11</v>
      </c>
      <c r="B388" s="3">
        <v>2</v>
      </c>
      <c r="C388" s="3">
        <v>46</v>
      </c>
      <c r="D388" s="3">
        <v>14</v>
      </c>
      <c r="E388" s="3">
        <v>127.989</v>
      </c>
      <c r="F388" s="4" t="str">
        <f>HYPERLINK("http://141.218.60.56/~jnz1568/getInfo.php?workbook=11_02.xlsx&amp;sheet=A0&amp;row=388&amp;col=6&amp;number=12610&amp;sourceID=14","12610")</f>
        <v>12610</v>
      </c>
      <c r="G388" s="4" t="str">
        <f>HYPERLINK("http://141.218.60.56/~jnz1568/getInfo.php?workbook=11_02.xlsx&amp;sheet=A0&amp;row=388&amp;col=7&amp;number=0&amp;sourceID=14","0")</f>
        <v>0</v>
      </c>
    </row>
    <row r="389" spans="1:7">
      <c r="A389" s="3">
        <v>11</v>
      </c>
      <c r="B389" s="3">
        <v>2</v>
      </c>
      <c r="C389" s="3">
        <v>48</v>
      </c>
      <c r="D389" s="3">
        <v>14</v>
      </c>
      <c r="E389" s="3">
        <v>-128.099</v>
      </c>
      <c r="F389" s="4" t="str">
        <f>HYPERLINK("http://141.218.60.56/~jnz1568/getInfo.php?workbook=11_02.xlsx&amp;sheet=A0&amp;row=389&amp;col=6&amp;number=2084000&amp;sourceID=14","2084000")</f>
        <v>2084000</v>
      </c>
      <c r="G389" s="4" t="str">
        <f>HYPERLINK("http://141.218.60.56/~jnz1568/getInfo.php?workbook=11_02.xlsx&amp;sheet=A0&amp;row=389&amp;col=7&amp;number=0&amp;sourceID=14","0")</f>
        <v>0</v>
      </c>
    </row>
    <row r="390" spans="1:7">
      <c r="A390" s="3">
        <v>11</v>
      </c>
      <c r="B390" s="3">
        <v>2</v>
      </c>
      <c r="C390" s="3">
        <v>49</v>
      </c>
      <c r="D390" s="3">
        <v>14</v>
      </c>
      <c r="E390" s="3">
        <v>127.881</v>
      </c>
      <c r="F390" s="4" t="str">
        <f>HYPERLINK("http://141.218.60.56/~jnz1568/getInfo.php?workbook=11_02.xlsx&amp;sheet=A0&amp;row=390&amp;col=6&amp;number=65880000&amp;sourceID=14","65880000")</f>
        <v>65880000</v>
      </c>
      <c r="G390" s="4" t="str">
        <f>HYPERLINK("http://141.218.60.56/~jnz1568/getInfo.php?workbook=11_02.xlsx&amp;sheet=A0&amp;row=390&amp;col=7&amp;number=0&amp;sourceID=14","0")</f>
        <v>0</v>
      </c>
    </row>
    <row r="391" spans="1:7">
      <c r="A391" s="3">
        <v>11</v>
      </c>
      <c r="B391" s="3">
        <v>2</v>
      </c>
      <c r="C391" s="3">
        <v>18</v>
      </c>
      <c r="D391" s="3">
        <v>15</v>
      </c>
      <c r="E391" s="3">
        <v>192.998</v>
      </c>
      <c r="F391" s="4" t="str">
        <f>HYPERLINK("http://141.218.60.56/~jnz1568/getInfo.php?workbook=11_02.xlsx&amp;sheet=A0&amp;row=391&amp;col=6&amp;number=536400&amp;sourceID=14","536400")</f>
        <v>536400</v>
      </c>
      <c r="G391" s="4" t="str">
        <f>HYPERLINK("http://141.218.60.56/~jnz1568/getInfo.php?workbook=11_02.xlsx&amp;sheet=A0&amp;row=391&amp;col=7&amp;number=0&amp;sourceID=14","0")</f>
        <v>0</v>
      </c>
    </row>
    <row r="392" spans="1:7">
      <c r="A392" s="3">
        <v>11</v>
      </c>
      <c r="B392" s="3">
        <v>2</v>
      </c>
      <c r="C392" s="3">
        <v>21</v>
      </c>
      <c r="D392" s="3">
        <v>15</v>
      </c>
      <c r="E392" s="3">
        <v>189.28</v>
      </c>
      <c r="F392" s="4" t="str">
        <f>HYPERLINK("http://141.218.60.56/~jnz1568/getInfo.php?workbook=11_02.xlsx&amp;sheet=A0&amp;row=392&amp;col=6&amp;number=3445000000&amp;sourceID=14","3445000000")</f>
        <v>3445000000</v>
      </c>
      <c r="G392" s="4" t="str">
        <f>HYPERLINK("http://141.218.60.56/~jnz1568/getInfo.php?workbook=11_02.xlsx&amp;sheet=A0&amp;row=392&amp;col=7&amp;number=0&amp;sourceID=14","0")</f>
        <v>0</v>
      </c>
    </row>
    <row r="393" spans="1:7">
      <c r="A393" s="3">
        <v>11</v>
      </c>
      <c r="B393" s="3">
        <v>2</v>
      </c>
      <c r="C393" s="3">
        <v>23</v>
      </c>
      <c r="D393" s="3">
        <v>15</v>
      </c>
      <c r="E393" s="3">
        <v>187.367</v>
      </c>
      <c r="F393" s="4" t="str">
        <f>HYPERLINK("http://141.218.60.56/~jnz1568/getInfo.php?workbook=11_02.xlsx&amp;sheet=A0&amp;row=393&amp;col=6&amp;number=79210&amp;sourceID=14","79210")</f>
        <v>79210</v>
      </c>
      <c r="G393" s="4" t="str">
        <f>HYPERLINK("http://141.218.60.56/~jnz1568/getInfo.php?workbook=11_02.xlsx&amp;sheet=A0&amp;row=393&amp;col=7&amp;number=0&amp;sourceID=14","0")</f>
        <v>0</v>
      </c>
    </row>
    <row r="394" spans="1:7">
      <c r="A394" s="3">
        <v>11</v>
      </c>
      <c r="B394" s="3">
        <v>2</v>
      </c>
      <c r="C394" s="3">
        <v>24</v>
      </c>
      <c r="D394" s="3">
        <v>15</v>
      </c>
      <c r="E394" s="3">
        <v>187.367</v>
      </c>
      <c r="F394" s="4" t="str">
        <f>HYPERLINK("http://141.218.60.56/~jnz1568/getInfo.php?workbook=11_02.xlsx&amp;sheet=A0&amp;row=394&amp;col=6&amp;number=458600&amp;sourceID=14","458600")</f>
        <v>458600</v>
      </c>
      <c r="G394" s="4" t="str">
        <f>HYPERLINK("http://141.218.60.56/~jnz1568/getInfo.php?workbook=11_02.xlsx&amp;sheet=A0&amp;row=394&amp;col=7&amp;number=0&amp;sourceID=14","0")</f>
        <v>0</v>
      </c>
    </row>
    <row r="395" spans="1:7">
      <c r="A395" s="3">
        <v>11</v>
      </c>
      <c r="B395" s="3">
        <v>2</v>
      </c>
      <c r="C395" s="3">
        <v>25</v>
      </c>
      <c r="D395" s="3">
        <v>15</v>
      </c>
      <c r="E395" s="3">
        <v>187.367</v>
      </c>
      <c r="F395" s="4" t="str">
        <f>HYPERLINK("http://141.218.60.56/~jnz1568/getInfo.php?workbook=11_02.xlsx&amp;sheet=A0&amp;row=395&amp;col=6&amp;number=816100&amp;sourceID=14","816100")</f>
        <v>816100</v>
      </c>
      <c r="G395" s="4" t="str">
        <f>HYPERLINK("http://141.218.60.56/~jnz1568/getInfo.php?workbook=11_02.xlsx&amp;sheet=A0&amp;row=395&amp;col=7&amp;number=0&amp;sourceID=14","0")</f>
        <v>0</v>
      </c>
    </row>
    <row r="396" spans="1:7">
      <c r="A396" s="3">
        <v>11</v>
      </c>
      <c r="B396" s="3">
        <v>2</v>
      </c>
      <c r="C396" s="3">
        <v>26</v>
      </c>
      <c r="D396" s="3">
        <v>15</v>
      </c>
      <c r="E396" s="3">
        <v>187.222</v>
      </c>
      <c r="F396" s="4" t="str">
        <f>HYPERLINK("http://141.218.60.56/~jnz1568/getInfo.php?workbook=11_02.xlsx&amp;sheet=A0&amp;row=396&amp;col=6&amp;number=613400000&amp;sourceID=14","613400000")</f>
        <v>613400000</v>
      </c>
      <c r="G396" s="4" t="str">
        <f>HYPERLINK("http://141.218.60.56/~jnz1568/getInfo.php?workbook=11_02.xlsx&amp;sheet=A0&amp;row=396&amp;col=7&amp;number=0&amp;sourceID=14","0")</f>
        <v>0</v>
      </c>
    </row>
    <row r="397" spans="1:7">
      <c r="A397" s="3">
        <v>11</v>
      </c>
      <c r="B397" s="3">
        <v>2</v>
      </c>
      <c r="C397" s="3">
        <v>27</v>
      </c>
      <c r="D397" s="3">
        <v>15</v>
      </c>
      <c r="E397" s="3">
        <v>187.222</v>
      </c>
      <c r="F397" s="4" t="str">
        <f>HYPERLINK("http://141.218.60.56/~jnz1568/getInfo.php?workbook=11_02.xlsx&amp;sheet=A0&amp;row=397&amp;col=6&amp;number=9005000000&amp;sourceID=14","9005000000")</f>
        <v>9005000000</v>
      </c>
      <c r="G397" s="4" t="str">
        <f>HYPERLINK("http://141.218.60.56/~jnz1568/getInfo.php?workbook=11_02.xlsx&amp;sheet=A0&amp;row=397&amp;col=7&amp;number=0&amp;sourceID=14","0")</f>
        <v>0</v>
      </c>
    </row>
    <row r="398" spans="1:7">
      <c r="A398" s="3">
        <v>11</v>
      </c>
      <c r="B398" s="3">
        <v>2</v>
      </c>
      <c r="C398" s="3">
        <v>28</v>
      </c>
      <c r="D398" s="3">
        <v>15</v>
      </c>
      <c r="E398" s="3">
        <v>187.222</v>
      </c>
      <c r="F398" s="4" t="str">
        <f>HYPERLINK("http://141.218.60.56/~jnz1568/getInfo.php?workbook=11_02.xlsx&amp;sheet=A0&amp;row=398&amp;col=6&amp;number=138100000000&amp;sourceID=14","138100000000")</f>
        <v>138100000000</v>
      </c>
      <c r="G398" s="4" t="str">
        <f>HYPERLINK("http://141.218.60.56/~jnz1568/getInfo.php?workbook=11_02.xlsx&amp;sheet=A0&amp;row=398&amp;col=7&amp;number=0&amp;sourceID=14","0")</f>
        <v>0</v>
      </c>
    </row>
    <row r="399" spans="1:7">
      <c r="A399" s="3">
        <v>11</v>
      </c>
      <c r="B399" s="3">
        <v>2</v>
      </c>
      <c r="C399" s="3">
        <v>29</v>
      </c>
      <c r="D399" s="3">
        <v>15</v>
      </c>
      <c r="E399" s="3">
        <v>187.22</v>
      </c>
      <c r="F399" s="4" t="str">
        <f>HYPERLINK("http://141.218.60.56/~jnz1568/getInfo.php?workbook=11_02.xlsx&amp;sheet=A0&amp;row=399&amp;col=6&amp;number=6334000000&amp;sourceID=14","6334000000")</f>
        <v>6334000000</v>
      </c>
      <c r="G399" s="4" t="str">
        <f>HYPERLINK("http://141.218.60.56/~jnz1568/getInfo.php?workbook=11_02.xlsx&amp;sheet=A0&amp;row=399&amp;col=7&amp;number=0&amp;sourceID=14","0")</f>
        <v>0</v>
      </c>
    </row>
    <row r="400" spans="1:7">
      <c r="A400" s="3">
        <v>11</v>
      </c>
      <c r="B400" s="3">
        <v>2</v>
      </c>
      <c r="C400" s="3">
        <v>30</v>
      </c>
      <c r="D400" s="3">
        <v>15</v>
      </c>
      <c r="E400" s="3">
        <v>187.234</v>
      </c>
      <c r="F400" s="4" t="str">
        <f>HYPERLINK("http://141.218.60.56/~jnz1568/getInfo.php?workbook=11_02.xlsx&amp;sheet=A0&amp;row=400&amp;col=6&amp;number=17500&amp;sourceID=14","17500")</f>
        <v>17500</v>
      </c>
      <c r="G400" s="4" t="str">
        <f>HYPERLINK("http://141.218.60.56/~jnz1568/getInfo.php?workbook=11_02.xlsx&amp;sheet=A0&amp;row=400&amp;col=7&amp;number=0&amp;sourceID=14","0")</f>
        <v>0</v>
      </c>
    </row>
    <row r="401" spans="1:7">
      <c r="A401" s="3">
        <v>11</v>
      </c>
      <c r="B401" s="3">
        <v>2</v>
      </c>
      <c r="C401" s="3">
        <v>31</v>
      </c>
      <c r="D401" s="3">
        <v>15</v>
      </c>
      <c r="E401" s="3">
        <v>186.753</v>
      </c>
      <c r="F401" s="4" t="str">
        <f>HYPERLINK("http://141.218.60.56/~jnz1568/getInfo.php?workbook=11_02.xlsx&amp;sheet=A0&amp;row=401&amp;col=6&amp;number=5.724&amp;sourceID=14","5.724")</f>
        <v>5.724</v>
      </c>
      <c r="G401" s="4" t="str">
        <f>HYPERLINK("http://141.218.60.56/~jnz1568/getInfo.php?workbook=11_02.xlsx&amp;sheet=A0&amp;row=401&amp;col=7&amp;number=0&amp;sourceID=14","0")</f>
        <v>0</v>
      </c>
    </row>
    <row r="402" spans="1:7">
      <c r="A402" s="3">
        <v>11</v>
      </c>
      <c r="B402" s="3">
        <v>2</v>
      </c>
      <c r="C402" s="3">
        <v>32</v>
      </c>
      <c r="D402" s="3">
        <v>15</v>
      </c>
      <c r="E402" s="3">
        <v>129.373</v>
      </c>
      <c r="F402" s="4" t="str">
        <f>HYPERLINK("http://141.218.60.56/~jnz1568/getInfo.php?workbook=11_02.xlsx&amp;sheet=A0&amp;row=402&amp;col=6&amp;number=315200&amp;sourceID=14","315200")</f>
        <v>315200</v>
      </c>
      <c r="G402" s="4" t="str">
        <f>HYPERLINK("http://141.218.60.56/~jnz1568/getInfo.php?workbook=11_02.xlsx&amp;sheet=A0&amp;row=402&amp;col=7&amp;number=0&amp;sourceID=14","0")</f>
        <v>0</v>
      </c>
    </row>
    <row r="403" spans="1:7">
      <c r="A403" s="3">
        <v>11</v>
      </c>
      <c r="B403" s="3">
        <v>2</v>
      </c>
      <c r="C403" s="3">
        <v>35</v>
      </c>
      <c r="D403" s="3">
        <v>15</v>
      </c>
      <c r="E403" s="3">
        <v>128.517</v>
      </c>
      <c r="F403" s="4" t="str">
        <f>HYPERLINK("http://141.218.60.56/~jnz1568/getInfo.php?workbook=11_02.xlsx&amp;sheet=A0&amp;row=403&amp;col=6&amp;number=1444000000&amp;sourceID=14","1444000000")</f>
        <v>1444000000</v>
      </c>
      <c r="G403" s="4" t="str">
        <f>HYPERLINK("http://141.218.60.56/~jnz1568/getInfo.php?workbook=11_02.xlsx&amp;sheet=A0&amp;row=403&amp;col=7&amp;number=0&amp;sourceID=14","0")</f>
        <v>0</v>
      </c>
    </row>
    <row r="404" spans="1:7">
      <c r="A404" s="3">
        <v>11</v>
      </c>
      <c r="B404" s="3">
        <v>2</v>
      </c>
      <c r="C404" s="3">
        <v>37</v>
      </c>
      <c r="D404" s="3">
        <v>15</v>
      </c>
      <c r="E404" s="3">
        <v>128.067</v>
      </c>
      <c r="F404" s="4" t="str">
        <f>HYPERLINK("http://141.218.60.56/~jnz1568/getInfo.php?workbook=11_02.xlsx&amp;sheet=A0&amp;row=404&amp;col=6&amp;number=37800&amp;sourceID=14","37800")</f>
        <v>37800</v>
      </c>
      <c r="G404" s="4" t="str">
        <f>HYPERLINK("http://141.218.60.56/~jnz1568/getInfo.php?workbook=11_02.xlsx&amp;sheet=A0&amp;row=404&amp;col=7&amp;number=0&amp;sourceID=14","0")</f>
        <v>0</v>
      </c>
    </row>
    <row r="405" spans="1:7">
      <c r="A405" s="3">
        <v>11</v>
      </c>
      <c r="B405" s="3">
        <v>2</v>
      </c>
      <c r="C405" s="3">
        <v>38</v>
      </c>
      <c r="D405" s="3">
        <v>15</v>
      </c>
      <c r="E405" s="3">
        <v>128.067</v>
      </c>
      <c r="F405" s="4" t="str">
        <f>HYPERLINK("http://141.218.60.56/~jnz1568/getInfo.php?workbook=11_02.xlsx&amp;sheet=A0&amp;row=405&amp;col=6&amp;number=220000&amp;sourceID=14","220000")</f>
        <v>220000</v>
      </c>
      <c r="G405" s="4" t="str">
        <f>HYPERLINK("http://141.218.60.56/~jnz1568/getInfo.php?workbook=11_02.xlsx&amp;sheet=A0&amp;row=405&amp;col=7&amp;number=0&amp;sourceID=14","0")</f>
        <v>0</v>
      </c>
    </row>
    <row r="406" spans="1:7">
      <c r="A406" s="3">
        <v>11</v>
      </c>
      <c r="B406" s="3">
        <v>2</v>
      </c>
      <c r="C406" s="3">
        <v>39</v>
      </c>
      <c r="D406" s="3">
        <v>15</v>
      </c>
      <c r="E406" s="3">
        <v>128.067</v>
      </c>
      <c r="F406" s="4" t="str">
        <f>HYPERLINK("http://141.218.60.56/~jnz1568/getInfo.php?workbook=11_02.xlsx&amp;sheet=A0&amp;row=406&amp;col=6&amp;number=389500&amp;sourceID=14","389500")</f>
        <v>389500</v>
      </c>
      <c r="G406" s="4" t="str">
        <f>HYPERLINK("http://141.218.60.56/~jnz1568/getInfo.php?workbook=11_02.xlsx&amp;sheet=A0&amp;row=406&amp;col=7&amp;number=0&amp;sourceID=14","0")</f>
        <v>0</v>
      </c>
    </row>
    <row r="407" spans="1:7">
      <c r="A407" s="3">
        <v>11</v>
      </c>
      <c r="B407" s="3">
        <v>2</v>
      </c>
      <c r="C407" s="3">
        <v>40</v>
      </c>
      <c r="D407" s="3">
        <v>15</v>
      </c>
      <c r="E407" s="3">
        <v>128.031</v>
      </c>
      <c r="F407" s="4" t="str">
        <f>HYPERLINK("http://141.218.60.56/~jnz1568/getInfo.php?workbook=11_02.xlsx&amp;sheet=A0&amp;row=407&amp;col=6&amp;number=202300000&amp;sourceID=14","202300000")</f>
        <v>202300000</v>
      </c>
      <c r="G407" s="4" t="str">
        <f>HYPERLINK("http://141.218.60.56/~jnz1568/getInfo.php?workbook=11_02.xlsx&amp;sheet=A0&amp;row=407&amp;col=7&amp;number=0&amp;sourceID=14","0")</f>
        <v>0</v>
      </c>
    </row>
    <row r="408" spans="1:7">
      <c r="A408" s="3">
        <v>11</v>
      </c>
      <c r="B408" s="3">
        <v>2</v>
      </c>
      <c r="C408" s="3">
        <v>41</v>
      </c>
      <c r="D408" s="3">
        <v>15</v>
      </c>
      <c r="E408" s="3">
        <v>128.031</v>
      </c>
      <c r="F408" s="4" t="str">
        <f>HYPERLINK("http://141.218.60.56/~jnz1568/getInfo.php?workbook=11_02.xlsx&amp;sheet=A0&amp;row=408&amp;col=6&amp;number=3048000000&amp;sourceID=14","3048000000")</f>
        <v>3048000000</v>
      </c>
      <c r="G408" s="4" t="str">
        <f>HYPERLINK("http://141.218.60.56/~jnz1568/getInfo.php?workbook=11_02.xlsx&amp;sheet=A0&amp;row=408&amp;col=7&amp;number=0&amp;sourceID=14","0")</f>
        <v>0</v>
      </c>
    </row>
    <row r="409" spans="1:7">
      <c r="A409" s="3">
        <v>11</v>
      </c>
      <c r="B409" s="3">
        <v>2</v>
      </c>
      <c r="C409" s="3">
        <v>42</v>
      </c>
      <c r="D409" s="3">
        <v>15</v>
      </c>
      <c r="E409" s="3">
        <v>128.031</v>
      </c>
      <c r="F409" s="4" t="str">
        <f>HYPERLINK("http://141.218.60.56/~jnz1568/getInfo.php?workbook=11_02.xlsx&amp;sheet=A0&amp;row=409&amp;col=6&amp;number=45530000000&amp;sourceID=14","45530000000")</f>
        <v>45530000000</v>
      </c>
      <c r="G409" s="4" t="str">
        <f>HYPERLINK("http://141.218.60.56/~jnz1568/getInfo.php?workbook=11_02.xlsx&amp;sheet=A0&amp;row=409&amp;col=7&amp;number=0&amp;sourceID=14","0")</f>
        <v>0</v>
      </c>
    </row>
    <row r="410" spans="1:7">
      <c r="A410" s="3">
        <v>11</v>
      </c>
      <c r="B410" s="3">
        <v>2</v>
      </c>
      <c r="C410" s="3">
        <v>43</v>
      </c>
      <c r="D410" s="3">
        <v>15</v>
      </c>
      <c r="E410" s="3">
        <v>128.03</v>
      </c>
      <c r="F410" s="4" t="str">
        <f>HYPERLINK("http://141.218.60.56/~jnz1568/getInfo.php?workbook=11_02.xlsx&amp;sheet=A0&amp;row=410&amp;col=6&amp;number=2010000000&amp;sourceID=14","2010000000")</f>
        <v>2010000000</v>
      </c>
      <c r="G410" s="4" t="str">
        <f>HYPERLINK("http://141.218.60.56/~jnz1568/getInfo.php?workbook=11_02.xlsx&amp;sheet=A0&amp;row=410&amp;col=7&amp;number=0&amp;sourceID=14","0")</f>
        <v>0</v>
      </c>
    </row>
    <row r="411" spans="1:7">
      <c r="A411" s="3">
        <v>11</v>
      </c>
      <c r="B411" s="3">
        <v>2</v>
      </c>
      <c r="C411" s="3">
        <v>44</v>
      </c>
      <c r="D411" s="3">
        <v>15</v>
      </c>
      <c r="E411" s="3">
        <v>-128.141</v>
      </c>
      <c r="F411" s="4" t="str">
        <f>HYPERLINK("http://141.218.60.56/~jnz1568/getInfo.php?workbook=11_02.xlsx&amp;sheet=A0&amp;row=411&amp;col=6&amp;number=165900&amp;sourceID=14","165900")</f>
        <v>165900</v>
      </c>
      <c r="G411" s="4" t="str">
        <f>HYPERLINK("http://141.218.60.56/~jnz1568/getInfo.php?workbook=11_02.xlsx&amp;sheet=A0&amp;row=411&amp;col=7&amp;number=0&amp;sourceID=14","0")</f>
        <v>0</v>
      </c>
    </row>
    <row r="412" spans="1:7">
      <c r="A412" s="3">
        <v>11</v>
      </c>
      <c r="B412" s="3">
        <v>2</v>
      </c>
      <c r="C412" s="3">
        <v>45</v>
      </c>
      <c r="D412" s="3">
        <v>15</v>
      </c>
      <c r="E412" s="3">
        <v>-128.142</v>
      </c>
      <c r="F412" s="4" t="str">
        <f>HYPERLINK("http://141.218.60.56/~jnz1568/getInfo.php?workbook=11_02.xlsx&amp;sheet=A0&amp;row=412&amp;col=6&amp;number=1059000&amp;sourceID=14","1059000")</f>
        <v>1059000</v>
      </c>
      <c r="G412" s="4" t="str">
        <f>HYPERLINK("http://141.218.60.56/~jnz1568/getInfo.php?workbook=11_02.xlsx&amp;sheet=A0&amp;row=412&amp;col=7&amp;number=0&amp;sourceID=14","0")</f>
        <v>0</v>
      </c>
    </row>
    <row r="413" spans="1:7">
      <c r="A413" s="3">
        <v>11</v>
      </c>
      <c r="B413" s="3">
        <v>2</v>
      </c>
      <c r="C413" s="3">
        <v>46</v>
      </c>
      <c r="D413" s="3">
        <v>15</v>
      </c>
      <c r="E413" s="3">
        <v>128.031</v>
      </c>
      <c r="F413" s="4" t="str">
        <f>HYPERLINK("http://141.218.60.56/~jnz1568/getInfo.php?workbook=11_02.xlsx&amp;sheet=A0&amp;row=413&amp;col=6&amp;number=7161&amp;sourceID=14","7161")</f>
        <v>7161</v>
      </c>
      <c r="G413" s="4" t="str">
        <f>HYPERLINK("http://141.218.60.56/~jnz1568/getInfo.php?workbook=11_02.xlsx&amp;sheet=A0&amp;row=413&amp;col=7&amp;number=0&amp;sourceID=14","0")</f>
        <v>0</v>
      </c>
    </row>
    <row r="414" spans="1:7">
      <c r="A414" s="3">
        <v>11</v>
      </c>
      <c r="B414" s="3">
        <v>2</v>
      </c>
      <c r="C414" s="3">
        <v>47</v>
      </c>
      <c r="D414" s="3">
        <v>15</v>
      </c>
      <c r="E414" s="3">
        <v>-128.138</v>
      </c>
      <c r="F414" s="4" t="str">
        <f>HYPERLINK("http://141.218.60.56/~jnz1568/getInfo.php?workbook=11_02.xlsx&amp;sheet=A0&amp;row=414&amp;col=6&amp;number=11610000&amp;sourceID=14","11610000")</f>
        <v>11610000</v>
      </c>
      <c r="G414" s="4" t="str">
        <f>HYPERLINK("http://141.218.60.56/~jnz1568/getInfo.php?workbook=11_02.xlsx&amp;sheet=A0&amp;row=414&amp;col=7&amp;number=0&amp;sourceID=14","0")</f>
        <v>0</v>
      </c>
    </row>
    <row r="415" spans="1:7">
      <c r="A415" s="3">
        <v>11</v>
      </c>
      <c r="B415" s="3">
        <v>2</v>
      </c>
      <c r="C415" s="3">
        <v>48</v>
      </c>
      <c r="D415" s="3">
        <v>15</v>
      </c>
      <c r="E415" s="3">
        <v>-128.137</v>
      </c>
      <c r="F415" s="4" t="str">
        <f>HYPERLINK("http://141.218.60.56/~jnz1568/getInfo.php?workbook=11_02.xlsx&amp;sheet=A0&amp;row=415&amp;col=6&amp;number=877200&amp;sourceID=14","877200")</f>
        <v>877200</v>
      </c>
      <c r="G415" s="4" t="str">
        <f>HYPERLINK("http://141.218.60.56/~jnz1568/getInfo.php?workbook=11_02.xlsx&amp;sheet=A0&amp;row=415&amp;col=7&amp;number=0&amp;sourceID=14","0")</f>
        <v>0</v>
      </c>
    </row>
    <row r="416" spans="1:7">
      <c r="A416" s="3">
        <v>11</v>
      </c>
      <c r="B416" s="3">
        <v>2</v>
      </c>
      <c r="C416" s="3">
        <v>49</v>
      </c>
      <c r="D416" s="3">
        <v>15</v>
      </c>
      <c r="E416" s="3">
        <v>127.923</v>
      </c>
      <c r="F416" s="4" t="str">
        <f>HYPERLINK("http://141.218.60.56/~jnz1568/getInfo.php?workbook=11_02.xlsx&amp;sheet=A0&amp;row=416&amp;col=6&amp;number=5.401&amp;sourceID=14","5.401")</f>
        <v>5.401</v>
      </c>
      <c r="G416" s="4" t="str">
        <f>HYPERLINK("http://141.218.60.56/~jnz1568/getInfo.php?workbook=11_02.xlsx&amp;sheet=A0&amp;row=416&amp;col=7&amp;number=0&amp;sourceID=14","0")</f>
        <v>0</v>
      </c>
    </row>
    <row r="417" spans="1:7">
      <c r="A417" s="3">
        <v>11</v>
      </c>
      <c r="B417" s="3">
        <v>2</v>
      </c>
      <c r="C417" s="3">
        <v>17</v>
      </c>
      <c r="D417" s="3">
        <v>16</v>
      </c>
      <c r="E417" s="3">
        <v>27739.303</v>
      </c>
      <c r="F417" s="4" t="str">
        <f>HYPERLINK("http://141.218.60.56/~jnz1568/getInfo.php?workbook=11_02.xlsx&amp;sheet=A0&amp;row=417&amp;col=6&amp;number=112200&amp;sourceID=14","112200")</f>
        <v>112200</v>
      </c>
      <c r="G417" s="4" t="str">
        <f>HYPERLINK("http://141.218.60.56/~jnz1568/getInfo.php?workbook=11_02.xlsx&amp;sheet=A0&amp;row=417&amp;col=7&amp;number=0&amp;sourceID=14","0")</f>
        <v>0</v>
      </c>
    </row>
    <row r="418" spans="1:7">
      <c r="A418" s="3">
        <v>11</v>
      </c>
      <c r="B418" s="3">
        <v>2</v>
      </c>
      <c r="C418" s="3">
        <v>18</v>
      </c>
      <c r="D418" s="3">
        <v>16</v>
      </c>
      <c r="E418" s="3">
        <v>193.203</v>
      </c>
      <c r="F418" s="4" t="str">
        <f>HYPERLINK("http://141.218.60.56/~jnz1568/getInfo.php?workbook=11_02.xlsx&amp;sheet=A0&amp;row=418&amp;col=6&amp;number=21160&amp;sourceID=14","21160")</f>
        <v>21160</v>
      </c>
      <c r="G418" s="4" t="str">
        <f>HYPERLINK("http://141.218.60.56/~jnz1568/getInfo.php?workbook=11_02.xlsx&amp;sheet=A0&amp;row=418&amp;col=7&amp;number=0&amp;sourceID=14","0")</f>
        <v>0</v>
      </c>
    </row>
    <row r="419" spans="1:7">
      <c r="A419" s="3">
        <v>11</v>
      </c>
      <c r="B419" s="3">
        <v>2</v>
      </c>
      <c r="C419" s="3">
        <v>19</v>
      </c>
      <c r="D419" s="3">
        <v>16</v>
      </c>
      <c r="E419" s="3">
        <v>189.611</v>
      </c>
      <c r="F419" s="4" t="str">
        <f>HYPERLINK("http://141.218.60.56/~jnz1568/getInfo.php?workbook=11_02.xlsx&amp;sheet=A0&amp;row=419&amp;col=6&amp;number=5.91&amp;sourceID=14","5.91")</f>
        <v>5.91</v>
      </c>
      <c r="G419" s="4" t="str">
        <f>HYPERLINK("http://141.218.60.56/~jnz1568/getInfo.php?workbook=11_02.xlsx&amp;sheet=A0&amp;row=419&amp;col=7&amp;number=0&amp;sourceID=14","0")</f>
        <v>0</v>
      </c>
    </row>
    <row r="420" spans="1:7">
      <c r="A420" s="3">
        <v>11</v>
      </c>
      <c r="B420" s="3">
        <v>2</v>
      </c>
      <c r="C420" s="3">
        <v>20</v>
      </c>
      <c r="D420" s="3">
        <v>16</v>
      </c>
      <c r="E420" s="3">
        <v>189.585</v>
      </c>
      <c r="F420" s="4" t="str">
        <f>HYPERLINK("http://141.218.60.56/~jnz1568/getInfo.php?workbook=11_02.xlsx&amp;sheet=A0&amp;row=420&amp;col=6&amp;number=121700000&amp;sourceID=14","121700000")</f>
        <v>121700000</v>
      </c>
      <c r="G420" s="4" t="str">
        <f>HYPERLINK("http://141.218.60.56/~jnz1568/getInfo.php?workbook=11_02.xlsx&amp;sheet=A0&amp;row=420&amp;col=7&amp;number=0&amp;sourceID=14","0")</f>
        <v>0</v>
      </c>
    </row>
    <row r="421" spans="1:7">
      <c r="A421" s="3">
        <v>11</v>
      </c>
      <c r="B421" s="3">
        <v>2</v>
      </c>
      <c r="C421" s="3">
        <v>21</v>
      </c>
      <c r="D421" s="3">
        <v>16</v>
      </c>
      <c r="E421" s="3">
        <v>189.477</v>
      </c>
      <c r="F421" s="4" t="str">
        <f>HYPERLINK("http://141.218.60.56/~jnz1568/getInfo.php?workbook=11_02.xlsx&amp;sheet=A0&amp;row=421&amp;col=6&amp;number=34260000&amp;sourceID=14","34260000")</f>
        <v>34260000</v>
      </c>
      <c r="G421" s="4" t="str">
        <f>HYPERLINK("http://141.218.60.56/~jnz1568/getInfo.php?workbook=11_02.xlsx&amp;sheet=A0&amp;row=421&amp;col=7&amp;number=0&amp;sourceID=14","0")</f>
        <v>0</v>
      </c>
    </row>
    <row r="422" spans="1:7">
      <c r="A422" s="3">
        <v>11</v>
      </c>
      <c r="B422" s="3">
        <v>2</v>
      </c>
      <c r="C422" s="3">
        <v>22</v>
      </c>
      <c r="D422" s="3">
        <v>16</v>
      </c>
      <c r="E422" s="3">
        <v>189.57</v>
      </c>
      <c r="F422" s="4" t="str">
        <f>HYPERLINK("http://141.218.60.56/~jnz1568/getInfo.php?workbook=11_02.xlsx&amp;sheet=A0&amp;row=422&amp;col=6&amp;number=1030000&amp;sourceID=14","1030000")</f>
        <v>1030000</v>
      </c>
      <c r="G422" s="4" t="str">
        <f>HYPERLINK("http://141.218.60.56/~jnz1568/getInfo.php?workbook=11_02.xlsx&amp;sheet=A0&amp;row=422&amp;col=7&amp;number=0&amp;sourceID=14","0")</f>
        <v>0</v>
      </c>
    </row>
    <row r="423" spans="1:7">
      <c r="A423" s="3">
        <v>11</v>
      </c>
      <c r="B423" s="3">
        <v>2</v>
      </c>
      <c r="C423" s="3">
        <v>23</v>
      </c>
      <c r="D423" s="3">
        <v>16</v>
      </c>
      <c r="E423" s="3">
        <v>187.56</v>
      </c>
      <c r="F423" s="4" t="str">
        <f>HYPERLINK("http://141.218.60.56/~jnz1568/getInfo.php?workbook=11_02.xlsx&amp;sheet=A0&amp;row=423&amp;col=6&amp;number=38320&amp;sourceID=14","38320")</f>
        <v>38320</v>
      </c>
      <c r="G423" s="4" t="str">
        <f>HYPERLINK("http://141.218.60.56/~jnz1568/getInfo.php?workbook=11_02.xlsx&amp;sheet=A0&amp;row=423&amp;col=7&amp;number=0&amp;sourceID=14","0")</f>
        <v>0</v>
      </c>
    </row>
    <row r="424" spans="1:7">
      <c r="A424" s="3">
        <v>11</v>
      </c>
      <c r="B424" s="3">
        <v>2</v>
      </c>
      <c r="C424" s="3">
        <v>24</v>
      </c>
      <c r="D424" s="3">
        <v>16</v>
      </c>
      <c r="E424" s="3">
        <v>187.56</v>
      </c>
      <c r="F424" s="4" t="str">
        <f>HYPERLINK("http://141.218.60.56/~jnz1568/getInfo.php?workbook=11_02.xlsx&amp;sheet=A0&amp;row=424&amp;col=6&amp;number=6034&amp;sourceID=14","6034")</f>
        <v>6034</v>
      </c>
      <c r="G424" s="4" t="str">
        <f>HYPERLINK("http://141.218.60.56/~jnz1568/getInfo.php?workbook=11_02.xlsx&amp;sheet=A0&amp;row=424&amp;col=7&amp;number=0&amp;sourceID=14","0")</f>
        <v>0</v>
      </c>
    </row>
    <row r="425" spans="1:7">
      <c r="A425" s="3">
        <v>11</v>
      </c>
      <c r="B425" s="3">
        <v>2</v>
      </c>
      <c r="C425" s="3">
        <v>25</v>
      </c>
      <c r="D425" s="3">
        <v>16</v>
      </c>
      <c r="E425" s="3">
        <v>187.56</v>
      </c>
      <c r="F425" s="4" t="str">
        <f>HYPERLINK("http://141.218.60.56/~jnz1568/getInfo.php?workbook=11_02.xlsx&amp;sheet=A0&amp;row=425&amp;col=6&amp;number=18760&amp;sourceID=14","18760")</f>
        <v>18760</v>
      </c>
      <c r="G425" s="4" t="str">
        <f>HYPERLINK("http://141.218.60.56/~jnz1568/getInfo.php?workbook=11_02.xlsx&amp;sheet=A0&amp;row=425&amp;col=7&amp;number=0&amp;sourceID=14","0")</f>
        <v>0</v>
      </c>
    </row>
    <row r="426" spans="1:7">
      <c r="A426" s="3">
        <v>11</v>
      </c>
      <c r="B426" s="3">
        <v>2</v>
      </c>
      <c r="C426" s="3">
        <v>26</v>
      </c>
      <c r="D426" s="3">
        <v>16</v>
      </c>
      <c r="E426" s="3">
        <v>187.415</v>
      </c>
      <c r="F426" s="4" t="str">
        <f>HYPERLINK("http://141.218.60.56/~jnz1568/getInfo.php?workbook=11_02.xlsx&amp;sheet=A0&amp;row=426&amp;col=6&amp;number=1184000000&amp;sourceID=14","1184000000")</f>
        <v>1184000000</v>
      </c>
      <c r="G426" s="4" t="str">
        <f>HYPERLINK("http://141.218.60.56/~jnz1568/getInfo.php?workbook=11_02.xlsx&amp;sheet=A0&amp;row=426&amp;col=7&amp;number=0&amp;sourceID=14","0")</f>
        <v>0</v>
      </c>
    </row>
    <row r="427" spans="1:7">
      <c r="A427" s="3">
        <v>11</v>
      </c>
      <c r="B427" s="3">
        <v>2</v>
      </c>
      <c r="C427" s="3">
        <v>27</v>
      </c>
      <c r="D427" s="3">
        <v>16</v>
      </c>
      <c r="E427" s="3">
        <v>187.415</v>
      </c>
      <c r="F427" s="4" t="str">
        <f>HYPERLINK("http://141.218.60.56/~jnz1568/getInfo.php?workbook=11_02.xlsx&amp;sheet=A0&amp;row=427&amp;col=6&amp;number=28520000000&amp;sourceID=14","28520000000")</f>
        <v>28520000000</v>
      </c>
      <c r="G427" s="4" t="str">
        <f>HYPERLINK("http://141.218.60.56/~jnz1568/getInfo.php?workbook=11_02.xlsx&amp;sheet=A0&amp;row=427&amp;col=7&amp;number=0&amp;sourceID=14","0")</f>
        <v>0</v>
      </c>
    </row>
    <row r="428" spans="1:7">
      <c r="A428" s="3">
        <v>11</v>
      </c>
      <c r="B428" s="3">
        <v>2</v>
      </c>
      <c r="C428" s="3">
        <v>28</v>
      </c>
      <c r="D428" s="3">
        <v>16</v>
      </c>
      <c r="E428" s="3">
        <v>187.415</v>
      </c>
      <c r="F428" s="4" t="str">
        <f>HYPERLINK("http://141.218.60.56/~jnz1568/getInfo.php?workbook=11_02.xlsx&amp;sheet=A0&amp;row=428&amp;col=6&amp;number=142.8&amp;sourceID=14","142.8")</f>
        <v>142.8</v>
      </c>
      <c r="G428" s="4" t="str">
        <f>HYPERLINK("http://141.218.60.56/~jnz1568/getInfo.php?workbook=11_02.xlsx&amp;sheet=A0&amp;row=428&amp;col=7&amp;number=0&amp;sourceID=14","0")</f>
        <v>0</v>
      </c>
    </row>
    <row r="429" spans="1:7">
      <c r="A429" s="3">
        <v>11</v>
      </c>
      <c r="B429" s="3">
        <v>2</v>
      </c>
      <c r="C429" s="3">
        <v>29</v>
      </c>
      <c r="D429" s="3">
        <v>16</v>
      </c>
      <c r="E429" s="3">
        <v>187.413</v>
      </c>
      <c r="F429" s="4" t="str">
        <f>HYPERLINK("http://141.218.60.56/~jnz1568/getInfo.php?workbook=11_02.xlsx&amp;sheet=A0&amp;row=429&amp;col=6&amp;number=108500000000&amp;sourceID=14","108500000000")</f>
        <v>108500000000</v>
      </c>
      <c r="G429" s="4" t="str">
        <f>HYPERLINK("http://141.218.60.56/~jnz1568/getInfo.php?workbook=11_02.xlsx&amp;sheet=A0&amp;row=429&amp;col=7&amp;number=0&amp;sourceID=14","0")</f>
        <v>0</v>
      </c>
    </row>
    <row r="430" spans="1:7">
      <c r="A430" s="3">
        <v>11</v>
      </c>
      <c r="B430" s="3">
        <v>2</v>
      </c>
      <c r="C430" s="3">
        <v>30</v>
      </c>
      <c r="D430" s="3">
        <v>16</v>
      </c>
      <c r="E430" s="3">
        <v>187.427</v>
      </c>
      <c r="F430" s="4" t="str">
        <f>HYPERLINK("http://141.218.60.56/~jnz1568/getInfo.php?workbook=11_02.xlsx&amp;sheet=A0&amp;row=430&amp;col=6&amp;number=1136000&amp;sourceID=14","1136000")</f>
        <v>1136000</v>
      </c>
      <c r="G430" s="4" t="str">
        <f>HYPERLINK("http://141.218.60.56/~jnz1568/getInfo.php?workbook=11_02.xlsx&amp;sheet=A0&amp;row=430&amp;col=7&amp;number=0&amp;sourceID=14","0")</f>
        <v>0</v>
      </c>
    </row>
    <row r="431" spans="1:7">
      <c r="A431" s="3">
        <v>11</v>
      </c>
      <c r="B431" s="3">
        <v>2</v>
      </c>
      <c r="C431" s="3">
        <v>31</v>
      </c>
      <c r="D431" s="3">
        <v>16</v>
      </c>
      <c r="E431" s="3">
        <v>186.945</v>
      </c>
      <c r="F431" s="4" t="str">
        <f>HYPERLINK("http://141.218.60.56/~jnz1568/getInfo.php?workbook=11_02.xlsx&amp;sheet=A0&amp;row=431&amp;col=6&amp;number=3197000000&amp;sourceID=14","3197000000")</f>
        <v>3197000000</v>
      </c>
      <c r="G431" s="4" t="str">
        <f>HYPERLINK("http://141.218.60.56/~jnz1568/getInfo.php?workbook=11_02.xlsx&amp;sheet=A0&amp;row=431&amp;col=7&amp;number=0&amp;sourceID=14","0")</f>
        <v>0</v>
      </c>
    </row>
    <row r="432" spans="1:7">
      <c r="A432" s="3">
        <v>11</v>
      </c>
      <c r="B432" s="3">
        <v>2</v>
      </c>
      <c r="C432" s="3">
        <v>32</v>
      </c>
      <c r="D432" s="3">
        <v>16</v>
      </c>
      <c r="E432" s="3">
        <v>129.465</v>
      </c>
      <c r="F432" s="4" t="str">
        <f>HYPERLINK("http://141.218.60.56/~jnz1568/getInfo.php?workbook=11_02.xlsx&amp;sheet=A0&amp;row=432&amp;col=6&amp;number=12550&amp;sourceID=14","12550")</f>
        <v>12550</v>
      </c>
      <c r="G432" s="4" t="str">
        <f>HYPERLINK("http://141.218.60.56/~jnz1568/getInfo.php?workbook=11_02.xlsx&amp;sheet=A0&amp;row=432&amp;col=7&amp;number=0&amp;sourceID=14","0")</f>
        <v>0</v>
      </c>
    </row>
    <row r="433" spans="1:7">
      <c r="A433" s="3">
        <v>11</v>
      </c>
      <c r="B433" s="3">
        <v>2</v>
      </c>
      <c r="C433" s="3">
        <v>33</v>
      </c>
      <c r="D433" s="3">
        <v>16</v>
      </c>
      <c r="E433" s="3">
        <v>128.64</v>
      </c>
      <c r="F433" s="4" t="str">
        <f>HYPERLINK("http://141.218.60.56/~jnz1568/getInfo.php?workbook=11_02.xlsx&amp;sheet=A0&amp;row=433&amp;col=6&amp;number=5.567&amp;sourceID=14","5.567")</f>
        <v>5.567</v>
      </c>
      <c r="G433" s="4" t="str">
        <f>HYPERLINK("http://141.218.60.56/~jnz1568/getInfo.php?workbook=11_02.xlsx&amp;sheet=A0&amp;row=433&amp;col=7&amp;number=0&amp;sourceID=14","0")</f>
        <v>0</v>
      </c>
    </row>
    <row r="434" spans="1:7">
      <c r="A434" s="3">
        <v>11</v>
      </c>
      <c r="B434" s="3">
        <v>2</v>
      </c>
      <c r="C434" s="3">
        <v>34</v>
      </c>
      <c r="D434" s="3">
        <v>16</v>
      </c>
      <c r="E434" s="3">
        <v>128.633</v>
      </c>
      <c r="F434" s="4" t="str">
        <f>HYPERLINK("http://141.218.60.56/~jnz1568/getInfo.php?workbook=11_02.xlsx&amp;sheet=A0&amp;row=434&amp;col=6&amp;number=50610000&amp;sourceID=14","50610000")</f>
        <v>50610000</v>
      </c>
      <c r="G434" s="4" t="str">
        <f>HYPERLINK("http://141.218.60.56/~jnz1568/getInfo.php?workbook=11_02.xlsx&amp;sheet=A0&amp;row=434&amp;col=7&amp;number=0&amp;sourceID=14","0")</f>
        <v>0</v>
      </c>
    </row>
    <row r="435" spans="1:7">
      <c r="A435" s="3">
        <v>11</v>
      </c>
      <c r="B435" s="3">
        <v>2</v>
      </c>
      <c r="C435" s="3">
        <v>35</v>
      </c>
      <c r="D435" s="3">
        <v>16</v>
      </c>
      <c r="E435" s="3">
        <v>128.608</v>
      </c>
      <c r="F435" s="4" t="str">
        <f>HYPERLINK("http://141.218.60.56/~jnz1568/getInfo.php?workbook=11_02.xlsx&amp;sheet=A0&amp;row=435&amp;col=6&amp;number=14430000&amp;sourceID=14","14430000")</f>
        <v>14430000</v>
      </c>
      <c r="G435" s="4" t="str">
        <f>HYPERLINK("http://141.218.60.56/~jnz1568/getInfo.php?workbook=11_02.xlsx&amp;sheet=A0&amp;row=435&amp;col=7&amp;number=0&amp;sourceID=14","0")</f>
        <v>0</v>
      </c>
    </row>
    <row r="436" spans="1:7">
      <c r="A436" s="3">
        <v>11</v>
      </c>
      <c r="B436" s="3">
        <v>2</v>
      </c>
      <c r="C436" s="3">
        <v>36</v>
      </c>
      <c r="D436" s="3">
        <v>16</v>
      </c>
      <c r="E436" s="3">
        <v>128.635</v>
      </c>
      <c r="F436" s="4" t="str">
        <f>HYPERLINK("http://141.218.60.56/~jnz1568/getInfo.php?workbook=11_02.xlsx&amp;sheet=A0&amp;row=436&amp;col=6&amp;number=698000&amp;sourceID=14","698000")</f>
        <v>698000</v>
      </c>
      <c r="G436" s="4" t="str">
        <f>HYPERLINK("http://141.218.60.56/~jnz1568/getInfo.php?workbook=11_02.xlsx&amp;sheet=A0&amp;row=436&amp;col=7&amp;number=0&amp;sourceID=14","0")</f>
        <v>0</v>
      </c>
    </row>
    <row r="437" spans="1:7">
      <c r="A437" s="3">
        <v>11</v>
      </c>
      <c r="B437" s="3">
        <v>2</v>
      </c>
      <c r="C437" s="3">
        <v>37</v>
      </c>
      <c r="D437" s="3">
        <v>16</v>
      </c>
      <c r="E437" s="3">
        <v>128.157</v>
      </c>
      <c r="F437" s="4" t="str">
        <f>HYPERLINK("http://141.218.60.56/~jnz1568/getInfo.php?workbook=11_02.xlsx&amp;sheet=A0&amp;row=437&amp;col=6&amp;number=18340&amp;sourceID=14","18340")</f>
        <v>18340</v>
      </c>
      <c r="G437" s="4" t="str">
        <f>HYPERLINK("http://141.218.60.56/~jnz1568/getInfo.php?workbook=11_02.xlsx&amp;sheet=A0&amp;row=437&amp;col=7&amp;number=0&amp;sourceID=14","0")</f>
        <v>0</v>
      </c>
    </row>
    <row r="438" spans="1:7">
      <c r="A438" s="3">
        <v>11</v>
      </c>
      <c r="B438" s="3">
        <v>2</v>
      </c>
      <c r="C438" s="3">
        <v>38</v>
      </c>
      <c r="D438" s="3">
        <v>16</v>
      </c>
      <c r="E438" s="3">
        <v>128.157</v>
      </c>
      <c r="F438" s="4" t="str">
        <f>HYPERLINK("http://141.218.60.56/~jnz1568/getInfo.php?workbook=11_02.xlsx&amp;sheet=A0&amp;row=438&amp;col=6&amp;number=1996&amp;sourceID=14","1996")</f>
        <v>1996</v>
      </c>
      <c r="G438" s="4" t="str">
        <f>HYPERLINK("http://141.218.60.56/~jnz1568/getInfo.php?workbook=11_02.xlsx&amp;sheet=A0&amp;row=438&amp;col=7&amp;number=0&amp;sourceID=14","0")</f>
        <v>0</v>
      </c>
    </row>
    <row r="439" spans="1:7">
      <c r="A439" s="3">
        <v>11</v>
      </c>
      <c r="B439" s="3">
        <v>2</v>
      </c>
      <c r="C439" s="3">
        <v>39</v>
      </c>
      <c r="D439" s="3">
        <v>16</v>
      </c>
      <c r="E439" s="3">
        <v>128.157</v>
      </c>
      <c r="F439" s="4" t="str">
        <f>HYPERLINK("http://141.218.60.56/~jnz1568/getInfo.php?workbook=11_02.xlsx&amp;sheet=A0&amp;row=439&amp;col=6&amp;number=8981&amp;sourceID=14","8981")</f>
        <v>8981</v>
      </c>
      <c r="G439" s="4" t="str">
        <f>HYPERLINK("http://141.218.60.56/~jnz1568/getInfo.php?workbook=11_02.xlsx&amp;sheet=A0&amp;row=439&amp;col=7&amp;number=0&amp;sourceID=14","0")</f>
        <v>0</v>
      </c>
    </row>
    <row r="440" spans="1:7">
      <c r="A440" s="3">
        <v>11</v>
      </c>
      <c r="B440" s="3">
        <v>2</v>
      </c>
      <c r="C440" s="3">
        <v>40</v>
      </c>
      <c r="D440" s="3">
        <v>16</v>
      </c>
      <c r="E440" s="3">
        <v>128.121</v>
      </c>
      <c r="F440" s="4" t="str">
        <f>HYPERLINK("http://141.218.60.56/~jnz1568/getInfo.php?workbook=11_02.xlsx&amp;sheet=A0&amp;row=440&amp;col=6&amp;number=389800000&amp;sourceID=14","389800000")</f>
        <v>389800000</v>
      </c>
      <c r="G440" s="4" t="str">
        <f>HYPERLINK("http://141.218.60.56/~jnz1568/getInfo.php?workbook=11_02.xlsx&amp;sheet=A0&amp;row=440&amp;col=7&amp;number=0&amp;sourceID=14","0")</f>
        <v>0</v>
      </c>
    </row>
    <row r="441" spans="1:7">
      <c r="A441" s="3">
        <v>11</v>
      </c>
      <c r="B441" s="3">
        <v>2</v>
      </c>
      <c r="C441" s="3">
        <v>41</v>
      </c>
      <c r="D441" s="3">
        <v>16</v>
      </c>
      <c r="E441" s="3">
        <v>128.121</v>
      </c>
      <c r="F441" s="4" t="str">
        <f>HYPERLINK("http://141.218.60.56/~jnz1568/getInfo.php?workbook=11_02.xlsx&amp;sheet=A0&amp;row=441&amp;col=6&amp;number=8817000000&amp;sourceID=14","8817000000")</f>
        <v>8817000000</v>
      </c>
      <c r="G441" s="4" t="str">
        <f>HYPERLINK("http://141.218.60.56/~jnz1568/getInfo.php?workbook=11_02.xlsx&amp;sheet=A0&amp;row=441&amp;col=7&amp;number=0&amp;sourceID=14","0")</f>
        <v>0</v>
      </c>
    </row>
    <row r="442" spans="1:7">
      <c r="A442" s="3">
        <v>11</v>
      </c>
      <c r="B442" s="3">
        <v>2</v>
      </c>
      <c r="C442" s="3">
        <v>42</v>
      </c>
      <c r="D442" s="3">
        <v>16</v>
      </c>
      <c r="E442" s="3">
        <v>128.121</v>
      </c>
      <c r="F442" s="4" t="str">
        <f>HYPERLINK("http://141.218.60.56/~jnz1568/getInfo.php?workbook=11_02.xlsx&amp;sheet=A0&amp;row=442&amp;col=6&amp;number=100.7&amp;sourceID=14","100.7")</f>
        <v>100.7</v>
      </c>
      <c r="G442" s="4" t="str">
        <f>HYPERLINK("http://141.218.60.56/~jnz1568/getInfo.php?workbook=11_02.xlsx&amp;sheet=A0&amp;row=442&amp;col=7&amp;number=0&amp;sourceID=14","0")</f>
        <v>0</v>
      </c>
    </row>
    <row r="443" spans="1:7">
      <c r="A443" s="3">
        <v>11</v>
      </c>
      <c r="B443" s="3">
        <v>2</v>
      </c>
      <c r="C443" s="3">
        <v>43</v>
      </c>
      <c r="D443" s="3">
        <v>16</v>
      </c>
      <c r="E443" s="3">
        <v>128.121</v>
      </c>
      <c r="F443" s="4" t="str">
        <f>HYPERLINK("http://141.218.60.56/~jnz1568/getInfo.php?workbook=11_02.xlsx&amp;sheet=A0&amp;row=443&amp;col=6&amp;number=36360000000&amp;sourceID=14","36360000000")</f>
        <v>36360000000</v>
      </c>
      <c r="G443" s="4" t="str">
        <f>HYPERLINK("http://141.218.60.56/~jnz1568/getInfo.php?workbook=11_02.xlsx&amp;sheet=A0&amp;row=443&amp;col=7&amp;number=0&amp;sourceID=14","0")</f>
        <v>0</v>
      </c>
    </row>
    <row r="444" spans="1:7">
      <c r="A444" s="3">
        <v>11</v>
      </c>
      <c r="B444" s="3">
        <v>2</v>
      </c>
      <c r="C444" s="3">
        <v>44</v>
      </c>
      <c r="D444" s="3">
        <v>16</v>
      </c>
      <c r="E444" s="3">
        <v>-128.273</v>
      </c>
      <c r="F444" s="4" t="str">
        <f>HYPERLINK("http://141.218.60.56/~jnz1568/getInfo.php?workbook=11_02.xlsx&amp;sheet=A0&amp;row=444&amp;col=6&amp;number=137400&amp;sourceID=14","137400")</f>
        <v>137400</v>
      </c>
      <c r="G444" s="4" t="str">
        <f>HYPERLINK("http://141.218.60.56/~jnz1568/getInfo.php?workbook=11_02.xlsx&amp;sheet=A0&amp;row=444&amp;col=7&amp;number=0&amp;sourceID=14","0")</f>
        <v>0</v>
      </c>
    </row>
    <row r="445" spans="1:7">
      <c r="A445" s="3">
        <v>11</v>
      </c>
      <c r="B445" s="3">
        <v>2</v>
      </c>
      <c r="C445" s="3">
        <v>45</v>
      </c>
      <c r="D445" s="3">
        <v>16</v>
      </c>
      <c r="E445" s="3">
        <v>-128.274</v>
      </c>
      <c r="F445" s="4" t="str">
        <f>HYPERLINK("http://141.218.60.56/~jnz1568/getInfo.php?workbook=11_02.xlsx&amp;sheet=A0&amp;row=445&amp;col=6&amp;number=2850000&amp;sourceID=14","2850000")</f>
        <v>2850000</v>
      </c>
      <c r="G445" s="4" t="str">
        <f>HYPERLINK("http://141.218.60.56/~jnz1568/getInfo.php?workbook=11_02.xlsx&amp;sheet=A0&amp;row=445&amp;col=7&amp;number=0&amp;sourceID=14","0")</f>
        <v>0</v>
      </c>
    </row>
    <row r="446" spans="1:7">
      <c r="A446" s="3">
        <v>11</v>
      </c>
      <c r="B446" s="3">
        <v>2</v>
      </c>
      <c r="C446" s="3">
        <v>46</v>
      </c>
      <c r="D446" s="3">
        <v>16</v>
      </c>
      <c r="E446" s="3">
        <v>128.122</v>
      </c>
      <c r="F446" s="4" t="str">
        <f>HYPERLINK("http://141.218.60.56/~jnz1568/getInfo.php?workbook=11_02.xlsx&amp;sheet=A0&amp;row=446&amp;col=6&amp;number=561200&amp;sourceID=14","561200")</f>
        <v>561200</v>
      </c>
      <c r="G446" s="4" t="str">
        <f>HYPERLINK("http://141.218.60.56/~jnz1568/getInfo.php?workbook=11_02.xlsx&amp;sheet=A0&amp;row=446&amp;col=7&amp;number=0&amp;sourceID=14","0")</f>
        <v>0</v>
      </c>
    </row>
    <row r="447" spans="1:7">
      <c r="A447" s="3">
        <v>11</v>
      </c>
      <c r="B447" s="3">
        <v>2</v>
      </c>
      <c r="C447" s="3">
        <v>48</v>
      </c>
      <c r="D447" s="3">
        <v>16</v>
      </c>
      <c r="E447" s="3">
        <v>-128.269</v>
      </c>
      <c r="F447" s="4" t="str">
        <f>HYPERLINK("http://141.218.60.56/~jnz1568/getInfo.php?workbook=11_02.xlsx&amp;sheet=A0&amp;row=447&amp;col=6&amp;number=8644000&amp;sourceID=14","8644000")</f>
        <v>8644000</v>
      </c>
      <c r="G447" s="4" t="str">
        <f>HYPERLINK("http://141.218.60.56/~jnz1568/getInfo.php?workbook=11_02.xlsx&amp;sheet=A0&amp;row=447&amp;col=7&amp;number=0&amp;sourceID=14","0")</f>
        <v>0</v>
      </c>
    </row>
    <row r="448" spans="1:7">
      <c r="A448" s="3">
        <v>11</v>
      </c>
      <c r="B448" s="3">
        <v>2</v>
      </c>
      <c r="C448" s="3">
        <v>49</v>
      </c>
      <c r="D448" s="3">
        <v>16</v>
      </c>
      <c r="E448" s="3">
        <v>128.013</v>
      </c>
      <c r="F448" s="4" t="str">
        <f>HYPERLINK("http://141.218.60.56/~jnz1568/getInfo.php?workbook=11_02.xlsx&amp;sheet=A0&amp;row=448&amp;col=6&amp;number=1474000000&amp;sourceID=14","1474000000")</f>
        <v>1474000000</v>
      </c>
      <c r="G448" s="4" t="str">
        <f>HYPERLINK("http://141.218.60.56/~jnz1568/getInfo.php?workbook=11_02.xlsx&amp;sheet=A0&amp;row=448&amp;col=7&amp;number=0&amp;sourceID=14","0")</f>
        <v>0</v>
      </c>
    </row>
    <row r="449" spans="1:7">
      <c r="A449" s="3">
        <v>11</v>
      </c>
      <c r="B449" s="3">
        <v>2</v>
      </c>
      <c r="C449" s="3">
        <v>18</v>
      </c>
      <c r="D449" s="3">
        <v>17</v>
      </c>
      <c r="E449" s="3">
        <v>194.559</v>
      </c>
      <c r="F449" s="4" t="str">
        <f>HYPERLINK("http://141.218.60.56/~jnz1568/getInfo.php?workbook=11_02.xlsx&amp;sheet=A0&amp;row=449&amp;col=6&amp;number=9550000&amp;sourceID=14","9550000")</f>
        <v>9550000</v>
      </c>
      <c r="G449" s="4" t="str">
        <f>HYPERLINK("http://141.218.60.56/~jnz1568/getInfo.php?workbook=11_02.xlsx&amp;sheet=A0&amp;row=449&amp;col=7&amp;number=0&amp;sourceID=14","0")</f>
        <v>0</v>
      </c>
    </row>
    <row r="450" spans="1:7">
      <c r="A450" s="3">
        <v>11</v>
      </c>
      <c r="B450" s="3">
        <v>2</v>
      </c>
      <c r="C450" s="3">
        <v>19</v>
      </c>
      <c r="D450" s="3">
        <v>17</v>
      </c>
      <c r="E450" s="3">
        <v>190.916</v>
      </c>
      <c r="F450" s="4" t="str">
        <f>HYPERLINK("http://141.218.60.56/~jnz1568/getInfo.php?workbook=11_02.xlsx&amp;sheet=A0&amp;row=450&amp;col=6&amp;number=5.906&amp;sourceID=14","5.906")</f>
        <v>5.906</v>
      </c>
      <c r="G450" s="4" t="str">
        <f>HYPERLINK("http://141.218.60.56/~jnz1568/getInfo.php?workbook=11_02.xlsx&amp;sheet=A0&amp;row=450&amp;col=7&amp;number=0&amp;sourceID=14","0")</f>
        <v>0</v>
      </c>
    </row>
    <row r="451" spans="1:7">
      <c r="A451" s="3">
        <v>11</v>
      </c>
      <c r="B451" s="3">
        <v>2</v>
      </c>
      <c r="C451" s="3">
        <v>20</v>
      </c>
      <c r="D451" s="3">
        <v>17</v>
      </c>
      <c r="E451" s="3">
        <v>190.89</v>
      </c>
      <c r="F451" s="4" t="str">
        <f>HYPERLINK("http://141.218.60.56/~jnz1568/getInfo.php?workbook=11_02.xlsx&amp;sheet=A0&amp;row=451&amp;col=6&amp;number=6394&amp;sourceID=14","6394")</f>
        <v>6394</v>
      </c>
      <c r="G451" s="4" t="str">
        <f>HYPERLINK("http://141.218.60.56/~jnz1568/getInfo.php?workbook=11_02.xlsx&amp;sheet=A0&amp;row=451&amp;col=7&amp;number=0&amp;sourceID=14","0")</f>
        <v>0</v>
      </c>
    </row>
    <row r="452" spans="1:7">
      <c r="A452" s="3">
        <v>11</v>
      </c>
      <c r="B452" s="3">
        <v>2</v>
      </c>
      <c r="C452" s="3">
        <v>21</v>
      </c>
      <c r="D452" s="3">
        <v>17</v>
      </c>
      <c r="E452" s="3">
        <v>190.78</v>
      </c>
      <c r="F452" s="4" t="str">
        <f>HYPERLINK("http://141.218.60.56/~jnz1568/getInfo.php?workbook=11_02.xlsx&amp;sheet=A0&amp;row=452&amp;col=6&amp;number=1230&amp;sourceID=14","1230")</f>
        <v>1230</v>
      </c>
      <c r="G452" s="4" t="str">
        <f>HYPERLINK("http://141.218.60.56/~jnz1568/getInfo.php?workbook=11_02.xlsx&amp;sheet=A0&amp;row=452&amp;col=7&amp;number=0&amp;sourceID=14","0")</f>
        <v>0</v>
      </c>
    </row>
    <row r="453" spans="1:7">
      <c r="A453" s="3">
        <v>11</v>
      </c>
      <c r="B453" s="3">
        <v>2</v>
      </c>
      <c r="C453" s="3">
        <v>22</v>
      </c>
      <c r="D453" s="3">
        <v>17</v>
      </c>
      <c r="E453" s="3">
        <v>190.874</v>
      </c>
      <c r="F453" s="4" t="str">
        <f>HYPERLINK("http://141.218.60.56/~jnz1568/getInfo.php?workbook=11_02.xlsx&amp;sheet=A0&amp;row=453&amp;col=6&amp;number=23220000000&amp;sourceID=14","23220000000")</f>
        <v>23220000000</v>
      </c>
      <c r="G453" s="4" t="str">
        <f>HYPERLINK("http://141.218.60.56/~jnz1568/getInfo.php?workbook=11_02.xlsx&amp;sheet=A0&amp;row=453&amp;col=7&amp;number=0&amp;sourceID=14","0")</f>
        <v>0</v>
      </c>
    </row>
    <row r="454" spans="1:7">
      <c r="A454" s="3">
        <v>11</v>
      </c>
      <c r="B454" s="3">
        <v>2</v>
      </c>
      <c r="C454" s="3">
        <v>23</v>
      </c>
      <c r="D454" s="3">
        <v>17</v>
      </c>
      <c r="E454" s="3">
        <v>188.837</v>
      </c>
      <c r="F454" s="4" t="str">
        <f>HYPERLINK("http://141.218.60.56/~jnz1568/getInfo.php?workbook=11_02.xlsx&amp;sheet=A0&amp;row=454&amp;col=6&amp;number=31680000&amp;sourceID=14","31680000")</f>
        <v>31680000</v>
      </c>
      <c r="G454" s="4" t="str">
        <f>HYPERLINK("http://141.218.60.56/~jnz1568/getInfo.php?workbook=11_02.xlsx&amp;sheet=A0&amp;row=454&amp;col=7&amp;number=0&amp;sourceID=14","0")</f>
        <v>0</v>
      </c>
    </row>
    <row r="455" spans="1:7">
      <c r="A455" s="3">
        <v>11</v>
      </c>
      <c r="B455" s="3">
        <v>2</v>
      </c>
      <c r="C455" s="3">
        <v>24</v>
      </c>
      <c r="D455" s="3">
        <v>17</v>
      </c>
      <c r="E455" s="3">
        <v>188.837</v>
      </c>
      <c r="F455" s="4" t="str">
        <f>HYPERLINK("http://141.218.60.56/~jnz1568/getInfo.php?workbook=11_02.xlsx&amp;sheet=A0&amp;row=455&amp;col=6&amp;number=1911000000&amp;sourceID=14","1911000000")</f>
        <v>1911000000</v>
      </c>
      <c r="G455" s="4" t="str">
        <f>HYPERLINK("http://141.218.60.56/~jnz1568/getInfo.php?workbook=11_02.xlsx&amp;sheet=A0&amp;row=455&amp;col=7&amp;number=0&amp;sourceID=14","0")</f>
        <v>0</v>
      </c>
    </row>
    <row r="456" spans="1:7">
      <c r="A456" s="3">
        <v>11</v>
      </c>
      <c r="B456" s="3">
        <v>2</v>
      </c>
      <c r="C456" s="3">
        <v>25</v>
      </c>
      <c r="D456" s="3">
        <v>17</v>
      </c>
      <c r="E456" s="3">
        <v>188.837</v>
      </c>
      <c r="F456" s="4" t="str">
        <f>HYPERLINK("http://141.218.60.56/~jnz1568/getInfo.php?workbook=11_02.xlsx&amp;sheet=A0&amp;row=456&amp;col=6&amp;number=86.29&amp;sourceID=14","86.29")</f>
        <v>86.29</v>
      </c>
      <c r="G456" s="4" t="str">
        <f>HYPERLINK("http://141.218.60.56/~jnz1568/getInfo.php?workbook=11_02.xlsx&amp;sheet=A0&amp;row=456&amp;col=7&amp;number=0&amp;sourceID=14","0")</f>
        <v>0</v>
      </c>
    </row>
    <row r="457" spans="1:7">
      <c r="A457" s="3">
        <v>11</v>
      </c>
      <c r="B457" s="3">
        <v>2</v>
      </c>
      <c r="C457" s="3">
        <v>26</v>
      </c>
      <c r="D457" s="3">
        <v>17</v>
      </c>
      <c r="E457" s="3">
        <v>188.69</v>
      </c>
      <c r="F457" s="4" t="str">
        <f>HYPERLINK("http://141.218.60.56/~jnz1568/getInfo.php?workbook=11_02.xlsx&amp;sheet=A0&amp;row=457&amp;col=6&amp;number=2824&amp;sourceID=14","2824")</f>
        <v>2824</v>
      </c>
      <c r="G457" s="4" t="str">
        <f>HYPERLINK("http://141.218.60.56/~jnz1568/getInfo.php?workbook=11_02.xlsx&amp;sheet=A0&amp;row=457&amp;col=7&amp;number=0&amp;sourceID=14","0")</f>
        <v>0</v>
      </c>
    </row>
    <row r="458" spans="1:7">
      <c r="A458" s="3">
        <v>11</v>
      </c>
      <c r="B458" s="3">
        <v>2</v>
      </c>
      <c r="C458" s="3">
        <v>27</v>
      </c>
      <c r="D458" s="3">
        <v>17</v>
      </c>
      <c r="E458" s="3">
        <v>188.69</v>
      </c>
      <c r="F458" s="4" t="str">
        <f>HYPERLINK("http://141.218.60.56/~jnz1568/getInfo.php?workbook=11_02.xlsx&amp;sheet=A0&amp;row=458&amp;col=6&amp;number=2178000&amp;sourceID=14","2178000")</f>
        <v>2178000</v>
      </c>
      <c r="G458" s="4" t="str">
        <f>HYPERLINK("http://141.218.60.56/~jnz1568/getInfo.php?workbook=11_02.xlsx&amp;sheet=A0&amp;row=458&amp;col=7&amp;number=0&amp;sourceID=14","0")</f>
        <v>0</v>
      </c>
    </row>
    <row r="459" spans="1:7">
      <c r="A459" s="3">
        <v>11</v>
      </c>
      <c r="B459" s="3">
        <v>2</v>
      </c>
      <c r="C459" s="3">
        <v>29</v>
      </c>
      <c r="D459" s="3">
        <v>17</v>
      </c>
      <c r="E459" s="3">
        <v>188.688</v>
      </c>
      <c r="F459" s="4" t="str">
        <f>HYPERLINK("http://141.218.60.56/~jnz1568/getInfo.php?workbook=11_02.xlsx&amp;sheet=A0&amp;row=459&amp;col=6&amp;number=3458000&amp;sourceID=14","3458000")</f>
        <v>3458000</v>
      </c>
      <c r="G459" s="4" t="str">
        <f>HYPERLINK("http://141.218.60.56/~jnz1568/getInfo.php?workbook=11_02.xlsx&amp;sheet=A0&amp;row=459&amp;col=7&amp;number=0&amp;sourceID=14","0")</f>
        <v>0</v>
      </c>
    </row>
    <row r="460" spans="1:7">
      <c r="A460" s="3">
        <v>11</v>
      </c>
      <c r="B460" s="3">
        <v>2</v>
      </c>
      <c r="C460" s="3">
        <v>30</v>
      </c>
      <c r="D460" s="3">
        <v>17</v>
      </c>
      <c r="E460" s="3">
        <v>188.702</v>
      </c>
      <c r="F460" s="4" t="str">
        <f>HYPERLINK("http://141.218.60.56/~jnz1568/getInfo.php?workbook=11_02.xlsx&amp;sheet=A0&amp;row=460&amp;col=6&amp;number=69100000000&amp;sourceID=14","69100000000")</f>
        <v>69100000000</v>
      </c>
      <c r="G460" s="4" t="str">
        <f>HYPERLINK("http://141.218.60.56/~jnz1568/getInfo.php?workbook=11_02.xlsx&amp;sheet=A0&amp;row=460&amp;col=7&amp;number=0&amp;sourceID=14","0")</f>
        <v>0</v>
      </c>
    </row>
    <row r="461" spans="1:7">
      <c r="A461" s="3">
        <v>11</v>
      </c>
      <c r="B461" s="3">
        <v>2</v>
      </c>
      <c r="C461" s="3">
        <v>31</v>
      </c>
      <c r="D461" s="3">
        <v>17</v>
      </c>
      <c r="E461" s="3">
        <v>188.213</v>
      </c>
      <c r="F461" s="4" t="str">
        <f>HYPERLINK("http://141.218.60.56/~jnz1568/getInfo.php?workbook=11_02.xlsx&amp;sheet=A0&amp;row=461&amp;col=6&amp;number=2582000&amp;sourceID=14","2582000")</f>
        <v>2582000</v>
      </c>
      <c r="G461" s="4" t="str">
        <f>HYPERLINK("http://141.218.60.56/~jnz1568/getInfo.php?workbook=11_02.xlsx&amp;sheet=A0&amp;row=461&amp;col=7&amp;number=0&amp;sourceID=14","0")</f>
        <v>0</v>
      </c>
    </row>
    <row r="462" spans="1:7">
      <c r="A462" s="3">
        <v>11</v>
      </c>
      <c r="B462" s="3">
        <v>2</v>
      </c>
      <c r="C462" s="3">
        <v>32</v>
      </c>
      <c r="D462" s="3">
        <v>17</v>
      </c>
      <c r="E462" s="3">
        <v>130.072</v>
      </c>
      <c r="F462" s="4" t="str">
        <f>HYPERLINK("http://141.218.60.56/~jnz1568/getInfo.php?workbook=11_02.xlsx&amp;sheet=A0&amp;row=462&amp;col=6&amp;number=4291000&amp;sourceID=14","4291000")</f>
        <v>4291000</v>
      </c>
      <c r="G462" s="4" t="str">
        <f>HYPERLINK("http://141.218.60.56/~jnz1568/getInfo.php?workbook=11_02.xlsx&amp;sheet=A0&amp;row=462&amp;col=7&amp;number=0&amp;sourceID=14","0")</f>
        <v>0</v>
      </c>
    </row>
    <row r="463" spans="1:7">
      <c r="A463" s="3">
        <v>11</v>
      </c>
      <c r="B463" s="3">
        <v>2</v>
      </c>
      <c r="C463" s="3">
        <v>33</v>
      </c>
      <c r="D463" s="3">
        <v>17</v>
      </c>
      <c r="E463" s="3">
        <v>129.239</v>
      </c>
      <c r="F463" s="4" t="str">
        <f>HYPERLINK("http://141.218.60.56/~jnz1568/getInfo.php?workbook=11_02.xlsx&amp;sheet=A0&amp;row=463&amp;col=6&amp;number=4.425&amp;sourceID=14","4.425")</f>
        <v>4.425</v>
      </c>
      <c r="G463" s="4" t="str">
        <f>HYPERLINK("http://141.218.60.56/~jnz1568/getInfo.php?workbook=11_02.xlsx&amp;sheet=A0&amp;row=463&amp;col=7&amp;number=0&amp;sourceID=14","0")</f>
        <v>0</v>
      </c>
    </row>
    <row r="464" spans="1:7">
      <c r="A464" s="3">
        <v>11</v>
      </c>
      <c r="B464" s="3">
        <v>2</v>
      </c>
      <c r="C464" s="3">
        <v>34</v>
      </c>
      <c r="D464" s="3">
        <v>17</v>
      </c>
      <c r="E464" s="3">
        <v>129.233</v>
      </c>
      <c r="F464" s="4" t="str">
        <f>HYPERLINK("http://141.218.60.56/~jnz1568/getInfo.php?workbook=11_02.xlsx&amp;sheet=A0&amp;row=464&amp;col=6&amp;number=4194&amp;sourceID=14","4194")</f>
        <v>4194</v>
      </c>
      <c r="G464" s="4" t="str">
        <f>HYPERLINK("http://141.218.60.56/~jnz1568/getInfo.php?workbook=11_02.xlsx&amp;sheet=A0&amp;row=464&amp;col=7&amp;number=0&amp;sourceID=14","0")</f>
        <v>0</v>
      </c>
    </row>
    <row r="465" spans="1:7">
      <c r="A465" s="3">
        <v>11</v>
      </c>
      <c r="B465" s="3">
        <v>2</v>
      </c>
      <c r="C465" s="3">
        <v>35</v>
      </c>
      <c r="D465" s="3">
        <v>17</v>
      </c>
      <c r="E465" s="3">
        <v>129.207</v>
      </c>
      <c r="F465" s="4" t="str">
        <f>HYPERLINK("http://141.218.60.56/~jnz1568/getInfo.php?workbook=11_02.xlsx&amp;sheet=A0&amp;row=465&amp;col=6&amp;number=613.8&amp;sourceID=14","613.8")</f>
        <v>613.8</v>
      </c>
      <c r="G465" s="4" t="str">
        <f>HYPERLINK("http://141.218.60.56/~jnz1568/getInfo.php?workbook=11_02.xlsx&amp;sheet=A0&amp;row=465&amp;col=7&amp;number=0&amp;sourceID=14","0")</f>
        <v>0</v>
      </c>
    </row>
    <row r="466" spans="1:7">
      <c r="A466" s="3">
        <v>11</v>
      </c>
      <c r="B466" s="3">
        <v>2</v>
      </c>
      <c r="C466" s="3">
        <v>36</v>
      </c>
      <c r="D466" s="3">
        <v>17</v>
      </c>
      <c r="E466" s="3">
        <v>129.235</v>
      </c>
      <c r="F466" s="4" t="str">
        <f>HYPERLINK("http://141.218.60.56/~jnz1568/getInfo.php?workbook=11_02.xlsx&amp;sheet=A0&amp;row=466&amp;col=6&amp;number=14290000000&amp;sourceID=14","14290000000")</f>
        <v>14290000000</v>
      </c>
      <c r="G466" s="4" t="str">
        <f>HYPERLINK("http://141.218.60.56/~jnz1568/getInfo.php?workbook=11_02.xlsx&amp;sheet=A0&amp;row=466&amp;col=7&amp;number=0&amp;sourceID=14","0")</f>
        <v>0</v>
      </c>
    </row>
    <row r="467" spans="1:7">
      <c r="A467" s="3">
        <v>11</v>
      </c>
      <c r="B467" s="3">
        <v>2</v>
      </c>
      <c r="C467" s="3">
        <v>37</v>
      </c>
      <c r="D467" s="3">
        <v>17</v>
      </c>
      <c r="E467" s="3">
        <v>128.752</v>
      </c>
      <c r="F467" s="4" t="str">
        <f>HYPERLINK("http://141.218.60.56/~jnz1568/getInfo.php?workbook=11_02.xlsx&amp;sheet=A0&amp;row=467&amp;col=6&amp;number=14960000&amp;sourceID=14","14960000")</f>
        <v>14960000</v>
      </c>
      <c r="G467" s="4" t="str">
        <f>HYPERLINK("http://141.218.60.56/~jnz1568/getInfo.php?workbook=11_02.xlsx&amp;sheet=A0&amp;row=467&amp;col=7&amp;number=0&amp;sourceID=14","0")</f>
        <v>0</v>
      </c>
    </row>
    <row r="468" spans="1:7">
      <c r="A468" s="3">
        <v>11</v>
      </c>
      <c r="B468" s="3">
        <v>2</v>
      </c>
      <c r="C468" s="3">
        <v>38</v>
      </c>
      <c r="D468" s="3">
        <v>17</v>
      </c>
      <c r="E468" s="3">
        <v>128.752</v>
      </c>
      <c r="F468" s="4" t="str">
        <f>HYPERLINK("http://141.218.60.56/~jnz1568/getInfo.php?workbook=11_02.xlsx&amp;sheet=A0&amp;row=468&amp;col=6&amp;number=790200000&amp;sourceID=14","790200000")</f>
        <v>790200000</v>
      </c>
      <c r="G468" s="4" t="str">
        <f>HYPERLINK("http://141.218.60.56/~jnz1568/getInfo.php?workbook=11_02.xlsx&amp;sheet=A0&amp;row=468&amp;col=7&amp;number=0&amp;sourceID=14","0")</f>
        <v>0</v>
      </c>
    </row>
    <row r="469" spans="1:7">
      <c r="A469" s="3">
        <v>11</v>
      </c>
      <c r="B469" s="3">
        <v>2</v>
      </c>
      <c r="C469" s="3">
        <v>39</v>
      </c>
      <c r="D469" s="3">
        <v>17</v>
      </c>
      <c r="E469" s="3">
        <v>128.752</v>
      </c>
      <c r="F469" s="4" t="str">
        <f>HYPERLINK("http://141.218.60.56/~jnz1568/getInfo.php?workbook=11_02.xlsx&amp;sheet=A0&amp;row=469&amp;col=6&amp;number=91.56&amp;sourceID=14","91.56")</f>
        <v>91.56</v>
      </c>
      <c r="G469" s="4" t="str">
        <f>HYPERLINK("http://141.218.60.56/~jnz1568/getInfo.php?workbook=11_02.xlsx&amp;sheet=A0&amp;row=469&amp;col=7&amp;number=0&amp;sourceID=14","0")</f>
        <v>0</v>
      </c>
    </row>
    <row r="470" spans="1:7">
      <c r="A470" s="3">
        <v>11</v>
      </c>
      <c r="B470" s="3">
        <v>2</v>
      </c>
      <c r="C470" s="3">
        <v>40</v>
      </c>
      <c r="D470" s="3">
        <v>17</v>
      </c>
      <c r="E470" s="3">
        <v>128.716</v>
      </c>
      <c r="F470" s="4" t="str">
        <f>HYPERLINK("http://141.218.60.56/~jnz1568/getInfo.php?workbook=11_02.xlsx&amp;sheet=A0&amp;row=470&amp;col=6&amp;number=6.356&amp;sourceID=14","6.356")</f>
        <v>6.356</v>
      </c>
      <c r="G470" s="4" t="str">
        <f>HYPERLINK("http://141.218.60.56/~jnz1568/getInfo.php?workbook=11_02.xlsx&amp;sheet=A0&amp;row=470&amp;col=7&amp;number=0&amp;sourceID=14","0")</f>
        <v>0</v>
      </c>
    </row>
    <row r="471" spans="1:7">
      <c r="A471" s="3">
        <v>11</v>
      </c>
      <c r="B471" s="3">
        <v>2</v>
      </c>
      <c r="C471" s="3">
        <v>41</v>
      </c>
      <c r="D471" s="3">
        <v>17</v>
      </c>
      <c r="E471" s="3">
        <v>128.716</v>
      </c>
      <c r="F471" s="4" t="str">
        <f>HYPERLINK("http://141.218.60.56/~jnz1568/getInfo.php?workbook=11_02.xlsx&amp;sheet=A0&amp;row=471&amp;col=6&amp;number=14350&amp;sourceID=14","14350")</f>
        <v>14350</v>
      </c>
      <c r="G471" s="4" t="str">
        <f>HYPERLINK("http://141.218.60.56/~jnz1568/getInfo.php?workbook=11_02.xlsx&amp;sheet=A0&amp;row=471&amp;col=7&amp;number=0&amp;sourceID=14","0")</f>
        <v>0</v>
      </c>
    </row>
    <row r="472" spans="1:7">
      <c r="A472" s="3">
        <v>11</v>
      </c>
      <c r="B472" s="3">
        <v>2</v>
      </c>
      <c r="C472" s="3">
        <v>43</v>
      </c>
      <c r="D472" s="3">
        <v>17</v>
      </c>
      <c r="E472" s="3">
        <v>128.715</v>
      </c>
      <c r="F472" s="4" t="str">
        <f>HYPERLINK("http://141.218.60.56/~jnz1568/getInfo.php?workbook=11_02.xlsx&amp;sheet=A0&amp;row=472&amp;col=6&amp;number=23610&amp;sourceID=14","23610")</f>
        <v>23610</v>
      </c>
      <c r="G472" s="4" t="str">
        <f>HYPERLINK("http://141.218.60.56/~jnz1568/getInfo.php?workbook=11_02.xlsx&amp;sheet=A0&amp;row=472&amp;col=7&amp;number=0&amp;sourceID=14","0")</f>
        <v>0</v>
      </c>
    </row>
    <row r="473" spans="1:7">
      <c r="A473" s="3">
        <v>11</v>
      </c>
      <c r="B473" s="3">
        <v>2</v>
      </c>
      <c r="C473" s="3">
        <v>46</v>
      </c>
      <c r="D473" s="3">
        <v>17</v>
      </c>
      <c r="E473" s="3">
        <v>128.716</v>
      </c>
      <c r="F473" s="4" t="str">
        <f>HYPERLINK("http://141.218.60.56/~jnz1568/getInfo.php?workbook=11_02.xlsx&amp;sheet=A0&amp;row=473&amp;col=6&amp;number=34370000000&amp;sourceID=14","34370000000")</f>
        <v>34370000000</v>
      </c>
      <c r="G473" s="4" t="str">
        <f>HYPERLINK("http://141.218.60.56/~jnz1568/getInfo.php?workbook=11_02.xlsx&amp;sheet=A0&amp;row=473&amp;col=7&amp;number=0&amp;sourceID=14","0")</f>
        <v>0</v>
      </c>
    </row>
    <row r="474" spans="1:7">
      <c r="A474" s="3">
        <v>11</v>
      </c>
      <c r="B474" s="3">
        <v>2</v>
      </c>
      <c r="C474" s="3">
        <v>49</v>
      </c>
      <c r="D474" s="3">
        <v>17</v>
      </c>
      <c r="E474" s="3">
        <v>128.607</v>
      </c>
      <c r="F474" s="4" t="str">
        <f>HYPERLINK("http://141.218.60.56/~jnz1568/getInfo.php?workbook=11_02.xlsx&amp;sheet=A0&amp;row=474&amp;col=6&amp;number=2024000&amp;sourceID=14","2024000")</f>
        <v>2024000</v>
      </c>
      <c r="G474" s="4" t="str">
        <f>HYPERLINK("http://141.218.60.56/~jnz1568/getInfo.php?workbook=11_02.xlsx&amp;sheet=A0&amp;row=474&amp;col=7&amp;number=0&amp;sourceID=14","0")</f>
        <v>0</v>
      </c>
    </row>
    <row r="475" spans="1:7">
      <c r="A475" s="3">
        <v>11</v>
      </c>
      <c r="B475" s="3">
        <v>2</v>
      </c>
      <c r="C475" s="3">
        <v>19</v>
      </c>
      <c r="D475" s="3">
        <v>18</v>
      </c>
      <c r="E475" s="3">
        <v>10195.777</v>
      </c>
      <c r="F475" s="4" t="str">
        <f>HYPERLINK("http://141.218.60.56/~jnz1568/getInfo.php?workbook=11_02.xlsx&amp;sheet=A0&amp;row=475&amp;col=6&amp;number=3421000&amp;sourceID=14","3421000")</f>
        <v>3421000</v>
      </c>
      <c r="G475" s="4" t="str">
        <f>HYPERLINK("http://141.218.60.56/~jnz1568/getInfo.php?workbook=11_02.xlsx&amp;sheet=A0&amp;row=475&amp;col=7&amp;number=0&amp;sourceID=14","0")</f>
        <v>0</v>
      </c>
    </row>
    <row r="476" spans="1:7">
      <c r="A476" s="3">
        <v>11</v>
      </c>
      <c r="B476" s="3">
        <v>2</v>
      </c>
      <c r="C476" s="3">
        <v>20</v>
      </c>
      <c r="D476" s="3">
        <v>18</v>
      </c>
      <c r="E476" s="3">
        <v>10122.501</v>
      </c>
      <c r="F476" s="4" t="str">
        <f>HYPERLINK("http://141.218.60.56/~jnz1568/getInfo.php?workbook=11_02.xlsx&amp;sheet=A0&amp;row=476&amp;col=6&amp;number=3492000&amp;sourceID=14","3492000")</f>
        <v>3492000</v>
      </c>
      <c r="G476" s="4" t="str">
        <f>HYPERLINK("http://141.218.60.56/~jnz1568/getInfo.php?workbook=11_02.xlsx&amp;sheet=A0&amp;row=476&amp;col=7&amp;number=0&amp;sourceID=14","0")</f>
        <v>0</v>
      </c>
    </row>
    <row r="477" spans="1:7">
      <c r="A477" s="3">
        <v>11</v>
      </c>
      <c r="B477" s="3">
        <v>2</v>
      </c>
      <c r="C477" s="3">
        <v>21</v>
      </c>
      <c r="D477" s="3">
        <v>18</v>
      </c>
      <c r="E477" s="3">
        <v>9824.166</v>
      </c>
      <c r="F477" s="4" t="str">
        <f>HYPERLINK("http://141.218.60.56/~jnz1568/getInfo.php?workbook=11_02.xlsx&amp;sheet=A0&amp;row=477&amp;col=6&amp;number=3826000&amp;sourceID=14","3826000")</f>
        <v>3826000</v>
      </c>
      <c r="G477" s="4" t="str">
        <f>HYPERLINK("http://141.218.60.56/~jnz1568/getInfo.php?workbook=11_02.xlsx&amp;sheet=A0&amp;row=477&amp;col=7&amp;number=0&amp;sourceID=14","0")</f>
        <v>0</v>
      </c>
    </row>
    <row r="478" spans="1:7">
      <c r="A478" s="3">
        <v>11</v>
      </c>
      <c r="B478" s="3">
        <v>2</v>
      </c>
      <c r="C478" s="3">
        <v>31</v>
      </c>
      <c r="D478" s="3">
        <v>18</v>
      </c>
      <c r="E478" s="3">
        <v>5771.017</v>
      </c>
      <c r="F478" s="4" t="str">
        <f>HYPERLINK("http://141.218.60.56/~jnz1568/getInfo.php?workbook=11_02.xlsx&amp;sheet=A0&amp;row=478&amp;col=6&amp;number=22460&amp;sourceID=14","22460")</f>
        <v>22460</v>
      </c>
      <c r="G478" s="4" t="str">
        <f>HYPERLINK("http://141.218.60.56/~jnz1568/getInfo.php?workbook=11_02.xlsx&amp;sheet=A0&amp;row=478&amp;col=7&amp;number=0&amp;sourceID=14","0")</f>
        <v>0</v>
      </c>
    </row>
    <row r="479" spans="1:7">
      <c r="A479" s="3">
        <v>11</v>
      </c>
      <c r="B479" s="3">
        <v>2</v>
      </c>
      <c r="C479" s="3">
        <v>33</v>
      </c>
      <c r="D479" s="3">
        <v>18</v>
      </c>
      <c r="E479" s="3">
        <v>384.946</v>
      </c>
      <c r="F479" s="4" t="str">
        <f>HYPERLINK("http://141.218.60.56/~jnz1568/getInfo.php?workbook=11_02.xlsx&amp;sheet=A0&amp;row=479&amp;col=6&amp;number=6627000000&amp;sourceID=14","6627000000")</f>
        <v>6627000000</v>
      </c>
      <c r="G479" s="4" t="str">
        <f>HYPERLINK("http://141.218.60.56/~jnz1568/getInfo.php?workbook=11_02.xlsx&amp;sheet=A0&amp;row=479&amp;col=7&amp;number=0&amp;sourceID=14","0")</f>
        <v>0</v>
      </c>
    </row>
    <row r="480" spans="1:7">
      <c r="A480" s="3">
        <v>11</v>
      </c>
      <c r="B480" s="3">
        <v>2</v>
      </c>
      <c r="C480" s="3">
        <v>34</v>
      </c>
      <c r="D480" s="3">
        <v>18</v>
      </c>
      <c r="E480" s="3">
        <v>384.891</v>
      </c>
      <c r="F480" s="4" t="str">
        <f>HYPERLINK("http://141.218.60.56/~jnz1568/getInfo.php?workbook=11_02.xlsx&amp;sheet=A0&amp;row=480&amp;col=6&amp;number=6607000000&amp;sourceID=14","6607000000")</f>
        <v>6607000000</v>
      </c>
      <c r="G480" s="4" t="str">
        <f>HYPERLINK("http://141.218.60.56/~jnz1568/getInfo.php?workbook=11_02.xlsx&amp;sheet=A0&amp;row=480&amp;col=7&amp;number=0&amp;sourceID=14","0")</f>
        <v>0</v>
      </c>
    </row>
    <row r="481" spans="1:7">
      <c r="A481" s="3">
        <v>11</v>
      </c>
      <c r="B481" s="3">
        <v>2</v>
      </c>
      <c r="C481" s="3">
        <v>35</v>
      </c>
      <c r="D481" s="3">
        <v>18</v>
      </c>
      <c r="E481" s="3">
        <v>384.665</v>
      </c>
      <c r="F481" s="4" t="str">
        <f>HYPERLINK("http://141.218.60.56/~jnz1568/getInfo.php?workbook=11_02.xlsx&amp;sheet=A0&amp;row=481&amp;col=6&amp;number=6582000000&amp;sourceID=14","6582000000")</f>
        <v>6582000000</v>
      </c>
      <c r="G481" s="4" t="str">
        <f>HYPERLINK("http://141.218.60.56/~jnz1568/getInfo.php?workbook=11_02.xlsx&amp;sheet=A0&amp;row=481&amp;col=7&amp;number=0&amp;sourceID=14","0")</f>
        <v>0</v>
      </c>
    </row>
    <row r="482" spans="1:7">
      <c r="A482" s="3">
        <v>11</v>
      </c>
      <c r="B482" s="3">
        <v>2</v>
      </c>
      <c r="C482" s="3">
        <v>37</v>
      </c>
      <c r="D482" s="3">
        <v>18</v>
      </c>
      <c r="E482" s="3">
        <v>380.66</v>
      </c>
      <c r="F482" s="4" t="str">
        <f>HYPERLINK("http://141.218.60.56/~jnz1568/getInfo.php?workbook=11_02.xlsx&amp;sheet=A0&amp;row=482&amp;col=6&amp;number=594800&amp;sourceID=14","594800")</f>
        <v>594800</v>
      </c>
      <c r="G482" s="4" t="str">
        <f>HYPERLINK("http://141.218.60.56/~jnz1568/getInfo.php?workbook=11_02.xlsx&amp;sheet=A0&amp;row=482&amp;col=7&amp;number=0&amp;sourceID=14","0")</f>
        <v>0</v>
      </c>
    </row>
    <row r="483" spans="1:7">
      <c r="A483" s="3">
        <v>11</v>
      </c>
      <c r="B483" s="3">
        <v>2</v>
      </c>
      <c r="C483" s="3">
        <v>38</v>
      </c>
      <c r="D483" s="3">
        <v>18</v>
      </c>
      <c r="E483" s="3">
        <v>380.66</v>
      </c>
      <c r="F483" s="4" t="str">
        <f>HYPERLINK("http://141.218.60.56/~jnz1568/getInfo.php?workbook=11_02.xlsx&amp;sheet=A0&amp;row=483&amp;col=6&amp;number=575800&amp;sourceID=14","575800")</f>
        <v>575800</v>
      </c>
      <c r="G483" s="4" t="str">
        <f>HYPERLINK("http://141.218.60.56/~jnz1568/getInfo.php?workbook=11_02.xlsx&amp;sheet=A0&amp;row=483&amp;col=7&amp;number=0&amp;sourceID=14","0")</f>
        <v>0</v>
      </c>
    </row>
    <row r="484" spans="1:7">
      <c r="A484" s="3">
        <v>11</v>
      </c>
      <c r="B484" s="3">
        <v>2</v>
      </c>
      <c r="C484" s="3">
        <v>39</v>
      </c>
      <c r="D484" s="3">
        <v>18</v>
      </c>
      <c r="E484" s="3">
        <v>380.66</v>
      </c>
      <c r="F484" s="4" t="str">
        <f>HYPERLINK("http://141.218.60.56/~jnz1568/getInfo.php?workbook=11_02.xlsx&amp;sheet=A0&amp;row=484&amp;col=6&amp;number=594700&amp;sourceID=14","594700")</f>
        <v>594700</v>
      </c>
      <c r="G484" s="4" t="str">
        <f>HYPERLINK("http://141.218.60.56/~jnz1568/getInfo.php?workbook=11_02.xlsx&amp;sheet=A0&amp;row=484&amp;col=7&amp;number=0&amp;sourceID=14","0")</f>
        <v>0</v>
      </c>
    </row>
    <row r="485" spans="1:7">
      <c r="A485" s="3">
        <v>11</v>
      </c>
      <c r="B485" s="3">
        <v>2</v>
      </c>
      <c r="C485" s="3">
        <v>40</v>
      </c>
      <c r="D485" s="3">
        <v>18</v>
      </c>
      <c r="E485" s="3">
        <v>380.342</v>
      </c>
      <c r="F485" s="4" t="str">
        <f>HYPERLINK("http://141.218.60.56/~jnz1568/getInfo.php?workbook=11_02.xlsx&amp;sheet=A0&amp;row=485&amp;col=6&amp;number=1699&amp;sourceID=14","1699")</f>
        <v>1699</v>
      </c>
      <c r="G485" s="4" t="str">
        <f>HYPERLINK("http://141.218.60.56/~jnz1568/getInfo.php?workbook=11_02.xlsx&amp;sheet=A0&amp;row=485&amp;col=7&amp;number=0&amp;sourceID=14","0")</f>
        <v>0</v>
      </c>
    </row>
    <row r="486" spans="1:7">
      <c r="A486" s="3">
        <v>11</v>
      </c>
      <c r="B486" s="3">
        <v>2</v>
      </c>
      <c r="C486" s="3">
        <v>46</v>
      </c>
      <c r="D486" s="3">
        <v>18</v>
      </c>
      <c r="E486" s="3">
        <v>380.346</v>
      </c>
      <c r="F486" s="4" t="str">
        <f>HYPERLINK("http://141.218.60.56/~jnz1568/getInfo.php?workbook=11_02.xlsx&amp;sheet=A0&amp;row=486&amp;col=6&amp;number=18700&amp;sourceID=14","18700")</f>
        <v>18700</v>
      </c>
      <c r="G486" s="4" t="str">
        <f>HYPERLINK("http://141.218.60.56/~jnz1568/getInfo.php?workbook=11_02.xlsx&amp;sheet=A0&amp;row=486&amp;col=7&amp;number=0&amp;sourceID=14","0")</f>
        <v>0</v>
      </c>
    </row>
    <row r="487" spans="1:7">
      <c r="A487" s="3">
        <v>11</v>
      </c>
      <c r="B487" s="3">
        <v>2</v>
      </c>
      <c r="C487" s="3">
        <v>49</v>
      </c>
      <c r="D487" s="3">
        <v>18</v>
      </c>
      <c r="E487" s="3">
        <v>379.392</v>
      </c>
      <c r="F487" s="4" t="str">
        <f>HYPERLINK("http://141.218.60.56/~jnz1568/getInfo.php?workbook=11_02.xlsx&amp;sheet=A0&amp;row=487&amp;col=6&amp;number=6392000&amp;sourceID=14","6392000")</f>
        <v>6392000</v>
      </c>
      <c r="G487" s="4" t="str">
        <f>HYPERLINK("http://141.218.60.56/~jnz1568/getInfo.php?workbook=11_02.xlsx&amp;sheet=A0&amp;row=487&amp;col=7&amp;number=0&amp;sourceID=14","0")</f>
        <v>0</v>
      </c>
    </row>
    <row r="488" spans="1:7">
      <c r="A488" s="3">
        <v>11</v>
      </c>
      <c r="B488" s="3">
        <v>2</v>
      </c>
      <c r="C488" s="3">
        <v>23</v>
      </c>
      <c r="D488" s="3">
        <v>19</v>
      </c>
      <c r="E488" s="3">
        <v>17343.078</v>
      </c>
      <c r="F488" s="4" t="str">
        <f>HYPERLINK("http://141.218.60.56/~jnz1568/getInfo.php?workbook=11_02.xlsx&amp;sheet=A0&amp;row=488&amp;col=6&amp;number=340400&amp;sourceID=14","340400")</f>
        <v>340400</v>
      </c>
      <c r="G488" s="4" t="str">
        <f>HYPERLINK("http://141.218.60.56/~jnz1568/getInfo.php?workbook=11_02.xlsx&amp;sheet=A0&amp;row=488&amp;col=7&amp;number=0&amp;sourceID=14","0")</f>
        <v>0</v>
      </c>
    </row>
    <row r="489" spans="1:7">
      <c r="A489" s="3">
        <v>11</v>
      </c>
      <c r="B489" s="3">
        <v>2</v>
      </c>
      <c r="C489" s="3">
        <v>32</v>
      </c>
      <c r="D489" s="3">
        <v>19</v>
      </c>
      <c r="E489" s="3">
        <v>408.141</v>
      </c>
      <c r="F489" s="4" t="str">
        <f>HYPERLINK("http://141.218.60.56/~jnz1568/getInfo.php?workbook=11_02.xlsx&amp;sheet=A0&amp;row=489&amp;col=6&amp;number=876500000&amp;sourceID=14","876500000")</f>
        <v>876500000</v>
      </c>
      <c r="G489" s="4" t="str">
        <f>HYPERLINK("http://141.218.60.56/~jnz1568/getInfo.php?workbook=11_02.xlsx&amp;sheet=A0&amp;row=489&amp;col=7&amp;number=0&amp;sourceID=14","0")</f>
        <v>0</v>
      </c>
    </row>
    <row r="490" spans="1:7">
      <c r="A490" s="3">
        <v>11</v>
      </c>
      <c r="B490" s="3">
        <v>2</v>
      </c>
      <c r="C490" s="3">
        <v>35</v>
      </c>
      <c r="D490" s="3">
        <v>19</v>
      </c>
      <c r="E490" s="3">
        <v>399.747</v>
      </c>
      <c r="F490" s="4" t="str">
        <f>HYPERLINK("http://141.218.60.56/~jnz1568/getInfo.php?workbook=11_02.xlsx&amp;sheet=A0&amp;row=490&amp;col=6&amp;number=91440&amp;sourceID=14","91440")</f>
        <v>91440</v>
      </c>
      <c r="G490" s="4" t="str">
        <f>HYPERLINK("http://141.218.60.56/~jnz1568/getInfo.php?workbook=11_02.xlsx&amp;sheet=A0&amp;row=490&amp;col=7&amp;number=0&amp;sourceID=14","0")</f>
        <v>0</v>
      </c>
    </row>
    <row r="491" spans="1:7">
      <c r="A491" s="3">
        <v>11</v>
      </c>
      <c r="B491" s="3">
        <v>2</v>
      </c>
      <c r="C491" s="3">
        <v>37</v>
      </c>
      <c r="D491" s="3">
        <v>19</v>
      </c>
      <c r="E491" s="3">
        <v>395.423</v>
      </c>
      <c r="F491" s="4" t="str">
        <f>HYPERLINK("http://141.218.60.56/~jnz1568/getInfo.php?workbook=11_02.xlsx&amp;sheet=A0&amp;row=491&amp;col=6&amp;number=7980000000&amp;sourceID=14","7980000000")</f>
        <v>7980000000</v>
      </c>
      <c r="G491" s="4" t="str">
        <f>HYPERLINK("http://141.218.60.56/~jnz1568/getInfo.php?workbook=11_02.xlsx&amp;sheet=A0&amp;row=491&amp;col=7&amp;number=0&amp;sourceID=14","0")</f>
        <v>0</v>
      </c>
    </row>
    <row r="492" spans="1:7">
      <c r="A492" s="3">
        <v>11</v>
      </c>
      <c r="B492" s="3">
        <v>2</v>
      </c>
      <c r="C492" s="3">
        <v>40</v>
      </c>
      <c r="D492" s="3">
        <v>19</v>
      </c>
      <c r="E492" s="3">
        <v>395.08</v>
      </c>
      <c r="F492" s="4" t="str">
        <f>HYPERLINK("http://141.218.60.56/~jnz1568/getInfo.php?workbook=11_02.xlsx&amp;sheet=A0&amp;row=492&amp;col=6&amp;number=465000&amp;sourceID=14","465000")</f>
        <v>465000</v>
      </c>
      <c r="G492" s="4" t="str">
        <f>HYPERLINK("http://141.218.60.56/~jnz1568/getInfo.php?workbook=11_02.xlsx&amp;sheet=A0&amp;row=492&amp;col=7&amp;number=0&amp;sourceID=14","0")</f>
        <v>0</v>
      </c>
    </row>
    <row r="493" spans="1:7">
      <c r="A493" s="3">
        <v>11</v>
      </c>
      <c r="B493" s="3">
        <v>2</v>
      </c>
      <c r="C493" s="3">
        <v>46</v>
      </c>
      <c r="D493" s="3">
        <v>19</v>
      </c>
      <c r="E493" s="3">
        <v>395.084</v>
      </c>
      <c r="F493" s="4" t="str">
        <f>HYPERLINK("http://141.218.60.56/~jnz1568/getInfo.php?workbook=11_02.xlsx&amp;sheet=A0&amp;row=493&amp;col=6&amp;number=1.506&amp;sourceID=14","1.506")</f>
        <v>1.506</v>
      </c>
      <c r="G493" s="4" t="str">
        <f>HYPERLINK("http://141.218.60.56/~jnz1568/getInfo.php?workbook=11_02.xlsx&amp;sheet=A0&amp;row=493&amp;col=7&amp;number=0&amp;sourceID=14","0")</f>
        <v>0</v>
      </c>
    </row>
    <row r="494" spans="1:7">
      <c r="A494" s="3">
        <v>11</v>
      </c>
      <c r="B494" s="3">
        <v>2</v>
      </c>
      <c r="C494" s="3">
        <v>22</v>
      </c>
      <c r="D494" s="3">
        <v>20</v>
      </c>
      <c r="E494" s="3">
        <v>2380956.75</v>
      </c>
      <c r="F494" s="4" t="str">
        <f>HYPERLINK("http://141.218.60.56/~jnz1568/getInfo.php?workbook=11_02.xlsx&amp;sheet=A0&amp;row=494&amp;col=6&amp;number=6.545&amp;sourceID=14","6.545")</f>
        <v>6.545</v>
      </c>
      <c r="G494" s="4" t="str">
        <f>HYPERLINK("http://141.218.60.56/~jnz1568/getInfo.php?workbook=11_02.xlsx&amp;sheet=A0&amp;row=494&amp;col=7&amp;number=0&amp;sourceID=14","0")</f>
        <v>0</v>
      </c>
    </row>
    <row r="495" spans="1:7">
      <c r="A495" s="3">
        <v>11</v>
      </c>
      <c r="B495" s="3">
        <v>2</v>
      </c>
      <c r="C495" s="3">
        <v>23</v>
      </c>
      <c r="D495" s="3">
        <v>20</v>
      </c>
      <c r="E495" s="3">
        <v>17559.295</v>
      </c>
      <c r="F495" s="4" t="str">
        <f>HYPERLINK("http://141.218.60.56/~jnz1568/getInfo.php?workbook=11_02.xlsx&amp;sheet=A0&amp;row=495&amp;col=6&amp;number=245500&amp;sourceID=14","245500")</f>
        <v>245500</v>
      </c>
      <c r="G495" s="4" t="str">
        <f>HYPERLINK("http://141.218.60.56/~jnz1568/getInfo.php?workbook=11_02.xlsx&amp;sheet=A0&amp;row=495&amp;col=7&amp;number=0&amp;sourceID=14","0")</f>
        <v>0</v>
      </c>
    </row>
    <row r="496" spans="1:7">
      <c r="A496" s="3">
        <v>11</v>
      </c>
      <c r="B496" s="3">
        <v>2</v>
      </c>
      <c r="C496" s="3">
        <v>24</v>
      </c>
      <c r="D496" s="3">
        <v>20</v>
      </c>
      <c r="E496" s="3">
        <v>17559.295</v>
      </c>
      <c r="F496" s="4" t="str">
        <f>HYPERLINK("http://141.218.60.56/~jnz1568/getInfo.php?workbook=11_02.xlsx&amp;sheet=A0&amp;row=496&amp;col=6&amp;number=436200&amp;sourceID=14","436200")</f>
        <v>436200</v>
      </c>
      <c r="G496" s="4" t="str">
        <f>HYPERLINK("http://141.218.60.56/~jnz1568/getInfo.php?workbook=11_02.xlsx&amp;sheet=A0&amp;row=496&amp;col=7&amp;number=0&amp;sourceID=14","0")</f>
        <v>0</v>
      </c>
    </row>
    <row r="497" spans="1:7">
      <c r="A497" s="3">
        <v>11</v>
      </c>
      <c r="B497" s="3">
        <v>2</v>
      </c>
      <c r="C497" s="3">
        <v>30</v>
      </c>
      <c r="D497" s="3">
        <v>20</v>
      </c>
      <c r="E497" s="3">
        <v>16466.357</v>
      </c>
      <c r="F497" s="4" t="str">
        <f>HYPERLINK("http://141.218.60.56/~jnz1568/getInfo.php?workbook=11_02.xlsx&amp;sheet=A0&amp;row=497&amp;col=6&amp;number=13580&amp;sourceID=14","13580")</f>
        <v>13580</v>
      </c>
      <c r="G497" s="4" t="str">
        <f>HYPERLINK("http://141.218.60.56/~jnz1568/getInfo.php?workbook=11_02.xlsx&amp;sheet=A0&amp;row=497&amp;col=7&amp;number=0&amp;sourceID=14","0")</f>
        <v>0</v>
      </c>
    </row>
    <row r="498" spans="1:7">
      <c r="A498" s="3">
        <v>11</v>
      </c>
      <c r="B498" s="3">
        <v>2</v>
      </c>
      <c r="C498" s="3">
        <v>32</v>
      </c>
      <c r="D498" s="3">
        <v>20</v>
      </c>
      <c r="E498" s="3">
        <v>408.259</v>
      </c>
      <c r="F498" s="4" t="str">
        <f>HYPERLINK("http://141.218.60.56/~jnz1568/getInfo.php?workbook=11_02.xlsx&amp;sheet=A0&amp;row=498&amp;col=6&amp;number=2619000000&amp;sourceID=14","2619000000")</f>
        <v>2619000000</v>
      </c>
      <c r="G498" s="4" t="str">
        <f>HYPERLINK("http://141.218.60.56/~jnz1568/getInfo.php?workbook=11_02.xlsx&amp;sheet=A0&amp;row=498&amp;col=7&amp;number=0&amp;sourceID=14","0")</f>
        <v>0</v>
      </c>
    </row>
    <row r="499" spans="1:7">
      <c r="A499" s="3">
        <v>11</v>
      </c>
      <c r="B499" s="3">
        <v>2</v>
      </c>
      <c r="C499" s="3">
        <v>34</v>
      </c>
      <c r="D499" s="3">
        <v>20</v>
      </c>
      <c r="E499" s="3">
        <v>400.105</v>
      </c>
      <c r="F499" s="4" t="str">
        <f>HYPERLINK("http://141.218.60.56/~jnz1568/getInfo.php?workbook=11_02.xlsx&amp;sheet=A0&amp;row=499&amp;col=6&amp;number=113500&amp;sourceID=14","113500")</f>
        <v>113500</v>
      </c>
      <c r="G499" s="4" t="str">
        <f>HYPERLINK("http://141.218.60.56/~jnz1568/getInfo.php?workbook=11_02.xlsx&amp;sheet=A0&amp;row=499&amp;col=7&amp;number=0&amp;sourceID=14","0")</f>
        <v>0</v>
      </c>
    </row>
    <row r="500" spans="1:7">
      <c r="A500" s="3">
        <v>11</v>
      </c>
      <c r="B500" s="3">
        <v>2</v>
      </c>
      <c r="C500" s="3">
        <v>35</v>
      </c>
      <c r="D500" s="3">
        <v>20</v>
      </c>
      <c r="E500" s="3">
        <v>399.86</v>
      </c>
      <c r="F500" s="4" t="str">
        <f>HYPERLINK("http://141.218.60.56/~jnz1568/getInfo.php?workbook=11_02.xlsx&amp;sheet=A0&amp;row=500&amp;col=6&amp;number=205200&amp;sourceID=14","205200")</f>
        <v>205200</v>
      </c>
      <c r="G500" s="4" t="str">
        <f>HYPERLINK("http://141.218.60.56/~jnz1568/getInfo.php?workbook=11_02.xlsx&amp;sheet=A0&amp;row=500&amp;col=7&amp;number=0&amp;sourceID=14","0")</f>
        <v>0</v>
      </c>
    </row>
    <row r="501" spans="1:7">
      <c r="A501" s="3">
        <v>11</v>
      </c>
      <c r="B501" s="3">
        <v>2</v>
      </c>
      <c r="C501" s="3">
        <v>36</v>
      </c>
      <c r="D501" s="3">
        <v>20</v>
      </c>
      <c r="E501" s="3">
        <v>400.122</v>
      </c>
      <c r="F501" s="4" t="str">
        <f>HYPERLINK("http://141.218.60.56/~jnz1568/getInfo.php?workbook=11_02.xlsx&amp;sheet=A0&amp;row=501&amp;col=6&amp;number=7919000&amp;sourceID=14","7919000")</f>
        <v>7919000</v>
      </c>
      <c r="G501" s="4" t="str">
        <f>HYPERLINK("http://141.218.60.56/~jnz1568/getInfo.php?workbook=11_02.xlsx&amp;sheet=A0&amp;row=501&amp;col=7&amp;number=0&amp;sourceID=14","0")</f>
        <v>0</v>
      </c>
    </row>
    <row r="502" spans="1:7">
      <c r="A502" s="3">
        <v>11</v>
      </c>
      <c r="B502" s="3">
        <v>2</v>
      </c>
      <c r="C502" s="3">
        <v>37</v>
      </c>
      <c r="D502" s="3">
        <v>20</v>
      </c>
      <c r="E502" s="3">
        <v>395.534</v>
      </c>
      <c r="F502" s="4" t="str">
        <f>HYPERLINK("http://141.218.60.56/~jnz1568/getInfo.php?workbook=11_02.xlsx&amp;sheet=A0&amp;row=502&amp;col=6&amp;number=5984000000&amp;sourceID=14","5984000000")</f>
        <v>5984000000</v>
      </c>
      <c r="G502" s="4" t="str">
        <f>HYPERLINK("http://141.218.60.56/~jnz1568/getInfo.php?workbook=11_02.xlsx&amp;sheet=A0&amp;row=502&amp;col=7&amp;number=0&amp;sourceID=14","0")</f>
        <v>0</v>
      </c>
    </row>
    <row r="503" spans="1:7">
      <c r="A503" s="3">
        <v>11</v>
      </c>
      <c r="B503" s="3">
        <v>2</v>
      </c>
      <c r="C503" s="3">
        <v>38</v>
      </c>
      <c r="D503" s="3">
        <v>20</v>
      </c>
      <c r="E503" s="3">
        <v>395.534</v>
      </c>
      <c r="F503" s="4" t="str">
        <f>HYPERLINK("http://141.218.60.56/~jnz1568/getInfo.php?workbook=11_02.xlsx&amp;sheet=A0&amp;row=503&amp;col=6&amp;number=10570000000&amp;sourceID=14","10570000000")</f>
        <v>10570000000</v>
      </c>
      <c r="G503" s="4" t="str">
        <f>HYPERLINK("http://141.218.60.56/~jnz1568/getInfo.php?workbook=11_02.xlsx&amp;sheet=A0&amp;row=503&amp;col=7&amp;number=0&amp;sourceID=14","0")</f>
        <v>0</v>
      </c>
    </row>
    <row r="504" spans="1:7">
      <c r="A504" s="3">
        <v>11</v>
      </c>
      <c r="B504" s="3">
        <v>2</v>
      </c>
      <c r="C504" s="3">
        <v>40</v>
      </c>
      <c r="D504" s="3">
        <v>20</v>
      </c>
      <c r="E504" s="3">
        <v>395.19</v>
      </c>
      <c r="F504" s="4" t="str">
        <f>HYPERLINK("http://141.218.60.56/~jnz1568/getInfo.php?workbook=11_02.xlsx&amp;sheet=A0&amp;row=504&amp;col=6&amp;number=464200&amp;sourceID=14","464200")</f>
        <v>464200</v>
      </c>
      <c r="G504" s="4" t="str">
        <f>HYPERLINK("http://141.218.60.56/~jnz1568/getInfo.php?workbook=11_02.xlsx&amp;sheet=A0&amp;row=504&amp;col=7&amp;number=0&amp;sourceID=14","0")</f>
        <v>0</v>
      </c>
    </row>
    <row r="505" spans="1:7">
      <c r="A505" s="3">
        <v>11</v>
      </c>
      <c r="B505" s="3">
        <v>2</v>
      </c>
      <c r="C505" s="3">
        <v>41</v>
      </c>
      <c r="D505" s="3">
        <v>20</v>
      </c>
      <c r="E505" s="3">
        <v>395.19</v>
      </c>
      <c r="F505" s="4" t="str">
        <f>HYPERLINK("http://141.218.60.56/~jnz1568/getInfo.php?workbook=11_02.xlsx&amp;sheet=A0&amp;row=505&amp;col=6&amp;number=426800&amp;sourceID=14","426800")</f>
        <v>426800</v>
      </c>
      <c r="G505" s="4" t="str">
        <f>HYPERLINK("http://141.218.60.56/~jnz1568/getInfo.php?workbook=11_02.xlsx&amp;sheet=A0&amp;row=505&amp;col=7&amp;number=0&amp;sourceID=14","0")</f>
        <v>0</v>
      </c>
    </row>
    <row r="506" spans="1:7">
      <c r="A506" s="3">
        <v>11</v>
      </c>
      <c r="B506" s="3">
        <v>2</v>
      </c>
      <c r="C506" s="3">
        <v>43</v>
      </c>
      <c r="D506" s="3">
        <v>20</v>
      </c>
      <c r="E506" s="3">
        <v>395.184</v>
      </c>
      <c r="F506" s="4" t="str">
        <f>HYPERLINK("http://141.218.60.56/~jnz1568/getInfo.php?workbook=11_02.xlsx&amp;sheet=A0&amp;row=506&amp;col=6&amp;number=237400&amp;sourceID=14","237400")</f>
        <v>237400</v>
      </c>
      <c r="G506" s="4" t="str">
        <f>HYPERLINK("http://141.218.60.56/~jnz1568/getInfo.php?workbook=11_02.xlsx&amp;sheet=A0&amp;row=506&amp;col=7&amp;number=0&amp;sourceID=14","0")</f>
        <v>0</v>
      </c>
    </row>
    <row r="507" spans="1:7">
      <c r="A507" s="3">
        <v>11</v>
      </c>
      <c r="B507" s="3">
        <v>2</v>
      </c>
      <c r="C507" s="3">
        <v>46</v>
      </c>
      <c r="D507" s="3">
        <v>20</v>
      </c>
      <c r="E507" s="3">
        <v>395.195</v>
      </c>
      <c r="F507" s="4" t="str">
        <f>HYPERLINK("http://141.218.60.56/~jnz1568/getInfo.php?workbook=11_02.xlsx&amp;sheet=A0&amp;row=507&amp;col=6&amp;number=207200000&amp;sourceID=14","207200000")</f>
        <v>207200000</v>
      </c>
      <c r="G507" s="4" t="str">
        <f>HYPERLINK("http://141.218.60.56/~jnz1568/getInfo.php?workbook=11_02.xlsx&amp;sheet=A0&amp;row=507&amp;col=7&amp;number=0&amp;sourceID=14","0")</f>
        <v>0</v>
      </c>
    </row>
    <row r="508" spans="1:7">
      <c r="A508" s="3">
        <v>11</v>
      </c>
      <c r="B508" s="3">
        <v>2</v>
      </c>
      <c r="C508" s="3">
        <v>49</v>
      </c>
      <c r="D508" s="3">
        <v>20</v>
      </c>
      <c r="E508" s="3">
        <v>394.166</v>
      </c>
      <c r="F508" s="4" t="str">
        <f>HYPERLINK("http://141.218.60.56/~jnz1568/getInfo.php?workbook=11_02.xlsx&amp;sheet=A0&amp;row=508&amp;col=6&amp;number=1182&amp;sourceID=14","1182")</f>
        <v>1182</v>
      </c>
      <c r="G508" s="4" t="str">
        <f>HYPERLINK("http://141.218.60.56/~jnz1568/getInfo.php?workbook=11_02.xlsx&amp;sheet=A0&amp;row=508&amp;col=7&amp;number=0&amp;sourceID=14","0")</f>
        <v>0</v>
      </c>
    </row>
    <row r="509" spans="1:7">
      <c r="A509" s="3">
        <v>11</v>
      </c>
      <c r="B509" s="3">
        <v>2</v>
      </c>
      <c r="C509" s="3">
        <v>23</v>
      </c>
      <c r="D509" s="3">
        <v>21</v>
      </c>
      <c r="E509" s="3">
        <v>18535.715</v>
      </c>
      <c r="F509" s="4" t="str">
        <f>HYPERLINK("http://141.218.60.56/~jnz1568/getInfo.php?workbook=11_02.xlsx&amp;sheet=A0&amp;row=509&amp;col=6&amp;number=13780&amp;sourceID=14","13780")</f>
        <v>13780</v>
      </c>
      <c r="G509" s="4" t="str">
        <f>HYPERLINK("http://141.218.60.56/~jnz1568/getInfo.php?workbook=11_02.xlsx&amp;sheet=A0&amp;row=509&amp;col=7&amp;number=0&amp;sourceID=14","0")</f>
        <v>0</v>
      </c>
    </row>
    <row r="510" spans="1:7">
      <c r="A510" s="3">
        <v>11</v>
      </c>
      <c r="B510" s="3">
        <v>2</v>
      </c>
      <c r="C510" s="3">
        <v>24</v>
      </c>
      <c r="D510" s="3">
        <v>21</v>
      </c>
      <c r="E510" s="3">
        <v>18535.715</v>
      </c>
      <c r="F510" s="4" t="str">
        <f>HYPERLINK("http://141.218.60.56/~jnz1568/getInfo.php?workbook=11_02.xlsx&amp;sheet=A0&amp;row=510&amp;col=6&amp;number=121400&amp;sourceID=14","121400")</f>
        <v>121400</v>
      </c>
      <c r="G510" s="4" t="str">
        <f>HYPERLINK("http://141.218.60.56/~jnz1568/getInfo.php?workbook=11_02.xlsx&amp;sheet=A0&amp;row=510&amp;col=7&amp;number=0&amp;sourceID=14","0")</f>
        <v>0</v>
      </c>
    </row>
    <row r="511" spans="1:7">
      <c r="A511" s="3">
        <v>11</v>
      </c>
      <c r="B511" s="3">
        <v>2</v>
      </c>
      <c r="C511" s="3">
        <v>25</v>
      </c>
      <c r="D511" s="3">
        <v>21</v>
      </c>
      <c r="E511" s="3">
        <v>18535.715</v>
      </c>
      <c r="F511" s="4" t="str">
        <f>HYPERLINK("http://141.218.60.56/~jnz1568/getInfo.php?workbook=11_02.xlsx&amp;sheet=A0&amp;row=511&amp;col=6&amp;number=532900&amp;sourceID=14","532900")</f>
        <v>532900</v>
      </c>
      <c r="G511" s="4" t="str">
        <f>HYPERLINK("http://141.218.60.56/~jnz1568/getInfo.php?workbook=11_02.xlsx&amp;sheet=A0&amp;row=511&amp;col=7&amp;number=0&amp;sourceID=14","0")</f>
        <v>0</v>
      </c>
    </row>
    <row r="512" spans="1:7">
      <c r="A512" s="3">
        <v>11</v>
      </c>
      <c r="B512" s="3">
        <v>2</v>
      </c>
      <c r="C512" s="3">
        <v>30</v>
      </c>
      <c r="D512" s="3">
        <v>21</v>
      </c>
      <c r="E512" s="3">
        <v>17322.049</v>
      </c>
      <c r="F512" s="4" t="str">
        <f>HYPERLINK("http://141.218.60.56/~jnz1568/getInfo.php?workbook=11_02.xlsx&amp;sheet=A0&amp;row=512&amp;col=6&amp;number=6021&amp;sourceID=14","6021")</f>
        <v>6021</v>
      </c>
      <c r="G512" s="4" t="str">
        <f>HYPERLINK("http://141.218.60.56/~jnz1568/getInfo.php?workbook=11_02.xlsx&amp;sheet=A0&amp;row=512&amp;col=7&amp;number=0&amp;sourceID=14","0")</f>
        <v>0</v>
      </c>
    </row>
    <row r="513" spans="1:7">
      <c r="A513" s="3">
        <v>11</v>
      </c>
      <c r="B513" s="3">
        <v>2</v>
      </c>
      <c r="C513" s="3">
        <v>32</v>
      </c>
      <c r="D513" s="3">
        <v>21</v>
      </c>
      <c r="E513" s="3">
        <v>408.76</v>
      </c>
      <c r="F513" s="4" t="str">
        <f>HYPERLINK("http://141.218.60.56/~jnz1568/getInfo.php?workbook=11_02.xlsx&amp;sheet=A0&amp;row=513&amp;col=6&amp;number=4396000000&amp;sourceID=14","4396000000")</f>
        <v>4396000000</v>
      </c>
      <c r="G513" s="4" t="str">
        <f>HYPERLINK("http://141.218.60.56/~jnz1568/getInfo.php?workbook=11_02.xlsx&amp;sheet=A0&amp;row=513&amp;col=7&amp;number=0&amp;sourceID=14","0")</f>
        <v>0</v>
      </c>
    </row>
    <row r="514" spans="1:7">
      <c r="A514" s="3">
        <v>11</v>
      </c>
      <c r="B514" s="3">
        <v>2</v>
      </c>
      <c r="C514" s="3">
        <v>33</v>
      </c>
      <c r="D514" s="3">
        <v>21</v>
      </c>
      <c r="E514" s="3">
        <v>400.645</v>
      </c>
      <c r="F514" s="4" t="str">
        <f>HYPERLINK("http://141.218.60.56/~jnz1568/getInfo.php?workbook=11_02.xlsx&amp;sheet=A0&amp;row=514&amp;col=6&amp;number=456600&amp;sourceID=14","456600")</f>
        <v>456600</v>
      </c>
      <c r="G514" s="4" t="str">
        <f>HYPERLINK("http://141.218.60.56/~jnz1568/getInfo.php?workbook=11_02.xlsx&amp;sheet=A0&amp;row=514&amp;col=7&amp;number=0&amp;sourceID=14","0")</f>
        <v>0</v>
      </c>
    </row>
    <row r="515" spans="1:7">
      <c r="A515" s="3">
        <v>11</v>
      </c>
      <c r="B515" s="3">
        <v>2</v>
      </c>
      <c r="C515" s="3">
        <v>34</v>
      </c>
      <c r="D515" s="3">
        <v>21</v>
      </c>
      <c r="E515" s="3">
        <v>400.586</v>
      </c>
      <c r="F515" s="4" t="str">
        <f>HYPERLINK("http://141.218.60.56/~jnz1568/getInfo.php?workbook=11_02.xlsx&amp;sheet=A0&amp;row=515&amp;col=6&amp;number=341900&amp;sourceID=14","341900")</f>
        <v>341900</v>
      </c>
      <c r="G515" s="4" t="str">
        <f>HYPERLINK("http://141.218.60.56/~jnz1568/getInfo.php?workbook=11_02.xlsx&amp;sheet=A0&amp;row=515&amp;col=7&amp;number=0&amp;sourceID=14","0")</f>
        <v>0</v>
      </c>
    </row>
    <row r="516" spans="1:7">
      <c r="A516" s="3">
        <v>11</v>
      </c>
      <c r="B516" s="3">
        <v>2</v>
      </c>
      <c r="C516" s="3">
        <v>35</v>
      </c>
      <c r="D516" s="3">
        <v>21</v>
      </c>
      <c r="E516" s="3">
        <v>400.34</v>
      </c>
      <c r="F516" s="4" t="str">
        <f>HYPERLINK("http://141.218.60.56/~jnz1568/getInfo.php?workbook=11_02.xlsx&amp;sheet=A0&amp;row=516&amp;col=6&amp;number=159700&amp;sourceID=14","159700")</f>
        <v>159700</v>
      </c>
      <c r="G516" s="4" t="str">
        <f>HYPERLINK("http://141.218.60.56/~jnz1568/getInfo.php?workbook=11_02.xlsx&amp;sheet=A0&amp;row=516&amp;col=7&amp;number=0&amp;sourceID=14","0")</f>
        <v>0</v>
      </c>
    </row>
    <row r="517" spans="1:7">
      <c r="A517" s="3">
        <v>11</v>
      </c>
      <c r="B517" s="3">
        <v>2</v>
      </c>
      <c r="C517" s="3">
        <v>36</v>
      </c>
      <c r="D517" s="3">
        <v>21</v>
      </c>
      <c r="E517" s="3">
        <v>400.603</v>
      </c>
      <c r="F517" s="4" t="str">
        <f>HYPERLINK("http://141.218.60.56/~jnz1568/getInfo.php?workbook=11_02.xlsx&amp;sheet=A0&amp;row=517&amp;col=6&amp;number=3.027&amp;sourceID=14","3.027")</f>
        <v>3.027</v>
      </c>
      <c r="G517" s="4" t="str">
        <f>HYPERLINK("http://141.218.60.56/~jnz1568/getInfo.php?workbook=11_02.xlsx&amp;sheet=A0&amp;row=517&amp;col=7&amp;number=0&amp;sourceID=14","0")</f>
        <v>0</v>
      </c>
    </row>
    <row r="518" spans="1:7">
      <c r="A518" s="3">
        <v>11</v>
      </c>
      <c r="B518" s="3">
        <v>2</v>
      </c>
      <c r="C518" s="3">
        <v>37</v>
      </c>
      <c r="D518" s="3">
        <v>21</v>
      </c>
      <c r="E518" s="3">
        <v>396.004</v>
      </c>
      <c r="F518" s="4" t="str">
        <f>HYPERLINK("http://141.218.60.56/~jnz1568/getInfo.php?workbook=11_02.xlsx&amp;sheet=A0&amp;row=518&amp;col=6&amp;number=399000000&amp;sourceID=14","399000000")</f>
        <v>399000000</v>
      </c>
      <c r="G518" s="4" t="str">
        <f>HYPERLINK("http://141.218.60.56/~jnz1568/getInfo.php?workbook=11_02.xlsx&amp;sheet=A0&amp;row=518&amp;col=7&amp;number=0&amp;sourceID=14","0")</f>
        <v>0</v>
      </c>
    </row>
    <row r="519" spans="1:7">
      <c r="A519" s="3">
        <v>11</v>
      </c>
      <c r="B519" s="3">
        <v>2</v>
      </c>
      <c r="C519" s="3">
        <v>38</v>
      </c>
      <c r="D519" s="3">
        <v>21</v>
      </c>
      <c r="E519" s="3">
        <v>396.004</v>
      </c>
      <c r="F519" s="4" t="str">
        <f>HYPERLINK("http://141.218.60.56/~jnz1568/getInfo.php?workbook=11_02.xlsx&amp;sheet=A0&amp;row=519&amp;col=6&amp;number=3484000000&amp;sourceID=14","3484000000")</f>
        <v>3484000000</v>
      </c>
      <c r="G519" s="4" t="str">
        <f>HYPERLINK("http://141.218.60.56/~jnz1568/getInfo.php?workbook=11_02.xlsx&amp;sheet=A0&amp;row=519&amp;col=7&amp;number=0&amp;sourceID=14","0")</f>
        <v>0</v>
      </c>
    </row>
    <row r="520" spans="1:7">
      <c r="A520" s="3">
        <v>11</v>
      </c>
      <c r="B520" s="3">
        <v>2</v>
      </c>
      <c r="C520" s="3">
        <v>39</v>
      </c>
      <c r="D520" s="3">
        <v>21</v>
      </c>
      <c r="E520" s="3">
        <v>396.004</v>
      </c>
      <c r="F520" s="4" t="str">
        <f>HYPERLINK("http://141.218.60.56/~jnz1568/getInfo.php?workbook=11_02.xlsx&amp;sheet=A0&amp;row=520&amp;col=6&amp;number=14380000000&amp;sourceID=14","14380000000")</f>
        <v>14380000000</v>
      </c>
      <c r="G520" s="4" t="str">
        <f>HYPERLINK("http://141.218.60.56/~jnz1568/getInfo.php?workbook=11_02.xlsx&amp;sheet=A0&amp;row=520&amp;col=7&amp;number=0&amp;sourceID=14","0")</f>
        <v>0</v>
      </c>
    </row>
    <row r="521" spans="1:7">
      <c r="A521" s="3">
        <v>11</v>
      </c>
      <c r="B521" s="3">
        <v>2</v>
      </c>
      <c r="C521" s="3">
        <v>40</v>
      </c>
      <c r="D521" s="3">
        <v>21</v>
      </c>
      <c r="E521" s="3">
        <v>395.659</v>
      </c>
      <c r="F521" s="4" t="str">
        <f>HYPERLINK("http://141.218.60.56/~jnz1568/getInfo.php?workbook=11_02.xlsx&amp;sheet=A0&amp;row=521&amp;col=6&amp;number=66160&amp;sourceID=14","66160")</f>
        <v>66160</v>
      </c>
      <c r="G521" s="4" t="str">
        <f>HYPERLINK("http://141.218.60.56/~jnz1568/getInfo.php?workbook=11_02.xlsx&amp;sheet=A0&amp;row=521&amp;col=7&amp;number=0&amp;sourceID=14","0")</f>
        <v>0</v>
      </c>
    </row>
    <row r="522" spans="1:7">
      <c r="A522" s="3">
        <v>11</v>
      </c>
      <c r="B522" s="3">
        <v>2</v>
      </c>
      <c r="C522" s="3">
        <v>41</v>
      </c>
      <c r="D522" s="3">
        <v>21</v>
      </c>
      <c r="E522" s="3">
        <v>395.659</v>
      </c>
      <c r="F522" s="4" t="str">
        <f>HYPERLINK("http://141.218.60.56/~jnz1568/getInfo.php?workbook=11_02.xlsx&amp;sheet=A0&amp;row=522&amp;col=6&amp;number=199400&amp;sourceID=14","199400")</f>
        <v>199400</v>
      </c>
      <c r="G522" s="4" t="str">
        <f>HYPERLINK("http://141.218.60.56/~jnz1568/getInfo.php?workbook=11_02.xlsx&amp;sheet=A0&amp;row=522&amp;col=7&amp;number=0&amp;sourceID=14","0")</f>
        <v>0</v>
      </c>
    </row>
    <row r="523" spans="1:7">
      <c r="A523" s="3">
        <v>11</v>
      </c>
      <c r="B523" s="3">
        <v>2</v>
      </c>
      <c r="C523" s="3">
        <v>42</v>
      </c>
      <c r="D523" s="3">
        <v>21</v>
      </c>
      <c r="E523" s="3">
        <v>395.659</v>
      </c>
      <c r="F523" s="4" t="str">
        <f>HYPERLINK("http://141.218.60.56/~jnz1568/getInfo.php?workbook=11_02.xlsx&amp;sheet=A0&amp;row=523&amp;col=6&amp;number=992800&amp;sourceID=14","992800")</f>
        <v>992800</v>
      </c>
      <c r="G523" s="4" t="str">
        <f>HYPERLINK("http://141.218.60.56/~jnz1568/getInfo.php?workbook=11_02.xlsx&amp;sheet=A0&amp;row=523&amp;col=7&amp;number=0&amp;sourceID=14","0")</f>
        <v>0</v>
      </c>
    </row>
    <row r="524" spans="1:7">
      <c r="A524" s="3">
        <v>11</v>
      </c>
      <c r="B524" s="3">
        <v>2</v>
      </c>
      <c r="C524" s="3">
        <v>43</v>
      </c>
      <c r="D524" s="3">
        <v>21</v>
      </c>
      <c r="E524" s="3">
        <v>395.653</v>
      </c>
      <c r="F524" s="4" t="str">
        <f>HYPERLINK("http://141.218.60.56/~jnz1568/getInfo.php?workbook=11_02.xlsx&amp;sheet=A0&amp;row=524&amp;col=6&amp;number=131400&amp;sourceID=14","131400")</f>
        <v>131400</v>
      </c>
      <c r="G524" s="4" t="str">
        <f>HYPERLINK("http://141.218.60.56/~jnz1568/getInfo.php?workbook=11_02.xlsx&amp;sheet=A0&amp;row=524&amp;col=7&amp;number=0&amp;sourceID=14","0")</f>
        <v>0</v>
      </c>
    </row>
    <row r="525" spans="1:7">
      <c r="A525" s="3">
        <v>11</v>
      </c>
      <c r="B525" s="3">
        <v>2</v>
      </c>
      <c r="C525" s="3">
        <v>44</v>
      </c>
      <c r="D525" s="3">
        <v>21</v>
      </c>
      <c r="E525" s="3">
        <v>-395.422</v>
      </c>
      <c r="F525" s="4" t="str">
        <f>HYPERLINK("http://141.218.60.56/~jnz1568/getInfo.php?workbook=11_02.xlsx&amp;sheet=A0&amp;row=525&amp;col=6&amp;number=107.3&amp;sourceID=14","107.3")</f>
        <v>107.3</v>
      </c>
      <c r="G525" s="4" t="str">
        <f>HYPERLINK("http://141.218.60.56/~jnz1568/getInfo.php?workbook=11_02.xlsx&amp;sheet=A0&amp;row=525&amp;col=7&amp;number=0&amp;sourceID=14","0")</f>
        <v>0</v>
      </c>
    </row>
    <row r="526" spans="1:7">
      <c r="A526" s="3">
        <v>11</v>
      </c>
      <c r="B526" s="3">
        <v>2</v>
      </c>
      <c r="C526" s="3">
        <v>46</v>
      </c>
      <c r="D526" s="3">
        <v>21</v>
      </c>
      <c r="E526" s="3">
        <v>395.664</v>
      </c>
      <c r="F526" s="4" t="str">
        <f>HYPERLINK("http://141.218.60.56/~jnz1568/getInfo.php?workbook=11_02.xlsx&amp;sheet=A0&amp;row=526&amp;col=6&amp;number=112600000&amp;sourceID=14","112600000")</f>
        <v>112600000</v>
      </c>
      <c r="G526" s="4" t="str">
        <f>HYPERLINK("http://141.218.60.56/~jnz1568/getInfo.php?workbook=11_02.xlsx&amp;sheet=A0&amp;row=526&amp;col=7&amp;number=0&amp;sourceID=14","0")</f>
        <v>0</v>
      </c>
    </row>
    <row r="527" spans="1:7">
      <c r="A527" s="3">
        <v>11</v>
      </c>
      <c r="B527" s="3">
        <v>2</v>
      </c>
      <c r="C527" s="3">
        <v>49</v>
      </c>
      <c r="D527" s="3">
        <v>21</v>
      </c>
      <c r="E527" s="3">
        <v>394.632</v>
      </c>
      <c r="F527" s="4" t="str">
        <f>HYPERLINK("http://141.218.60.56/~jnz1568/getInfo.php?workbook=11_02.xlsx&amp;sheet=A0&amp;row=527&amp;col=6&amp;number=370.8&amp;sourceID=14","370.8")</f>
        <v>370.8</v>
      </c>
      <c r="G527" s="4" t="str">
        <f>HYPERLINK("http://141.218.60.56/~jnz1568/getInfo.php?workbook=11_02.xlsx&amp;sheet=A0&amp;row=527&amp;col=7&amp;number=0&amp;sourceID=14","0")</f>
        <v>0</v>
      </c>
    </row>
    <row r="528" spans="1:7">
      <c r="A528" s="3">
        <v>11</v>
      </c>
      <c r="B528" s="3">
        <v>2</v>
      </c>
      <c r="C528" s="3">
        <v>31</v>
      </c>
      <c r="D528" s="3">
        <v>22</v>
      </c>
      <c r="E528" s="3">
        <v>13500.768</v>
      </c>
      <c r="F528" s="4" t="str">
        <f>HYPERLINK("http://141.218.60.56/~jnz1568/getInfo.php?workbook=11_02.xlsx&amp;sheet=A0&amp;row=528&amp;col=6&amp;number=1229000&amp;sourceID=14","1229000")</f>
        <v>1229000</v>
      </c>
      <c r="G528" s="4" t="str">
        <f>HYPERLINK("http://141.218.60.56/~jnz1568/getInfo.php?workbook=11_02.xlsx&amp;sheet=A0&amp;row=528&amp;col=7&amp;number=0&amp;sourceID=14","0")</f>
        <v>0</v>
      </c>
    </row>
    <row r="529" spans="1:7">
      <c r="A529" s="3">
        <v>11</v>
      </c>
      <c r="B529" s="3">
        <v>2</v>
      </c>
      <c r="C529" s="3">
        <v>34</v>
      </c>
      <c r="D529" s="3">
        <v>22</v>
      </c>
      <c r="E529" s="3">
        <v>400.172</v>
      </c>
      <c r="F529" s="4" t="str">
        <f>HYPERLINK("http://141.218.60.56/~jnz1568/getInfo.php?workbook=11_02.xlsx&amp;sheet=A0&amp;row=529&amp;col=6&amp;number=8889000&amp;sourceID=14","8889000")</f>
        <v>8889000</v>
      </c>
      <c r="G529" s="4" t="str">
        <f>HYPERLINK("http://141.218.60.56/~jnz1568/getInfo.php?workbook=11_02.xlsx&amp;sheet=A0&amp;row=529&amp;col=7&amp;number=0&amp;sourceID=14","0")</f>
        <v>0</v>
      </c>
    </row>
    <row r="530" spans="1:7">
      <c r="A530" s="3">
        <v>11</v>
      </c>
      <c r="B530" s="3">
        <v>2</v>
      </c>
      <c r="C530" s="3">
        <v>35</v>
      </c>
      <c r="D530" s="3">
        <v>22</v>
      </c>
      <c r="E530" s="3">
        <v>399.927</v>
      </c>
      <c r="F530" s="4" t="str">
        <f>HYPERLINK("http://141.218.60.56/~jnz1568/getInfo.php?workbook=11_02.xlsx&amp;sheet=A0&amp;row=530&amp;col=6&amp;number=2.141&amp;sourceID=14","2.141")</f>
        <v>2.141</v>
      </c>
      <c r="G530" s="4" t="str">
        <f>HYPERLINK("http://141.218.60.56/~jnz1568/getInfo.php?workbook=11_02.xlsx&amp;sheet=A0&amp;row=530&amp;col=7&amp;number=0&amp;sourceID=14","0")</f>
        <v>0</v>
      </c>
    </row>
    <row r="531" spans="1:7">
      <c r="A531" s="3">
        <v>11</v>
      </c>
      <c r="B531" s="3">
        <v>2</v>
      </c>
      <c r="C531" s="3">
        <v>38</v>
      </c>
      <c r="D531" s="3">
        <v>22</v>
      </c>
      <c r="E531" s="3">
        <v>395.6</v>
      </c>
      <c r="F531" s="4" t="str">
        <f>HYPERLINK("http://141.218.60.56/~jnz1568/getInfo.php?workbook=11_02.xlsx&amp;sheet=A0&amp;row=531&amp;col=6&amp;number=18210&amp;sourceID=14","18210")</f>
        <v>18210</v>
      </c>
      <c r="G531" s="4" t="str">
        <f>HYPERLINK("http://141.218.60.56/~jnz1568/getInfo.php?workbook=11_02.xlsx&amp;sheet=A0&amp;row=531&amp;col=7&amp;number=0&amp;sourceID=14","0")</f>
        <v>0</v>
      </c>
    </row>
    <row r="532" spans="1:7">
      <c r="A532" s="3">
        <v>11</v>
      </c>
      <c r="B532" s="3">
        <v>2</v>
      </c>
      <c r="C532" s="3">
        <v>46</v>
      </c>
      <c r="D532" s="3">
        <v>22</v>
      </c>
      <c r="E532" s="3">
        <v>395.261</v>
      </c>
      <c r="F532" s="4" t="str">
        <f>HYPERLINK("http://141.218.60.56/~jnz1568/getInfo.php?workbook=11_02.xlsx&amp;sheet=A0&amp;row=532&amp;col=6&amp;number=562000&amp;sourceID=14","562000")</f>
        <v>562000</v>
      </c>
      <c r="G532" s="4" t="str">
        <f>HYPERLINK("http://141.218.60.56/~jnz1568/getInfo.php?workbook=11_02.xlsx&amp;sheet=A0&amp;row=532&amp;col=7&amp;number=0&amp;sourceID=14","0")</f>
        <v>0</v>
      </c>
    </row>
    <row r="533" spans="1:7">
      <c r="A533" s="3">
        <v>11</v>
      </c>
      <c r="B533" s="3">
        <v>2</v>
      </c>
      <c r="C533" s="3">
        <v>49</v>
      </c>
      <c r="D533" s="3">
        <v>22</v>
      </c>
      <c r="E533" s="3">
        <v>394.231</v>
      </c>
      <c r="F533" s="4" t="str">
        <f>HYPERLINK("http://141.218.60.56/~jnz1568/getInfo.php?workbook=11_02.xlsx&amp;sheet=A0&amp;row=533&amp;col=6&amp;number=7309000000&amp;sourceID=14","7309000000")</f>
        <v>7309000000</v>
      </c>
      <c r="G533" s="4" t="str">
        <f>HYPERLINK("http://141.218.60.56/~jnz1568/getInfo.php?workbook=11_02.xlsx&amp;sheet=A0&amp;row=533&amp;col=7&amp;number=0&amp;sourceID=14","0")</f>
        <v>0</v>
      </c>
    </row>
    <row r="534" spans="1:7">
      <c r="A534" s="3">
        <v>11</v>
      </c>
      <c r="B534" s="3">
        <v>2</v>
      </c>
      <c r="C534" s="3">
        <v>26</v>
      </c>
      <c r="D534" s="3">
        <v>23</v>
      </c>
      <c r="E534" s="3">
        <v>242718.891</v>
      </c>
      <c r="F534" s="4" t="str">
        <f>HYPERLINK("http://141.218.60.56/~jnz1568/getInfo.php?workbook=11_02.xlsx&amp;sheet=A0&amp;row=534&amp;col=6&amp;number=128.9&amp;sourceID=14","128.9")</f>
        <v>128.9</v>
      </c>
      <c r="G534" s="4" t="str">
        <f>HYPERLINK("http://141.218.60.56/~jnz1568/getInfo.php?workbook=11_02.xlsx&amp;sheet=A0&amp;row=534&amp;col=7&amp;number=0&amp;sourceID=14","0")</f>
        <v>0</v>
      </c>
    </row>
    <row r="535" spans="1:7">
      <c r="A535" s="3">
        <v>11</v>
      </c>
      <c r="B535" s="3">
        <v>2</v>
      </c>
      <c r="C535" s="3">
        <v>31</v>
      </c>
      <c r="D535" s="3">
        <v>23</v>
      </c>
      <c r="E535" s="3">
        <v>57012.648</v>
      </c>
      <c r="F535" s="4" t="str">
        <f>HYPERLINK("http://141.218.60.56/~jnz1568/getInfo.php?workbook=11_02.xlsx&amp;sheet=A0&amp;row=535&amp;col=6&amp;number=19.44&amp;sourceID=14","19.44")</f>
        <v>19.44</v>
      </c>
      <c r="G535" s="4" t="str">
        <f>HYPERLINK("http://141.218.60.56/~jnz1568/getInfo.php?workbook=11_02.xlsx&amp;sheet=A0&amp;row=535&amp;col=7&amp;number=0&amp;sourceID=14","0")</f>
        <v>0</v>
      </c>
    </row>
    <row r="536" spans="1:7">
      <c r="A536" s="3">
        <v>11</v>
      </c>
      <c r="B536" s="3">
        <v>2</v>
      </c>
      <c r="C536" s="3">
        <v>32</v>
      </c>
      <c r="D536" s="3">
        <v>23</v>
      </c>
      <c r="E536" s="3">
        <v>417.977</v>
      </c>
      <c r="F536" s="4" t="str">
        <f>HYPERLINK("http://141.218.60.56/~jnz1568/getInfo.php?workbook=11_02.xlsx&amp;sheet=A0&amp;row=536&amp;col=6&amp;number=70420&amp;sourceID=14","70420")</f>
        <v>70420</v>
      </c>
      <c r="G536" s="4" t="str">
        <f>HYPERLINK("http://141.218.60.56/~jnz1568/getInfo.php?workbook=11_02.xlsx&amp;sheet=A0&amp;row=536&amp;col=7&amp;number=0&amp;sourceID=14","0")</f>
        <v>0</v>
      </c>
    </row>
    <row r="537" spans="1:7">
      <c r="A537" s="3">
        <v>11</v>
      </c>
      <c r="B537" s="3">
        <v>2</v>
      </c>
      <c r="C537" s="3">
        <v>33</v>
      </c>
      <c r="D537" s="3">
        <v>23</v>
      </c>
      <c r="E537" s="3">
        <v>409.496</v>
      </c>
      <c r="F537" s="4" t="str">
        <f>HYPERLINK("http://141.218.60.56/~jnz1568/getInfo.php?workbook=11_02.xlsx&amp;sheet=A0&amp;row=537&amp;col=6&amp;number=2183000000&amp;sourceID=14","2183000000")</f>
        <v>2183000000</v>
      </c>
      <c r="G537" s="4" t="str">
        <f>HYPERLINK("http://141.218.60.56/~jnz1568/getInfo.php?workbook=11_02.xlsx&amp;sheet=A0&amp;row=537&amp;col=7&amp;number=0&amp;sourceID=14","0")</f>
        <v>0</v>
      </c>
    </row>
    <row r="538" spans="1:7">
      <c r="A538" s="3">
        <v>11</v>
      </c>
      <c r="B538" s="3">
        <v>2</v>
      </c>
      <c r="C538" s="3">
        <v>34</v>
      </c>
      <c r="D538" s="3">
        <v>23</v>
      </c>
      <c r="E538" s="3">
        <v>409.434</v>
      </c>
      <c r="F538" s="4" t="str">
        <f>HYPERLINK("http://141.218.60.56/~jnz1568/getInfo.php?workbook=11_02.xlsx&amp;sheet=A0&amp;row=538&amp;col=6&amp;number=546000000&amp;sourceID=14","546000000")</f>
        <v>546000000</v>
      </c>
      <c r="G538" s="4" t="str">
        <f>HYPERLINK("http://141.218.60.56/~jnz1568/getInfo.php?workbook=11_02.xlsx&amp;sheet=A0&amp;row=538&amp;col=7&amp;number=0&amp;sourceID=14","0")</f>
        <v>0</v>
      </c>
    </row>
    <row r="539" spans="1:7">
      <c r="A539" s="3">
        <v>11</v>
      </c>
      <c r="B539" s="3">
        <v>2</v>
      </c>
      <c r="C539" s="3">
        <v>35</v>
      </c>
      <c r="D539" s="3">
        <v>23</v>
      </c>
      <c r="E539" s="3">
        <v>409.178</v>
      </c>
      <c r="F539" s="4" t="str">
        <f>HYPERLINK("http://141.218.60.56/~jnz1568/getInfo.php?workbook=11_02.xlsx&amp;sheet=A0&amp;row=539&amp;col=6&amp;number=21460000&amp;sourceID=14","21460000")</f>
        <v>21460000</v>
      </c>
      <c r="G539" s="4" t="str">
        <f>HYPERLINK("http://141.218.60.56/~jnz1568/getInfo.php?workbook=11_02.xlsx&amp;sheet=A0&amp;row=539&amp;col=7&amp;number=0&amp;sourceID=14","0")</f>
        <v>0</v>
      </c>
    </row>
    <row r="540" spans="1:7">
      <c r="A540" s="3">
        <v>11</v>
      </c>
      <c r="B540" s="3">
        <v>2</v>
      </c>
      <c r="C540" s="3">
        <v>37</v>
      </c>
      <c r="D540" s="3">
        <v>23</v>
      </c>
      <c r="E540" s="3">
        <v>404.649</v>
      </c>
      <c r="F540" s="4" t="str">
        <f>HYPERLINK("http://141.218.60.56/~jnz1568/getInfo.php?workbook=11_02.xlsx&amp;sheet=A0&amp;row=540&amp;col=6&amp;number=92870&amp;sourceID=14","92870")</f>
        <v>92870</v>
      </c>
      <c r="G540" s="4" t="str">
        <f>HYPERLINK("http://141.218.60.56/~jnz1568/getInfo.php?workbook=11_02.xlsx&amp;sheet=A0&amp;row=540&amp;col=7&amp;number=0&amp;sourceID=14","0")</f>
        <v>0</v>
      </c>
    </row>
    <row r="541" spans="1:7">
      <c r="A541" s="3">
        <v>11</v>
      </c>
      <c r="B541" s="3">
        <v>2</v>
      </c>
      <c r="C541" s="3">
        <v>38</v>
      </c>
      <c r="D541" s="3">
        <v>23</v>
      </c>
      <c r="E541" s="3">
        <v>404.649</v>
      </c>
      <c r="F541" s="4" t="str">
        <f>HYPERLINK("http://141.218.60.56/~jnz1568/getInfo.php?workbook=11_02.xlsx&amp;sheet=A0&amp;row=541&amp;col=6&amp;number=90300&amp;sourceID=14","90300")</f>
        <v>90300</v>
      </c>
      <c r="G541" s="4" t="str">
        <f>HYPERLINK("http://141.218.60.56/~jnz1568/getInfo.php?workbook=11_02.xlsx&amp;sheet=A0&amp;row=541&amp;col=7&amp;number=0&amp;sourceID=14","0")</f>
        <v>0</v>
      </c>
    </row>
    <row r="542" spans="1:7">
      <c r="A542" s="3">
        <v>11</v>
      </c>
      <c r="B542" s="3">
        <v>2</v>
      </c>
      <c r="C542" s="3">
        <v>39</v>
      </c>
      <c r="D542" s="3">
        <v>23</v>
      </c>
      <c r="E542" s="3">
        <v>404.649</v>
      </c>
      <c r="F542" s="4" t="str">
        <f>HYPERLINK("http://141.218.60.56/~jnz1568/getInfo.php?workbook=11_02.xlsx&amp;sheet=A0&amp;row=542&amp;col=6&amp;number=7556&amp;sourceID=14","7556")</f>
        <v>7556</v>
      </c>
      <c r="G542" s="4" t="str">
        <f>HYPERLINK("http://141.218.60.56/~jnz1568/getInfo.php?workbook=11_02.xlsx&amp;sheet=A0&amp;row=542&amp;col=7&amp;number=0&amp;sourceID=14","0")</f>
        <v>0</v>
      </c>
    </row>
    <row r="543" spans="1:7">
      <c r="A543" s="3">
        <v>11</v>
      </c>
      <c r="B543" s="3">
        <v>2</v>
      </c>
      <c r="C543" s="3">
        <v>40</v>
      </c>
      <c r="D543" s="3">
        <v>23</v>
      </c>
      <c r="E543" s="3">
        <v>404.289</v>
      </c>
      <c r="F543" s="4" t="str">
        <f>HYPERLINK("http://141.218.60.56/~jnz1568/getInfo.php?workbook=11_02.xlsx&amp;sheet=A0&amp;row=543&amp;col=6&amp;number=21720000000&amp;sourceID=14","21720000000")</f>
        <v>21720000000</v>
      </c>
      <c r="G543" s="4" t="str">
        <f>HYPERLINK("http://141.218.60.56/~jnz1568/getInfo.php?workbook=11_02.xlsx&amp;sheet=A0&amp;row=543&amp;col=7&amp;number=0&amp;sourceID=14","0")</f>
        <v>0</v>
      </c>
    </row>
    <row r="544" spans="1:7">
      <c r="A544" s="3">
        <v>11</v>
      </c>
      <c r="B544" s="3">
        <v>2</v>
      </c>
      <c r="C544" s="3">
        <v>43</v>
      </c>
      <c r="D544" s="3">
        <v>23</v>
      </c>
      <c r="E544" s="3">
        <v>404.283</v>
      </c>
      <c r="F544" s="4" t="str">
        <f>HYPERLINK("http://141.218.60.56/~jnz1568/getInfo.php?workbook=11_02.xlsx&amp;sheet=A0&amp;row=544&amp;col=6&amp;number=4.352&amp;sourceID=14","4.352")</f>
        <v>4.352</v>
      </c>
      <c r="G544" s="4" t="str">
        <f>HYPERLINK("http://141.218.60.56/~jnz1568/getInfo.php?workbook=11_02.xlsx&amp;sheet=A0&amp;row=544&amp;col=7&amp;number=0&amp;sourceID=14","0")</f>
        <v>0</v>
      </c>
    </row>
    <row r="545" spans="1:7">
      <c r="A545" s="3">
        <v>11</v>
      </c>
      <c r="B545" s="3">
        <v>2</v>
      </c>
      <c r="C545" s="3">
        <v>44</v>
      </c>
      <c r="D545" s="3">
        <v>23</v>
      </c>
      <c r="E545" s="3">
        <v>-405.815</v>
      </c>
      <c r="F545" s="4" t="str">
        <f>HYPERLINK("http://141.218.60.56/~jnz1568/getInfo.php?workbook=11_02.xlsx&amp;sheet=A0&amp;row=545&amp;col=6&amp;number=776200&amp;sourceID=14","776200")</f>
        <v>776200</v>
      </c>
      <c r="G545" s="4" t="str">
        <f>HYPERLINK("http://141.218.60.56/~jnz1568/getInfo.php?workbook=11_02.xlsx&amp;sheet=A0&amp;row=545&amp;col=7&amp;number=0&amp;sourceID=14","0")</f>
        <v>0</v>
      </c>
    </row>
    <row r="546" spans="1:7">
      <c r="A546" s="3">
        <v>11</v>
      </c>
      <c r="B546" s="3">
        <v>2</v>
      </c>
      <c r="C546" s="3">
        <v>46</v>
      </c>
      <c r="D546" s="3">
        <v>23</v>
      </c>
      <c r="E546" s="3">
        <v>404.294</v>
      </c>
      <c r="F546" s="4" t="str">
        <f>HYPERLINK("http://141.218.60.56/~jnz1568/getInfo.php?workbook=11_02.xlsx&amp;sheet=A0&amp;row=546&amp;col=6&amp;number=2930&amp;sourceID=14","2930")</f>
        <v>2930</v>
      </c>
      <c r="G546" s="4" t="str">
        <f>HYPERLINK("http://141.218.60.56/~jnz1568/getInfo.php?workbook=11_02.xlsx&amp;sheet=A0&amp;row=546&amp;col=7&amp;number=0&amp;sourceID=14","0")</f>
        <v>0</v>
      </c>
    </row>
    <row r="547" spans="1:7">
      <c r="A547" s="3">
        <v>11</v>
      </c>
      <c r="B547" s="3">
        <v>2</v>
      </c>
      <c r="C547" s="3">
        <v>49</v>
      </c>
      <c r="D547" s="3">
        <v>23</v>
      </c>
      <c r="E547" s="3">
        <v>403.217</v>
      </c>
      <c r="F547" s="4" t="str">
        <f>HYPERLINK("http://141.218.60.56/~jnz1568/getInfo.php?workbook=11_02.xlsx&amp;sheet=A0&amp;row=547&amp;col=6&amp;number=481000&amp;sourceID=14","481000")</f>
        <v>481000</v>
      </c>
      <c r="G547" s="4" t="str">
        <f>HYPERLINK("http://141.218.60.56/~jnz1568/getInfo.php?workbook=11_02.xlsx&amp;sheet=A0&amp;row=547&amp;col=7&amp;number=0&amp;sourceID=14","0")</f>
        <v>0</v>
      </c>
    </row>
    <row r="548" spans="1:7">
      <c r="A548" s="3">
        <v>11</v>
      </c>
      <c r="B548" s="3">
        <v>2</v>
      </c>
      <c r="C548" s="3">
        <v>26</v>
      </c>
      <c r="D548" s="3">
        <v>24</v>
      </c>
      <c r="E548" s="3">
        <v>242718.891</v>
      </c>
      <c r="F548" s="4" t="str">
        <f>HYPERLINK("http://141.218.60.56/~jnz1568/getInfo.php?workbook=11_02.xlsx&amp;sheet=A0&amp;row=548&amp;col=6&amp;number=19.92&amp;sourceID=14","19.92")</f>
        <v>19.92</v>
      </c>
      <c r="G548" s="4" t="str">
        <f>HYPERLINK("http://141.218.60.56/~jnz1568/getInfo.php?workbook=11_02.xlsx&amp;sheet=A0&amp;row=548&amp;col=7&amp;number=0&amp;sourceID=14","0")</f>
        <v>0</v>
      </c>
    </row>
    <row r="549" spans="1:7">
      <c r="A549" s="3">
        <v>11</v>
      </c>
      <c r="B549" s="3">
        <v>2</v>
      </c>
      <c r="C549" s="3">
        <v>27</v>
      </c>
      <c r="D549" s="3">
        <v>24</v>
      </c>
      <c r="E549" s="3">
        <v>242718.891</v>
      </c>
      <c r="F549" s="4" t="str">
        <f>HYPERLINK("http://141.218.60.56/~jnz1568/getInfo.php?workbook=11_02.xlsx&amp;sheet=A0&amp;row=549&amp;col=6&amp;number=81.45&amp;sourceID=14","81.45")</f>
        <v>81.45</v>
      </c>
      <c r="G549" s="4" t="str">
        <f>HYPERLINK("http://141.218.60.56/~jnz1568/getInfo.php?workbook=11_02.xlsx&amp;sheet=A0&amp;row=549&amp;col=7&amp;number=0&amp;sourceID=14","0")</f>
        <v>0</v>
      </c>
    </row>
    <row r="550" spans="1:7">
      <c r="A550" s="3">
        <v>11</v>
      </c>
      <c r="B550" s="3">
        <v>2</v>
      </c>
      <c r="C550" s="3">
        <v>29</v>
      </c>
      <c r="D550" s="3">
        <v>24</v>
      </c>
      <c r="E550" s="3">
        <v>239808.594</v>
      </c>
      <c r="F550" s="4" t="str">
        <f>HYPERLINK("http://141.218.60.56/~jnz1568/getInfo.php?workbook=11_02.xlsx&amp;sheet=A0&amp;row=550&amp;col=6&amp;number=45.31&amp;sourceID=14","45.31")</f>
        <v>45.31</v>
      </c>
      <c r="G550" s="4" t="str">
        <f>HYPERLINK("http://141.218.60.56/~jnz1568/getInfo.php?workbook=11_02.xlsx&amp;sheet=A0&amp;row=550&amp;col=7&amp;number=0&amp;sourceID=14","0")</f>
        <v>0</v>
      </c>
    </row>
    <row r="551" spans="1:7">
      <c r="A551" s="3">
        <v>11</v>
      </c>
      <c r="B551" s="3">
        <v>2</v>
      </c>
      <c r="C551" s="3">
        <v>31</v>
      </c>
      <c r="D551" s="3">
        <v>24</v>
      </c>
      <c r="E551" s="3">
        <v>57012.648</v>
      </c>
      <c r="F551" s="4" t="str">
        <f>HYPERLINK("http://141.218.60.56/~jnz1568/getInfo.php?workbook=11_02.xlsx&amp;sheet=A0&amp;row=551&amp;col=6&amp;number=1816&amp;sourceID=14","1816")</f>
        <v>1816</v>
      </c>
      <c r="G551" s="4" t="str">
        <f>HYPERLINK("http://141.218.60.56/~jnz1568/getInfo.php?workbook=11_02.xlsx&amp;sheet=A0&amp;row=551&amp;col=7&amp;number=0&amp;sourceID=14","0")</f>
        <v>0</v>
      </c>
    </row>
    <row r="552" spans="1:7">
      <c r="A552" s="3">
        <v>11</v>
      </c>
      <c r="B552" s="3">
        <v>2</v>
      </c>
      <c r="C552" s="3">
        <v>32</v>
      </c>
      <c r="D552" s="3">
        <v>24</v>
      </c>
      <c r="E552" s="3">
        <v>417.977</v>
      </c>
      <c r="F552" s="4" t="str">
        <f>HYPERLINK("http://141.218.60.56/~jnz1568/getInfo.php?workbook=11_02.xlsx&amp;sheet=A0&amp;row=552&amp;col=6&amp;number=112800&amp;sourceID=14","112800")</f>
        <v>112800</v>
      </c>
      <c r="G552" s="4" t="str">
        <f>HYPERLINK("http://141.218.60.56/~jnz1568/getInfo.php?workbook=11_02.xlsx&amp;sheet=A0&amp;row=552&amp;col=7&amp;number=0&amp;sourceID=14","0")</f>
        <v>0</v>
      </c>
    </row>
    <row r="553" spans="1:7">
      <c r="A553" s="3">
        <v>11</v>
      </c>
      <c r="B553" s="3">
        <v>2</v>
      </c>
      <c r="C553" s="3">
        <v>34</v>
      </c>
      <c r="D553" s="3">
        <v>24</v>
      </c>
      <c r="E553" s="3">
        <v>409.434</v>
      </c>
      <c r="F553" s="4" t="str">
        <f>HYPERLINK("http://141.218.60.56/~jnz1568/getInfo.php?workbook=11_02.xlsx&amp;sheet=A0&amp;row=553&amp;col=6&amp;number=1598000000&amp;sourceID=14","1598000000")</f>
        <v>1598000000</v>
      </c>
      <c r="G553" s="4" t="str">
        <f>HYPERLINK("http://141.218.60.56/~jnz1568/getInfo.php?workbook=11_02.xlsx&amp;sheet=A0&amp;row=553&amp;col=7&amp;number=0&amp;sourceID=14","0")</f>
        <v>0</v>
      </c>
    </row>
    <row r="554" spans="1:7">
      <c r="A554" s="3">
        <v>11</v>
      </c>
      <c r="B554" s="3">
        <v>2</v>
      </c>
      <c r="C554" s="3">
        <v>35</v>
      </c>
      <c r="D554" s="3">
        <v>24</v>
      </c>
      <c r="E554" s="3">
        <v>409.178</v>
      </c>
      <c r="F554" s="4" t="str">
        <f>HYPERLINK("http://141.218.60.56/~jnz1568/getInfo.php?workbook=11_02.xlsx&amp;sheet=A0&amp;row=554&amp;col=6&amp;number=312300000&amp;sourceID=14","312300000")</f>
        <v>312300000</v>
      </c>
      <c r="G554" s="4" t="str">
        <f>HYPERLINK("http://141.218.60.56/~jnz1568/getInfo.php?workbook=11_02.xlsx&amp;sheet=A0&amp;row=554&amp;col=7&amp;number=0&amp;sourceID=14","0")</f>
        <v>0</v>
      </c>
    </row>
    <row r="555" spans="1:7">
      <c r="A555" s="3">
        <v>11</v>
      </c>
      <c r="B555" s="3">
        <v>2</v>
      </c>
      <c r="C555" s="3">
        <v>36</v>
      </c>
      <c r="D555" s="3">
        <v>24</v>
      </c>
      <c r="E555" s="3">
        <v>409.452</v>
      </c>
      <c r="F555" s="4" t="str">
        <f>HYPERLINK("http://141.218.60.56/~jnz1568/getInfo.php?workbook=11_02.xlsx&amp;sheet=A0&amp;row=555&amp;col=6&amp;number=12710&amp;sourceID=14","12710")</f>
        <v>12710</v>
      </c>
      <c r="G555" s="4" t="str">
        <f>HYPERLINK("http://141.218.60.56/~jnz1568/getInfo.php?workbook=11_02.xlsx&amp;sheet=A0&amp;row=555&amp;col=7&amp;number=0&amp;sourceID=14","0")</f>
        <v>0</v>
      </c>
    </row>
    <row r="556" spans="1:7">
      <c r="A556" s="3">
        <v>11</v>
      </c>
      <c r="B556" s="3">
        <v>2</v>
      </c>
      <c r="C556" s="3">
        <v>37</v>
      </c>
      <c r="D556" s="3">
        <v>24</v>
      </c>
      <c r="E556" s="3">
        <v>404.649</v>
      </c>
      <c r="F556" s="4" t="str">
        <f>HYPERLINK("http://141.218.60.56/~jnz1568/getInfo.php?workbook=11_02.xlsx&amp;sheet=A0&amp;row=556&amp;col=6&amp;number=149500&amp;sourceID=14","149500")</f>
        <v>149500</v>
      </c>
      <c r="G556" s="4" t="str">
        <f>HYPERLINK("http://141.218.60.56/~jnz1568/getInfo.php?workbook=11_02.xlsx&amp;sheet=A0&amp;row=556&amp;col=7&amp;number=0&amp;sourceID=14","0")</f>
        <v>0</v>
      </c>
    </row>
    <row r="557" spans="1:7">
      <c r="A557" s="3">
        <v>11</v>
      </c>
      <c r="B557" s="3">
        <v>2</v>
      </c>
      <c r="C557" s="3">
        <v>38</v>
      </c>
      <c r="D557" s="3">
        <v>24</v>
      </c>
      <c r="E557" s="3">
        <v>404.649</v>
      </c>
      <c r="F557" s="4" t="str">
        <f>HYPERLINK("http://141.218.60.56/~jnz1568/getInfo.php?workbook=11_02.xlsx&amp;sheet=A0&amp;row=557&amp;col=6&amp;number=71060&amp;sourceID=14","71060")</f>
        <v>71060</v>
      </c>
      <c r="G557" s="4" t="str">
        <f>HYPERLINK("http://141.218.60.56/~jnz1568/getInfo.php?workbook=11_02.xlsx&amp;sheet=A0&amp;row=557&amp;col=7&amp;number=0&amp;sourceID=14","0")</f>
        <v>0</v>
      </c>
    </row>
    <row r="558" spans="1:7">
      <c r="A558" s="3">
        <v>11</v>
      </c>
      <c r="B558" s="3">
        <v>2</v>
      </c>
      <c r="C558" s="3">
        <v>39</v>
      </c>
      <c r="D558" s="3">
        <v>24</v>
      </c>
      <c r="E558" s="3">
        <v>404.649</v>
      </c>
      <c r="F558" s="4" t="str">
        <f>HYPERLINK("http://141.218.60.56/~jnz1568/getInfo.php?workbook=11_02.xlsx&amp;sheet=A0&amp;row=558&amp;col=6&amp;number=73150&amp;sourceID=14","73150")</f>
        <v>73150</v>
      </c>
      <c r="G558" s="4" t="str">
        <f>HYPERLINK("http://141.218.60.56/~jnz1568/getInfo.php?workbook=11_02.xlsx&amp;sheet=A0&amp;row=558&amp;col=7&amp;number=0&amp;sourceID=14","0")</f>
        <v>0</v>
      </c>
    </row>
    <row r="559" spans="1:7">
      <c r="A559" s="3">
        <v>11</v>
      </c>
      <c r="B559" s="3">
        <v>2</v>
      </c>
      <c r="C559" s="3">
        <v>40</v>
      </c>
      <c r="D559" s="3">
        <v>24</v>
      </c>
      <c r="E559" s="3">
        <v>404.289</v>
      </c>
      <c r="F559" s="4" t="str">
        <f>HYPERLINK("http://141.218.60.56/~jnz1568/getInfo.php?workbook=11_02.xlsx&amp;sheet=A0&amp;row=559&amp;col=6&amp;number=3874000000&amp;sourceID=14","3874000000")</f>
        <v>3874000000</v>
      </c>
      <c r="G559" s="4" t="str">
        <f>HYPERLINK("http://141.218.60.56/~jnz1568/getInfo.php?workbook=11_02.xlsx&amp;sheet=A0&amp;row=559&amp;col=7&amp;number=0&amp;sourceID=14","0")</f>
        <v>0</v>
      </c>
    </row>
    <row r="560" spans="1:7">
      <c r="A560" s="3">
        <v>11</v>
      </c>
      <c r="B560" s="3">
        <v>2</v>
      </c>
      <c r="C560" s="3">
        <v>41</v>
      </c>
      <c r="D560" s="3">
        <v>24</v>
      </c>
      <c r="E560" s="3">
        <v>404.289</v>
      </c>
      <c r="F560" s="4" t="str">
        <f>HYPERLINK("http://141.218.60.56/~jnz1568/getInfo.php?workbook=11_02.xlsx&amp;sheet=A0&amp;row=560&amp;col=6&amp;number=18220000000&amp;sourceID=14","18220000000")</f>
        <v>18220000000</v>
      </c>
      <c r="G560" s="4" t="str">
        <f>HYPERLINK("http://141.218.60.56/~jnz1568/getInfo.php?workbook=11_02.xlsx&amp;sheet=A0&amp;row=560&amp;col=7&amp;number=0&amp;sourceID=14","0")</f>
        <v>0</v>
      </c>
    </row>
    <row r="561" spans="1:7">
      <c r="A561" s="3">
        <v>11</v>
      </c>
      <c r="B561" s="3">
        <v>2</v>
      </c>
      <c r="C561" s="3">
        <v>42</v>
      </c>
      <c r="D561" s="3">
        <v>24</v>
      </c>
      <c r="E561" s="3">
        <v>404.289</v>
      </c>
      <c r="F561" s="4" t="str">
        <f>HYPERLINK("http://141.218.60.56/~jnz1568/getInfo.php?workbook=11_02.xlsx&amp;sheet=A0&amp;row=561&amp;col=6&amp;number=1.471&amp;sourceID=14","1.471")</f>
        <v>1.471</v>
      </c>
      <c r="G561" s="4" t="str">
        <f>HYPERLINK("http://141.218.60.56/~jnz1568/getInfo.php?workbook=11_02.xlsx&amp;sheet=A0&amp;row=561&amp;col=7&amp;number=0&amp;sourceID=14","0")</f>
        <v>0</v>
      </c>
    </row>
    <row r="562" spans="1:7">
      <c r="A562" s="3">
        <v>11</v>
      </c>
      <c r="B562" s="3">
        <v>2</v>
      </c>
      <c r="C562" s="3">
        <v>43</v>
      </c>
      <c r="D562" s="3">
        <v>24</v>
      </c>
      <c r="E562" s="3">
        <v>404.283</v>
      </c>
      <c r="F562" s="4" t="str">
        <f>HYPERLINK("http://141.218.60.56/~jnz1568/getInfo.php?workbook=11_02.xlsx&amp;sheet=A0&amp;row=562&amp;col=6&amp;number=4873000000&amp;sourceID=14","4873000000")</f>
        <v>4873000000</v>
      </c>
      <c r="G562" s="4" t="str">
        <f>HYPERLINK("http://141.218.60.56/~jnz1568/getInfo.php?workbook=11_02.xlsx&amp;sheet=A0&amp;row=562&amp;col=7&amp;number=0&amp;sourceID=14","0")</f>
        <v>0</v>
      </c>
    </row>
    <row r="563" spans="1:7">
      <c r="A563" s="3">
        <v>11</v>
      </c>
      <c r="B563" s="3">
        <v>2</v>
      </c>
      <c r="C563" s="3">
        <v>44</v>
      </c>
      <c r="D563" s="3">
        <v>24</v>
      </c>
      <c r="E563" s="3">
        <v>-405.848</v>
      </c>
      <c r="F563" s="4" t="str">
        <f>HYPERLINK("http://141.218.60.56/~jnz1568/getInfo.php?workbook=11_02.xlsx&amp;sheet=A0&amp;row=563&amp;col=6&amp;number=207600&amp;sourceID=14","207600")</f>
        <v>207600</v>
      </c>
      <c r="G563" s="4" t="str">
        <f>HYPERLINK("http://141.218.60.56/~jnz1568/getInfo.php?workbook=11_02.xlsx&amp;sheet=A0&amp;row=563&amp;col=7&amp;number=0&amp;sourceID=14","0")</f>
        <v>0</v>
      </c>
    </row>
    <row r="564" spans="1:7">
      <c r="A564" s="3">
        <v>11</v>
      </c>
      <c r="B564" s="3">
        <v>2</v>
      </c>
      <c r="C564" s="3">
        <v>45</v>
      </c>
      <c r="D564" s="3">
        <v>24</v>
      </c>
      <c r="E564" s="3">
        <v>-405.856</v>
      </c>
      <c r="F564" s="4" t="str">
        <f>HYPERLINK("http://141.218.60.56/~jnz1568/getInfo.php?workbook=11_02.xlsx&amp;sheet=A0&amp;row=564&amp;col=6&amp;number=630300&amp;sourceID=14","630300")</f>
        <v>630300</v>
      </c>
      <c r="G564" s="4" t="str">
        <f>HYPERLINK("http://141.218.60.56/~jnz1568/getInfo.php?workbook=11_02.xlsx&amp;sheet=A0&amp;row=564&amp;col=7&amp;number=0&amp;sourceID=14","0")</f>
        <v>0</v>
      </c>
    </row>
    <row r="565" spans="1:7">
      <c r="A565" s="3">
        <v>11</v>
      </c>
      <c r="B565" s="3">
        <v>2</v>
      </c>
      <c r="C565" s="3">
        <v>46</v>
      </c>
      <c r="D565" s="3">
        <v>24</v>
      </c>
      <c r="E565" s="3">
        <v>404.294</v>
      </c>
      <c r="F565" s="4" t="str">
        <f>HYPERLINK("http://141.218.60.56/~jnz1568/getInfo.php?workbook=11_02.xlsx&amp;sheet=A0&amp;row=565&amp;col=6&amp;number=2773&amp;sourceID=14","2773")</f>
        <v>2773</v>
      </c>
      <c r="G565" s="4" t="str">
        <f>HYPERLINK("http://141.218.60.56/~jnz1568/getInfo.php?workbook=11_02.xlsx&amp;sheet=A0&amp;row=565&amp;col=7&amp;number=0&amp;sourceID=14","0")</f>
        <v>0</v>
      </c>
    </row>
    <row r="566" spans="1:7">
      <c r="A566" s="3">
        <v>11</v>
      </c>
      <c r="B566" s="3">
        <v>2</v>
      </c>
      <c r="C566" s="3">
        <v>48</v>
      </c>
      <c r="D566" s="3">
        <v>24</v>
      </c>
      <c r="E566" s="3">
        <v>-405.809</v>
      </c>
      <c r="F566" s="4" t="str">
        <f>HYPERLINK("http://141.218.60.56/~jnz1568/getInfo.php?workbook=11_02.xlsx&amp;sheet=A0&amp;row=566&amp;col=6&amp;number=214200&amp;sourceID=14","214200")</f>
        <v>214200</v>
      </c>
      <c r="G566" s="4" t="str">
        <f>HYPERLINK("http://141.218.60.56/~jnz1568/getInfo.php?workbook=11_02.xlsx&amp;sheet=A0&amp;row=566&amp;col=7&amp;number=0&amp;sourceID=14","0")</f>
        <v>0</v>
      </c>
    </row>
    <row r="567" spans="1:7">
      <c r="A567" s="3">
        <v>11</v>
      </c>
      <c r="B567" s="3">
        <v>2</v>
      </c>
      <c r="C567" s="3">
        <v>49</v>
      </c>
      <c r="D567" s="3">
        <v>24</v>
      </c>
      <c r="E567" s="3">
        <v>403.217</v>
      </c>
      <c r="F567" s="4" t="str">
        <f>HYPERLINK("http://141.218.60.56/~jnz1568/getInfo.php?workbook=11_02.xlsx&amp;sheet=A0&amp;row=567&amp;col=6&amp;number=49030000&amp;sourceID=14","49030000")</f>
        <v>49030000</v>
      </c>
      <c r="G567" s="4" t="str">
        <f>HYPERLINK("http://141.218.60.56/~jnz1568/getInfo.php?workbook=11_02.xlsx&amp;sheet=A0&amp;row=567&amp;col=7&amp;number=0&amp;sourceID=14","0")</f>
        <v>0</v>
      </c>
    </row>
    <row r="568" spans="1:7">
      <c r="A568" s="3">
        <v>11</v>
      </c>
      <c r="B568" s="3">
        <v>2</v>
      </c>
      <c r="C568" s="3">
        <v>27</v>
      </c>
      <c r="D568" s="3">
        <v>25</v>
      </c>
      <c r="E568" s="3">
        <v>242718.891</v>
      </c>
      <c r="F568" s="4" t="str">
        <f>HYPERLINK("http://141.218.60.56/~jnz1568/getInfo.php?workbook=11_02.xlsx&amp;sheet=A0&amp;row=568&amp;col=6&amp;number=3.12&amp;sourceID=14","3.12")</f>
        <v>3.12</v>
      </c>
      <c r="G568" s="4" t="str">
        <f>HYPERLINK("http://141.218.60.56/~jnz1568/getInfo.php?workbook=11_02.xlsx&amp;sheet=A0&amp;row=568&amp;col=7&amp;number=0&amp;sourceID=14","0")</f>
        <v>0</v>
      </c>
    </row>
    <row r="569" spans="1:7">
      <c r="A569" s="3">
        <v>11</v>
      </c>
      <c r="B569" s="3">
        <v>2</v>
      </c>
      <c r="C569" s="3">
        <v>28</v>
      </c>
      <c r="D569" s="3">
        <v>25</v>
      </c>
      <c r="E569" s="3">
        <v>242718.891</v>
      </c>
      <c r="F569" s="4" t="str">
        <f>HYPERLINK("http://141.218.60.56/~jnz1568/getInfo.php?workbook=11_02.xlsx&amp;sheet=A0&amp;row=569&amp;col=6&amp;number=98.1&amp;sourceID=14","98.1")</f>
        <v>98.1</v>
      </c>
      <c r="G569" s="4" t="str">
        <f>HYPERLINK("http://141.218.60.56/~jnz1568/getInfo.php?workbook=11_02.xlsx&amp;sheet=A0&amp;row=569&amp;col=7&amp;number=0&amp;sourceID=14","0")</f>
        <v>0</v>
      </c>
    </row>
    <row r="570" spans="1:7">
      <c r="A570" s="3">
        <v>11</v>
      </c>
      <c r="B570" s="3">
        <v>2</v>
      </c>
      <c r="C570" s="3">
        <v>29</v>
      </c>
      <c r="D570" s="3">
        <v>25</v>
      </c>
      <c r="E570" s="3">
        <v>239808.594</v>
      </c>
      <c r="F570" s="4" t="str">
        <f>HYPERLINK("http://141.218.60.56/~jnz1568/getInfo.php?workbook=11_02.xlsx&amp;sheet=A0&amp;row=570&amp;col=6&amp;number=5.144&amp;sourceID=14","5.144")</f>
        <v>5.144</v>
      </c>
      <c r="G570" s="4" t="str">
        <f>HYPERLINK("http://141.218.60.56/~jnz1568/getInfo.php?workbook=11_02.xlsx&amp;sheet=A0&amp;row=570&amp;col=7&amp;number=0&amp;sourceID=14","0")</f>
        <v>0</v>
      </c>
    </row>
    <row r="571" spans="1:7">
      <c r="A571" s="3">
        <v>11</v>
      </c>
      <c r="B571" s="3">
        <v>2</v>
      </c>
      <c r="C571" s="3">
        <v>32</v>
      </c>
      <c r="D571" s="3">
        <v>25</v>
      </c>
      <c r="E571" s="3">
        <v>417.977</v>
      </c>
      <c r="F571" s="4" t="str">
        <f>HYPERLINK("http://141.218.60.56/~jnz1568/getInfo.php?workbook=11_02.xlsx&amp;sheet=A0&amp;row=571&amp;col=6&amp;number=164100&amp;sourceID=14","164100")</f>
        <v>164100</v>
      </c>
      <c r="G571" s="4" t="str">
        <f>HYPERLINK("http://141.218.60.56/~jnz1568/getInfo.php?workbook=11_02.xlsx&amp;sheet=A0&amp;row=571&amp;col=7&amp;number=0&amp;sourceID=14","0")</f>
        <v>0</v>
      </c>
    </row>
    <row r="572" spans="1:7">
      <c r="A572" s="3">
        <v>11</v>
      </c>
      <c r="B572" s="3">
        <v>2</v>
      </c>
      <c r="C572" s="3">
        <v>35</v>
      </c>
      <c r="D572" s="3">
        <v>25</v>
      </c>
      <c r="E572" s="3">
        <v>409.178</v>
      </c>
      <c r="F572" s="4" t="str">
        <f>HYPERLINK("http://141.218.60.56/~jnz1568/getInfo.php?workbook=11_02.xlsx&amp;sheet=A0&amp;row=572&amp;col=6&amp;number=1821000000&amp;sourceID=14","1821000000")</f>
        <v>1821000000</v>
      </c>
      <c r="G572" s="4" t="str">
        <f>HYPERLINK("http://141.218.60.56/~jnz1568/getInfo.php?workbook=11_02.xlsx&amp;sheet=A0&amp;row=572&amp;col=7&amp;number=0&amp;sourceID=14","0")</f>
        <v>0</v>
      </c>
    </row>
    <row r="573" spans="1:7">
      <c r="A573" s="3">
        <v>11</v>
      </c>
      <c r="B573" s="3">
        <v>2</v>
      </c>
      <c r="C573" s="3">
        <v>37</v>
      </c>
      <c r="D573" s="3">
        <v>25</v>
      </c>
      <c r="E573" s="3">
        <v>404.649</v>
      </c>
      <c r="F573" s="4" t="str">
        <f>HYPERLINK("http://141.218.60.56/~jnz1568/getInfo.php?workbook=11_02.xlsx&amp;sheet=A0&amp;row=573&amp;col=6&amp;number=17680&amp;sourceID=14","17680")</f>
        <v>17680</v>
      </c>
      <c r="G573" s="4" t="str">
        <f>HYPERLINK("http://141.218.60.56/~jnz1568/getInfo.php?workbook=11_02.xlsx&amp;sheet=A0&amp;row=573&amp;col=7&amp;number=0&amp;sourceID=14","0")</f>
        <v>0</v>
      </c>
    </row>
    <row r="574" spans="1:7">
      <c r="A574" s="3">
        <v>11</v>
      </c>
      <c r="B574" s="3">
        <v>2</v>
      </c>
      <c r="C574" s="3">
        <v>38</v>
      </c>
      <c r="D574" s="3">
        <v>25</v>
      </c>
      <c r="E574" s="3">
        <v>404.649</v>
      </c>
      <c r="F574" s="4" t="str">
        <f>HYPERLINK("http://141.218.60.56/~jnz1568/getInfo.php?workbook=11_02.xlsx&amp;sheet=A0&amp;row=574&amp;col=6&amp;number=103000&amp;sourceID=14","103000")</f>
        <v>103000</v>
      </c>
      <c r="G574" s="4" t="str">
        <f>HYPERLINK("http://141.218.60.56/~jnz1568/getInfo.php?workbook=11_02.xlsx&amp;sheet=A0&amp;row=574&amp;col=7&amp;number=0&amp;sourceID=14","0")</f>
        <v>0</v>
      </c>
    </row>
    <row r="575" spans="1:7">
      <c r="A575" s="3">
        <v>11</v>
      </c>
      <c r="B575" s="3">
        <v>2</v>
      </c>
      <c r="C575" s="3">
        <v>39</v>
      </c>
      <c r="D575" s="3">
        <v>25</v>
      </c>
      <c r="E575" s="3">
        <v>404.649</v>
      </c>
      <c r="F575" s="4" t="str">
        <f>HYPERLINK("http://141.218.60.56/~jnz1568/getInfo.php?workbook=11_02.xlsx&amp;sheet=A0&amp;row=575&amp;col=6&amp;number=182200&amp;sourceID=14","182200")</f>
        <v>182200</v>
      </c>
      <c r="G575" s="4" t="str">
        <f>HYPERLINK("http://141.218.60.56/~jnz1568/getInfo.php?workbook=11_02.xlsx&amp;sheet=A0&amp;row=575&amp;col=7&amp;number=0&amp;sourceID=14","0")</f>
        <v>0</v>
      </c>
    </row>
    <row r="576" spans="1:7">
      <c r="A576" s="3">
        <v>11</v>
      </c>
      <c r="B576" s="3">
        <v>2</v>
      </c>
      <c r="C576" s="3">
        <v>40</v>
      </c>
      <c r="D576" s="3">
        <v>25</v>
      </c>
      <c r="E576" s="3">
        <v>404.289</v>
      </c>
      <c r="F576" s="4" t="str">
        <f>HYPERLINK("http://141.218.60.56/~jnz1568/getInfo.php?workbook=11_02.xlsx&amp;sheet=A0&amp;row=576&amp;col=6&amp;number=114800000&amp;sourceID=14","114800000")</f>
        <v>114800000</v>
      </c>
      <c r="G576" s="4" t="str">
        <f>HYPERLINK("http://141.218.60.56/~jnz1568/getInfo.php?workbook=11_02.xlsx&amp;sheet=A0&amp;row=576&amp;col=7&amp;number=0&amp;sourceID=14","0")</f>
        <v>0</v>
      </c>
    </row>
    <row r="577" spans="1:7">
      <c r="A577" s="3">
        <v>11</v>
      </c>
      <c r="B577" s="3">
        <v>2</v>
      </c>
      <c r="C577" s="3">
        <v>41</v>
      </c>
      <c r="D577" s="3">
        <v>25</v>
      </c>
      <c r="E577" s="3">
        <v>404.289</v>
      </c>
      <c r="F577" s="4" t="str">
        <f>HYPERLINK("http://141.218.60.56/~jnz1568/getInfo.php?workbook=11_02.xlsx&amp;sheet=A0&amp;row=577&amp;col=6&amp;number=1732000000&amp;sourceID=14","1732000000")</f>
        <v>1732000000</v>
      </c>
      <c r="G577" s="4" t="str">
        <f>HYPERLINK("http://141.218.60.56/~jnz1568/getInfo.php?workbook=11_02.xlsx&amp;sheet=A0&amp;row=577&amp;col=7&amp;number=0&amp;sourceID=14","0")</f>
        <v>0</v>
      </c>
    </row>
    <row r="578" spans="1:7">
      <c r="A578" s="3">
        <v>11</v>
      </c>
      <c r="B578" s="3">
        <v>2</v>
      </c>
      <c r="C578" s="3">
        <v>42</v>
      </c>
      <c r="D578" s="3">
        <v>25</v>
      </c>
      <c r="E578" s="3">
        <v>404.289</v>
      </c>
      <c r="F578" s="4" t="str">
        <f>HYPERLINK("http://141.218.60.56/~jnz1568/getInfo.php?workbook=11_02.xlsx&amp;sheet=A0&amp;row=578&amp;col=6&amp;number=25850000000&amp;sourceID=14","25850000000")</f>
        <v>25850000000</v>
      </c>
      <c r="G578" s="4" t="str">
        <f>HYPERLINK("http://141.218.60.56/~jnz1568/getInfo.php?workbook=11_02.xlsx&amp;sheet=A0&amp;row=578&amp;col=7&amp;number=0&amp;sourceID=14","0")</f>
        <v>0</v>
      </c>
    </row>
    <row r="579" spans="1:7">
      <c r="A579" s="3">
        <v>11</v>
      </c>
      <c r="B579" s="3">
        <v>2</v>
      </c>
      <c r="C579" s="3">
        <v>43</v>
      </c>
      <c r="D579" s="3">
        <v>25</v>
      </c>
      <c r="E579" s="3">
        <v>404.283</v>
      </c>
      <c r="F579" s="4" t="str">
        <f>HYPERLINK("http://141.218.60.56/~jnz1568/getInfo.php?workbook=11_02.xlsx&amp;sheet=A0&amp;row=579&amp;col=6&amp;number=1141000000&amp;sourceID=14","1141000000")</f>
        <v>1141000000</v>
      </c>
      <c r="G579" s="4" t="str">
        <f>HYPERLINK("http://141.218.60.56/~jnz1568/getInfo.php?workbook=11_02.xlsx&amp;sheet=A0&amp;row=579&amp;col=7&amp;number=0&amp;sourceID=14","0")</f>
        <v>0</v>
      </c>
    </row>
    <row r="580" spans="1:7">
      <c r="A580" s="3">
        <v>11</v>
      </c>
      <c r="B580" s="3">
        <v>2</v>
      </c>
      <c r="C580" s="3">
        <v>44</v>
      </c>
      <c r="D580" s="3">
        <v>25</v>
      </c>
      <c r="E580" s="3">
        <v>-405.997</v>
      </c>
      <c r="F580" s="4" t="str">
        <f>HYPERLINK("http://141.218.60.56/~jnz1568/getInfo.php?workbook=11_02.xlsx&amp;sheet=A0&amp;row=580&amp;col=6&amp;number=14350&amp;sourceID=14","14350")</f>
        <v>14350</v>
      </c>
      <c r="G580" s="4" t="str">
        <f>HYPERLINK("http://141.218.60.56/~jnz1568/getInfo.php?workbook=11_02.xlsx&amp;sheet=A0&amp;row=580&amp;col=7&amp;number=0&amp;sourceID=14","0")</f>
        <v>0</v>
      </c>
    </row>
    <row r="581" spans="1:7">
      <c r="A581" s="3">
        <v>11</v>
      </c>
      <c r="B581" s="3">
        <v>2</v>
      </c>
      <c r="C581" s="3">
        <v>45</v>
      </c>
      <c r="D581" s="3">
        <v>25</v>
      </c>
      <c r="E581" s="3">
        <v>-406.005</v>
      </c>
      <c r="F581" s="4" t="str">
        <f>HYPERLINK("http://141.218.60.56/~jnz1568/getInfo.php?workbook=11_02.xlsx&amp;sheet=A0&amp;row=581&amp;col=6&amp;number=91530&amp;sourceID=14","91530")</f>
        <v>91530</v>
      </c>
      <c r="G581" s="4" t="str">
        <f>HYPERLINK("http://141.218.60.56/~jnz1568/getInfo.php?workbook=11_02.xlsx&amp;sheet=A0&amp;row=581&amp;col=7&amp;number=0&amp;sourceID=14","0")</f>
        <v>0</v>
      </c>
    </row>
    <row r="582" spans="1:7">
      <c r="A582" s="3">
        <v>11</v>
      </c>
      <c r="B582" s="3">
        <v>2</v>
      </c>
      <c r="C582" s="3">
        <v>46</v>
      </c>
      <c r="D582" s="3">
        <v>25</v>
      </c>
      <c r="E582" s="3">
        <v>404.294</v>
      </c>
      <c r="F582" s="4" t="str">
        <f>HYPERLINK("http://141.218.60.56/~jnz1568/getInfo.php?workbook=11_02.xlsx&amp;sheet=A0&amp;row=582&amp;col=6&amp;number=3340&amp;sourceID=14","3340")</f>
        <v>3340</v>
      </c>
      <c r="G582" s="4" t="str">
        <f>HYPERLINK("http://141.218.60.56/~jnz1568/getInfo.php?workbook=11_02.xlsx&amp;sheet=A0&amp;row=582&amp;col=7&amp;number=0&amp;sourceID=14","0")</f>
        <v>0</v>
      </c>
    </row>
    <row r="583" spans="1:7">
      <c r="A583" s="3">
        <v>11</v>
      </c>
      <c r="B583" s="3">
        <v>2</v>
      </c>
      <c r="C583" s="3">
        <v>47</v>
      </c>
      <c r="D583" s="3">
        <v>25</v>
      </c>
      <c r="E583" s="3">
        <v>-405.965</v>
      </c>
      <c r="F583" s="4" t="str">
        <f>HYPERLINK("http://141.218.60.56/~jnz1568/getInfo.php?workbook=11_02.xlsx&amp;sheet=A0&amp;row=583&amp;col=6&amp;number=1005000&amp;sourceID=14","1005000")</f>
        <v>1005000</v>
      </c>
      <c r="G583" s="4" t="str">
        <f>HYPERLINK("http://141.218.60.56/~jnz1568/getInfo.php?workbook=11_02.xlsx&amp;sheet=A0&amp;row=583&amp;col=7&amp;number=0&amp;sourceID=14","0")</f>
        <v>0</v>
      </c>
    </row>
    <row r="584" spans="1:7">
      <c r="A584" s="3">
        <v>11</v>
      </c>
      <c r="B584" s="3">
        <v>2</v>
      </c>
      <c r="C584" s="3">
        <v>48</v>
      </c>
      <c r="D584" s="3">
        <v>25</v>
      </c>
      <c r="E584" s="3">
        <v>-405.957</v>
      </c>
      <c r="F584" s="4" t="str">
        <f>HYPERLINK("http://141.218.60.56/~jnz1568/getInfo.php?workbook=11_02.xlsx&amp;sheet=A0&amp;row=584&amp;col=6&amp;number=75900&amp;sourceID=14","75900")</f>
        <v>75900</v>
      </c>
      <c r="G584" s="4" t="str">
        <f>HYPERLINK("http://141.218.60.56/~jnz1568/getInfo.php?workbook=11_02.xlsx&amp;sheet=A0&amp;row=584&amp;col=7&amp;number=0&amp;sourceID=14","0")</f>
        <v>0</v>
      </c>
    </row>
    <row r="585" spans="1:7">
      <c r="A585" s="3">
        <v>11</v>
      </c>
      <c r="B585" s="3">
        <v>2</v>
      </c>
      <c r="C585" s="3">
        <v>32</v>
      </c>
      <c r="D585" s="3">
        <v>26</v>
      </c>
      <c r="E585" s="3">
        <v>418.698</v>
      </c>
      <c r="F585" s="4" t="str">
        <f>HYPERLINK("http://141.218.60.56/~jnz1568/getInfo.php?workbook=11_02.xlsx&amp;sheet=A0&amp;row=585&amp;col=6&amp;number=28.02&amp;sourceID=14","28.02")</f>
        <v>28.02</v>
      </c>
      <c r="G585" s="4" t="str">
        <f>HYPERLINK("http://141.218.60.56/~jnz1568/getInfo.php?workbook=11_02.xlsx&amp;sheet=A0&amp;row=585&amp;col=7&amp;number=0&amp;sourceID=14","0")</f>
        <v>0</v>
      </c>
    </row>
    <row r="586" spans="1:7">
      <c r="A586" s="3">
        <v>11</v>
      </c>
      <c r="B586" s="3">
        <v>2</v>
      </c>
      <c r="C586" s="3">
        <v>33</v>
      </c>
      <c r="D586" s="3">
        <v>26</v>
      </c>
      <c r="E586" s="3">
        <v>410.188</v>
      </c>
      <c r="F586" s="4" t="str">
        <f>HYPERLINK("http://141.218.60.56/~jnz1568/getInfo.php?workbook=11_02.xlsx&amp;sheet=A0&amp;row=586&amp;col=6&amp;number=49660&amp;sourceID=14","49660")</f>
        <v>49660</v>
      </c>
      <c r="G586" s="4" t="str">
        <f>HYPERLINK("http://141.218.60.56/~jnz1568/getInfo.php?workbook=11_02.xlsx&amp;sheet=A0&amp;row=586&amp;col=7&amp;number=0&amp;sourceID=14","0")</f>
        <v>0</v>
      </c>
    </row>
    <row r="587" spans="1:7">
      <c r="A587" s="3">
        <v>11</v>
      </c>
      <c r="B587" s="3">
        <v>2</v>
      </c>
      <c r="C587" s="3">
        <v>34</v>
      </c>
      <c r="D587" s="3">
        <v>26</v>
      </c>
      <c r="E587" s="3">
        <v>410.126</v>
      </c>
      <c r="F587" s="4" t="str">
        <f>HYPERLINK("http://141.218.60.56/~jnz1568/getInfo.php?workbook=11_02.xlsx&amp;sheet=A0&amp;row=587&amp;col=6&amp;number=16540&amp;sourceID=14","16540")</f>
        <v>16540</v>
      </c>
      <c r="G587" s="4" t="str">
        <f>HYPERLINK("http://141.218.60.56/~jnz1568/getInfo.php?workbook=11_02.xlsx&amp;sheet=A0&amp;row=587&amp;col=7&amp;number=0&amp;sourceID=14","0")</f>
        <v>0</v>
      </c>
    </row>
    <row r="588" spans="1:7">
      <c r="A588" s="3">
        <v>11</v>
      </c>
      <c r="B588" s="3">
        <v>2</v>
      </c>
      <c r="C588" s="3">
        <v>35</v>
      </c>
      <c r="D588" s="3">
        <v>26</v>
      </c>
      <c r="E588" s="3">
        <v>409.869</v>
      </c>
      <c r="F588" s="4" t="str">
        <f>HYPERLINK("http://141.218.60.56/~jnz1568/getInfo.php?workbook=11_02.xlsx&amp;sheet=A0&amp;row=588&amp;col=6&amp;number=1414&amp;sourceID=14","1414")</f>
        <v>1414</v>
      </c>
      <c r="G588" s="4" t="str">
        <f>HYPERLINK("http://141.218.60.56/~jnz1568/getInfo.php?workbook=11_02.xlsx&amp;sheet=A0&amp;row=588&amp;col=7&amp;number=0&amp;sourceID=14","0")</f>
        <v>0</v>
      </c>
    </row>
    <row r="589" spans="1:7">
      <c r="A589" s="3">
        <v>11</v>
      </c>
      <c r="B589" s="3">
        <v>2</v>
      </c>
      <c r="C589" s="3">
        <v>37</v>
      </c>
      <c r="D589" s="3">
        <v>26</v>
      </c>
      <c r="E589" s="3">
        <v>405.325</v>
      </c>
      <c r="F589" s="4" t="str">
        <f>HYPERLINK("http://141.218.60.56/~jnz1568/getInfo.php?workbook=11_02.xlsx&amp;sheet=A0&amp;row=589&amp;col=6&amp;number=513200000&amp;sourceID=14","513200000")</f>
        <v>513200000</v>
      </c>
      <c r="G589" s="4" t="str">
        <f>HYPERLINK("http://141.218.60.56/~jnz1568/getInfo.php?workbook=11_02.xlsx&amp;sheet=A0&amp;row=589&amp;col=7&amp;number=0&amp;sourceID=14","0")</f>
        <v>0</v>
      </c>
    </row>
    <row r="590" spans="1:7">
      <c r="A590" s="3">
        <v>11</v>
      </c>
      <c r="B590" s="3">
        <v>2</v>
      </c>
      <c r="C590" s="3">
        <v>38</v>
      </c>
      <c r="D590" s="3">
        <v>26</v>
      </c>
      <c r="E590" s="3">
        <v>405.325</v>
      </c>
      <c r="F590" s="4" t="str">
        <f>HYPERLINK("http://141.218.60.56/~jnz1568/getInfo.php?workbook=11_02.xlsx&amp;sheet=A0&amp;row=590&amp;col=6&amp;number=55250000&amp;sourceID=14","55250000")</f>
        <v>55250000</v>
      </c>
      <c r="G590" s="4" t="str">
        <f>HYPERLINK("http://141.218.60.56/~jnz1568/getInfo.php?workbook=11_02.xlsx&amp;sheet=A0&amp;row=590&amp;col=7&amp;number=0&amp;sourceID=14","0")</f>
        <v>0</v>
      </c>
    </row>
    <row r="591" spans="1:7">
      <c r="A591" s="3">
        <v>11</v>
      </c>
      <c r="B591" s="3">
        <v>2</v>
      </c>
      <c r="C591" s="3">
        <v>39</v>
      </c>
      <c r="D591" s="3">
        <v>26</v>
      </c>
      <c r="E591" s="3">
        <v>405.325</v>
      </c>
      <c r="F591" s="4" t="str">
        <f>HYPERLINK("http://141.218.60.56/~jnz1568/getInfo.php?workbook=11_02.xlsx&amp;sheet=A0&amp;row=591&amp;col=6&amp;number=1150000&amp;sourceID=14","1150000")</f>
        <v>1150000</v>
      </c>
      <c r="G591" s="4" t="str">
        <f>HYPERLINK("http://141.218.60.56/~jnz1568/getInfo.php?workbook=11_02.xlsx&amp;sheet=A0&amp;row=591&amp;col=7&amp;number=0&amp;sourceID=14","0")</f>
        <v>0</v>
      </c>
    </row>
    <row r="592" spans="1:7">
      <c r="A592" s="3">
        <v>11</v>
      </c>
      <c r="B592" s="3">
        <v>2</v>
      </c>
      <c r="C592" s="3">
        <v>40</v>
      </c>
      <c r="D592" s="3">
        <v>26</v>
      </c>
      <c r="E592" s="3">
        <v>404.964</v>
      </c>
      <c r="F592" s="4" t="str">
        <f>HYPERLINK("http://141.218.60.56/~jnz1568/getInfo.php?workbook=11_02.xlsx&amp;sheet=A0&amp;row=592&amp;col=6&amp;number=104900&amp;sourceID=14","104900")</f>
        <v>104900</v>
      </c>
      <c r="G592" s="4" t="str">
        <f>HYPERLINK("http://141.218.60.56/~jnz1568/getInfo.php?workbook=11_02.xlsx&amp;sheet=A0&amp;row=592&amp;col=7&amp;number=0&amp;sourceID=14","0")</f>
        <v>0</v>
      </c>
    </row>
    <row r="593" spans="1:7">
      <c r="A593" s="3">
        <v>11</v>
      </c>
      <c r="B593" s="3">
        <v>2</v>
      </c>
      <c r="C593" s="3">
        <v>41</v>
      </c>
      <c r="D593" s="3">
        <v>26</v>
      </c>
      <c r="E593" s="3">
        <v>404.964</v>
      </c>
      <c r="F593" s="4" t="str">
        <f>HYPERLINK("http://141.218.60.56/~jnz1568/getInfo.php?workbook=11_02.xlsx&amp;sheet=A0&amp;row=593&amp;col=6&amp;number=19780&amp;sourceID=14","19780")</f>
        <v>19780</v>
      </c>
      <c r="G593" s="4" t="str">
        <f>HYPERLINK("http://141.218.60.56/~jnz1568/getInfo.php?workbook=11_02.xlsx&amp;sheet=A0&amp;row=593&amp;col=7&amp;number=0&amp;sourceID=14","0")</f>
        <v>0</v>
      </c>
    </row>
    <row r="594" spans="1:7">
      <c r="A594" s="3">
        <v>11</v>
      </c>
      <c r="B594" s="3">
        <v>2</v>
      </c>
      <c r="C594" s="3">
        <v>42</v>
      </c>
      <c r="D594" s="3">
        <v>26</v>
      </c>
      <c r="E594" s="3">
        <v>404.964</v>
      </c>
      <c r="F594" s="4" t="str">
        <f>HYPERLINK("http://141.218.60.56/~jnz1568/getInfo.php?workbook=11_02.xlsx&amp;sheet=A0&amp;row=594&amp;col=6&amp;number=1210&amp;sourceID=14","1210")</f>
        <v>1210</v>
      </c>
      <c r="G594" s="4" t="str">
        <f>HYPERLINK("http://141.218.60.56/~jnz1568/getInfo.php?workbook=11_02.xlsx&amp;sheet=A0&amp;row=594&amp;col=7&amp;number=0&amp;sourceID=14","0")</f>
        <v>0</v>
      </c>
    </row>
    <row r="595" spans="1:7">
      <c r="A595" s="3">
        <v>11</v>
      </c>
      <c r="B595" s="3">
        <v>2</v>
      </c>
      <c r="C595" s="3">
        <v>43</v>
      </c>
      <c r="D595" s="3">
        <v>26</v>
      </c>
      <c r="E595" s="3">
        <v>404.957</v>
      </c>
      <c r="F595" s="4" t="str">
        <f>HYPERLINK("http://141.218.60.56/~jnz1568/getInfo.php?workbook=11_02.xlsx&amp;sheet=A0&amp;row=595&amp;col=6&amp;number=13030&amp;sourceID=14","13030")</f>
        <v>13030</v>
      </c>
      <c r="G595" s="4" t="str">
        <f>HYPERLINK("http://141.218.60.56/~jnz1568/getInfo.php?workbook=11_02.xlsx&amp;sheet=A0&amp;row=595&amp;col=7&amp;number=0&amp;sourceID=14","0")</f>
        <v>0</v>
      </c>
    </row>
    <row r="596" spans="1:7">
      <c r="A596" s="3">
        <v>11</v>
      </c>
      <c r="B596" s="3">
        <v>2</v>
      </c>
      <c r="C596" s="3">
        <v>44</v>
      </c>
      <c r="D596" s="3">
        <v>26</v>
      </c>
      <c r="E596" s="3">
        <v>-404.944</v>
      </c>
      <c r="F596" s="4" t="str">
        <f>HYPERLINK("http://141.218.60.56/~jnz1568/getInfo.php?workbook=11_02.xlsx&amp;sheet=A0&amp;row=596&amp;col=6&amp;number=39100000000&amp;sourceID=14","39100000000")</f>
        <v>39100000000</v>
      </c>
      <c r="G596" s="4" t="str">
        <f>HYPERLINK("http://141.218.60.56/~jnz1568/getInfo.php?workbook=11_02.xlsx&amp;sheet=A0&amp;row=596&amp;col=7&amp;number=0&amp;sourceID=14","0")</f>
        <v>0</v>
      </c>
    </row>
    <row r="597" spans="1:7">
      <c r="A597" s="3">
        <v>11</v>
      </c>
      <c r="B597" s="3">
        <v>2</v>
      </c>
      <c r="C597" s="3">
        <v>45</v>
      </c>
      <c r="D597" s="3">
        <v>26</v>
      </c>
      <c r="E597" s="3">
        <v>-404.952</v>
      </c>
      <c r="F597" s="4" t="str">
        <f>HYPERLINK("http://141.218.60.56/~jnz1568/getInfo.php?workbook=11_02.xlsx&amp;sheet=A0&amp;row=597&amp;col=6&amp;number=1.295&amp;sourceID=14","1.295")</f>
        <v>1.295</v>
      </c>
      <c r="G597" s="4" t="str">
        <f>HYPERLINK("http://141.218.60.56/~jnz1568/getInfo.php?workbook=11_02.xlsx&amp;sheet=A0&amp;row=597&amp;col=7&amp;number=0&amp;sourceID=14","0")</f>
        <v>0</v>
      </c>
    </row>
    <row r="598" spans="1:7">
      <c r="A598" s="3">
        <v>11</v>
      </c>
      <c r="B598" s="3">
        <v>2</v>
      </c>
      <c r="C598" s="3">
        <v>46</v>
      </c>
      <c r="D598" s="3">
        <v>26</v>
      </c>
      <c r="E598" s="3">
        <v>404.969</v>
      </c>
      <c r="F598" s="4" t="str">
        <f>HYPERLINK("http://141.218.60.56/~jnz1568/getInfo.php?workbook=11_02.xlsx&amp;sheet=A0&amp;row=598&amp;col=6&amp;number=1761000&amp;sourceID=14","1761000")</f>
        <v>1761000</v>
      </c>
      <c r="G598" s="4" t="str">
        <f>HYPERLINK("http://141.218.60.56/~jnz1568/getInfo.php?workbook=11_02.xlsx&amp;sheet=A0&amp;row=598&amp;col=7&amp;number=0&amp;sourceID=14","0")</f>
        <v>0</v>
      </c>
    </row>
    <row r="599" spans="1:7">
      <c r="A599" s="3">
        <v>11</v>
      </c>
      <c r="B599" s="3">
        <v>2</v>
      </c>
      <c r="C599" s="3">
        <v>48</v>
      </c>
      <c r="D599" s="3">
        <v>26</v>
      </c>
      <c r="E599" s="3">
        <v>-404.905</v>
      </c>
      <c r="F599" s="4" t="str">
        <f>HYPERLINK("http://141.218.60.56/~jnz1568/getInfo.php?workbook=11_02.xlsx&amp;sheet=A0&amp;row=599&amp;col=6&amp;number=8.035&amp;sourceID=14","8.035")</f>
        <v>8.035</v>
      </c>
      <c r="G599" s="4" t="str">
        <f>HYPERLINK("http://141.218.60.56/~jnz1568/getInfo.php?workbook=11_02.xlsx&amp;sheet=A0&amp;row=599&amp;col=7&amp;number=0&amp;sourceID=14","0")</f>
        <v>0</v>
      </c>
    </row>
    <row r="600" spans="1:7">
      <c r="A600" s="3">
        <v>11</v>
      </c>
      <c r="B600" s="3">
        <v>2</v>
      </c>
      <c r="C600" s="3">
        <v>49</v>
      </c>
      <c r="D600" s="3">
        <v>26</v>
      </c>
      <c r="E600" s="3">
        <v>403.888</v>
      </c>
      <c r="F600" s="4" t="str">
        <f>HYPERLINK("http://141.218.60.56/~jnz1568/getInfo.php?workbook=11_02.xlsx&amp;sheet=A0&amp;row=600&amp;col=6&amp;number=16.91&amp;sourceID=14","16.91")</f>
        <v>16.91</v>
      </c>
      <c r="G600" s="4" t="str">
        <f>HYPERLINK("http://141.218.60.56/~jnz1568/getInfo.php?workbook=11_02.xlsx&amp;sheet=A0&amp;row=600&amp;col=7&amp;number=0&amp;sourceID=14","0")</f>
        <v>0</v>
      </c>
    </row>
    <row r="601" spans="1:7">
      <c r="A601" s="3">
        <v>11</v>
      </c>
      <c r="B601" s="3">
        <v>2</v>
      </c>
      <c r="C601" s="3">
        <v>34</v>
      </c>
      <c r="D601" s="3">
        <v>27</v>
      </c>
      <c r="E601" s="3">
        <v>410.126</v>
      </c>
      <c r="F601" s="4" t="str">
        <f>HYPERLINK("http://141.218.60.56/~jnz1568/getInfo.php?workbook=11_02.xlsx&amp;sheet=A0&amp;row=601&amp;col=6&amp;number=20750&amp;sourceID=14","20750")</f>
        <v>20750</v>
      </c>
      <c r="G601" s="4" t="str">
        <f>HYPERLINK("http://141.218.60.56/~jnz1568/getInfo.php?workbook=11_02.xlsx&amp;sheet=A0&amp;row=601&amp;col=7&amp;number=0&amp;sourceID=14","0")</f>
        <v>0</v>
      </c>
    </row>
    <row r="602" spans="1:7">
      <c r="A602" s="3">
        <v>11</v>
      </c>
      <c r="B602" s="3">
        <v>2</v>
      </c>
      <c r="C602" s="3">
        <v>35</v>
      </c>
      <c r="D602" s="3">
        <v>27</v>
      </c>
      <c r="E602" s="3">
        <v>409.869</v>
      </c>
      <c r="F602" s="4" t="str">
        <f>HYPERLINK("http://141.218.60.56/~jnz1568/getInfo.php?workbook=11_02.xlsx&amp;sheet=A0&amp;row=602&amp;col=6&amp;number=5807&amp;sourceID=14","5807")</f>
        <v>5807</v>
      </c>
      <c r="G602" s="4" t="str">
        <f>HYPERLINK("http://141.218.60.56/~jnz1568/getInfo.php?workbook=11_02.xlsx&amp;sheet=A0&amp;row=602&amp;col=7&amp;number=0&amp;sourceID=14","0")</f>
        <v>0</v>
      </c>
    </row>
    <row r="603" spans="1:7">
      <c r="A603" s="3">
        <v>11</v>
      </c>
      <c r="B603" s="3">
        <v>2</v>
      </c>
      <c r="C603" s="3">
        <v>38</v>
      </c>
      <c r="D603" s="3">
        <v>27</v>
      </c>
      <c r="E603" s="3">
        <v>405.325</v>
      </c>
      <c r="F603" s="4" t="str">
        <f>HYPERLINK("http://141.218.60.56/~jnz1568/getInfo.php?workbook=11_02.xlsx&amp;sheet=A0&amp;row=603&amp;col=6&amp;number=348600000&amp;sourceID=14","348600000")</f>
        <v>348600000</v>
      </c>
      <c r="G603" s="4" t="str">
        <f>HYPERLINK("http://141.218.60.56/~jnz1568/getInfo.php?workbook=11_02.xlsx&amp;sheet=A0&amp;row=603&amp;col=7&amp;number=0&amp;sourceID=14","0")</f>
        <v>0</v>
      </c>
    </row>
    <row r="604" spans="1:7">
      <c r="A604" s="3">
        <v>11</v>
      </c>
      <c r="B604" s="3">
        <v>2</v>
      </c>
      <c r="C604" s="3">
        <v>39</v>
      </c>
      <c r="D604" s="3">
        <v>27</v>
      </c>
      <c r="E604" s="3">
        <v>405.325</v>
      </c>
      <c r="F604" s="4" t="str">
        <f>HYPERLINK("http://141.218.60.56/~jnz1568/getInfo.php?workbook=11_02.xlsx&amp;sheet=A0&amp;row=604&amp;col=6&amp;number=23780000&amp;sourceID=14","23780000")</f>
        <v>23780000</v>
      </c>
      <c r="G604" s="4" t="str">
        <f>HYPERLINK("http://141.218.60.56/~jnz1568/getInfo.php?workbook=11_02.xlsx&amp;sheet=A0&amp;row=604&amp;col=7&amp;number=0&amp;sourceID=14","0")</f>
        <v>0</v>
      </c>
    </row>
    <row r="605" spans="1:7">
      <c r="A605" s="3">
        <v>11</v>
      </c>
      <c r="B605" s="3">
        <v>2</v>
      </c>
      <c r="C605" s="3">
        <v>40</v>
      </c>
      <c r="D605" s="3">
        <v>27</v>
      </c>
      <c r="E605" s="3">
        <v>404.964</v>
      </c>
      <c r="F605" s="4" t="str">
        <f>HYPERLINK("http://141.218.60.56/~jnz1568/getInfo.php?workbook=11_02.xlsx&amp;sheet=A0&amp;row=605&amp;col=6&amp;number=26950&amp;sourceID=14","26950")</f>
        <v>26950</v>
      </c>
      <c r="G605" s="4" t="str">
        <f>HYPERLINK("http://141.218.60.56/~jnz1568/getInfo.php?workbook=11_02.xlsx&amp;sheet=A0&amp;row=605&amp;col=7&amp;number=0&amp;sourceID=14","0")</f>
        <v>0</v>
      </c>
    </row>
    <row r="606" spans="1:7">
      <c r="A606" s="3">
        <v>11</v>
      </c>
      <c r="B606" s="3">
        <v>2</v>
      </c>
      <c r="C606" s="3">
        <v>41</v>
      </c>
      <c r="D606" s="3">
        <v>27</v>
      </c>
      <c r="E606" s="3">
        <v>404.964</v>
      </c>
      <c r="F606" s="4" t="str">
        <f>HYPERLINK("http://141.218.60.56/~jnz1568/getInfo.php?workbook=11_02.xlsx&amp;sheet=A0&amp;row=606&amp;col=6&amp;number=110800&amp;sourceID=14","110800")</f>
        <v>110800</v>
      </c>
      <c r="G606" s="4" t="str">
        <f>HYPERLINK("http://141.218.60.56/~jnz1568/getInfo.php?workbook=11_02.xlsx&amp;sheet=A0&amp;row=606&amp;col=7&amp;number=0&amp;sourceID=14","0")</f>
        <v>0</v>
      </c>
    </row>
    <row r="607" spans="1:7">
      <c r="A607" s="3">
        <v>11</v>
      </c>
      <c r="B607" s="3">
        <v>2</v>
      </c>
      <c r="C607" s="3">
        <v>42</v>
      </c>
      <c r="D607" s="3">
        <v>27</v>
      </c>
      <c r="E607" s="3">
        <v>404.964</v>
      </c>
      <c r="F607" s="4" t="str">
        <f>HYPERLINK("http://141.218.60.56/~jnz1568/getInfo.php?workbook=11_02.xlsx&amp;sheet=A0&amp;row=607&amp;col=6&amp;number=15600&amp;sourceID=14","15600")</f>
        <v>15600</v>
      </c>
      <c r="G607" s="4" t="str">
        <f>HYPERLINK("http://141.218.60.56/~jnz1568/getInfo.php?workbook=11_02.xlsx&amp;sheet=A0&amp;row=607&amp;col=7&amp;number=0&amp;sourceID=14","0")</f>
        <v>0</v>
      </c>
    </row>
    <row r="608" spans="1:7">
      <c r="A608" s="3">
        <v>11</v>
      </c>
      <c r="B608" s="3">
        <v>2</v>
      </c>
      <c r="C608" s="3">
        <v>43</v>
      </c>
      <c r="D608" s="3">
        <v>27</v>
      </c>
      <c r="E608" s="3">
        <v>404.957</v>
      </c>
      <c r="F608" s="4" t="str">
        <f>HYPERLINK("http://141.218.60.56/~jnz1568/getInfo.php?workbook=11_02.xlsx&amp;sheet=A0&amp;row=608&amp;col=6&amp;number=2863&amp;sourceID=14","2863")</f>
        <v>2863</v>
      </c>
      <c r="G608" s="4" t="str">
        <f>HYPERLINK("http://141.218.60.56/~jnz1568/getInfo.php?workbook=11_02.xlsx&amp;sheet=A0&amp;row=608&amp;col=7&amp;number=0&amp;sourceID=14","0")</f>
        <v>0</v>
      </c>
    </row>
    <row r="609" spans="1:7">
      <c r="A609" s="3">
        <v>11</v>
      </c>
      <c r="B609" s="3">
        <v>2</v>
      </c>
      <c r="C609" s="3">
        <v>44</v>
      </c>
      <c r="D609" s="3">
        <v>27</v>
      </c>
      <c r="E609" s="3">
        <v>-404.92</v>
      </c>
      <c r="F609" s="4" t="str">
        <f>HYPERLINK("http://141.218.60.56/~jnz1568/getInfo.php?workbook=11_02.xlsx&amp;sheet=A0&amp;row=609&amp;col=6&amp;number=2009000000&amp;sourceID=14","2009000000")</f>
        <v>2009000000</v>
      </c>
      <c r="G609" s="4" t="str">
        <f>HYPERLINK("http://141.218.60.56/~jnz1568/getInfo.php?workbook=11_02.xlsx&amp;sheet=A0&amp;row=609&amp;col=7&amp;number=0&amp;sourceID=14","0")</f>
        <v>0</v>
      </c>
    </row>
    <row r="610" spans="1:7">
      <c r="A610" s="3">
        <v>11</v>
      </c>
      <c r="B610" s="3">
        <v>2</v>
      </c>
      <c r="C610" s="3">
        <v>45</v>
      </c>
      <c r="D610" s="3">
        <v>27</v>
      </c>
      <c r="E610" s="3">
        <v>-404.928</v>
      </c>
      <c r="F610" s="4" t="str">
        <f>HYPERLINK("http://141.218.60.56/~jnz1568/getInfo.php?workbook=11_02.xlsx&amp;sheet=A0&amp;row=610&amp;col=6&amp;number=40990000000&amp;sourceID=14","40990000000")</f>
        <v>40990000000</v>
      </c>
      <c r="G610" s="4" t="str">
        <f>HYPERLINK("http://141.218.60.56/~jnz1568/getInfo.php?workbook=11_02.xlsx&amp;sheet=A0&amp;row=610&amp;col=7&amp;number=0&amp;sourceID=14","0")</f>
        <v>0</v>
      </c>
    </row>
    <row r="611" spans="1:7">
      <c r="A611" s="3">
        <v>11</v>
      </c>
      <c r="B611" s="3">
        <v>2</v>
      </c>
      <c r="C611" s="3">
        <v>46</v>
      </c>
      <c r="D611" s="3">
        <v>27</v>
      </c>
      <c r="E611" s="3">
        <v>404.969</v>
      </c>
      <c r="F611" s="4" t="str">
        <f>HYPERLINK("http://141.218.60.56/~jnz1568/getInfo.php?workbook=11_02.xlsx&amp;sheet=A0&amp;row=611&amp;col=6&amp;number=128200000&amp;sourceID=14","128200000")</f>
        <v>128200000</v>
      </c>
      <c r="G611" s="4" t="str">
        <f>HYPERLINK("http://141.218.60.56/~jnz1568/getInfo.php?workbook=11_02.xlsx&amp;sheet=A0&amp;row=611&amp;col=7&amp;number=0&amp;sourceID=14","0")</f>
        <v>0</v>
      </c>
    </row>
    <row r="612" spans="1:7">
      <c r="A612" s="3">
        <v>11</v>
      </c>
      <c r="B612" s="3">
        <v>2</v>
      </c>
      <c r="C612" s="3">
        <v>47</v>
      </c>
      <c r="D612" s="3">
        <v>27</v>
      </c>
      <c r="E612" s="3">
        <v>-404.889</v>
      </c>
      <c r="F612" s="4" t="str">
        <f>HYPERLINK("http://141.218.60.56/~jnz1568/getInfo.php?workbook=11_02.xlsx&amp;sheet=A0&amp;row=612&amp;col=6&amp;number=8.559&amp;sourceID=14","8.559")</f>
        <v>8.559</v>
      </c>
      <c r="G612" s="4" t="str">
        <f>HYPERLINK("http://141.218.60.56/~jnz1568/getInfo.php?workbook=11_02.xlsx&amp;sheet=A0&amp;row=612&amp;col=7&amp;number=0&amp;sourceID=14","0")</f>
        <v>0</v>
      </c>
    </row>
    <row r="613" spans="1:7">
      <c r="A613" s="3">
        <v>11</v>
      </c>
      <c r="B613" s="3">
        <v>2</v>
      </c>
      <c r="C613" s="3">
        <v>48</v>
      </c>
      <c r="D613" s="3">
        <v>27</v>
      </c>
      <c r="E613" s="3">
        <v>-404.88</v>
      </c>
      <c r="F613" s="4" t="str">
        <f>HYPERLINK("http://141.218.60.56/~jnz1568/getInfo.php?workbook=11_02.xlsx&amp;sheet=A0&amp;row=613&amp;col=6&amp;number=25180000&amp;sourceID=14","25180000")</f>
        <v>25180000</v>
      </c>
      <c r="G613" s="4" t="str">
        <f>HYPERLINK("http://141.218.60.56/~jnz1568/getInfo.php?workbook=11_02.xlsx&amp;sheet=A0&amp;row=613&amp;col=7&amp;number=0&amp;sourceID=14","0")</f>
        <v>0</v>
      </c>
    </row>
    <row r="614" spans="1:7">
      <c r="A614" s="3">
        <v>11</v>
      </c>
      <c r="B614" s="3">
        <v>2</v>
      </c>
      <c r="C614" s="3">
        <v>49</v>
      </c>
      <c r="D614" s="3">
        <v>27</v>
      </c>
      <c r="E614" s="3">
        <v>403.888</v>
      </c>
      <c r="F614" s="4" t="str">
        <f>HYPERLINK("http://141.218.60.56/~jnz1568/getInfo.php?workbook=11_02.xlsx&amp;sheet=A0&amp;row=614&amp;col=6&amp;number=18150&amp;sourceID=14","18150")</f>
        <v>18150</v>
      </c>
      <c r="G614" s="4" t="str">
        <f>HYPERLINK("http://141.218.60.56/~jnz1568/getInfo.php?workbook=11_02.xlsx&amp;sheet=A0&amp;row=614&amp;col=7&amp;number=0&amp;sourceID=14","0")</f>
        <v>0</v>
      </c>
    </row>
    <row r="615" spans="1:7">
      <c r="A615" s="3">
        <v>11</v>
      </c>
      <c r="B615" s="3">
        <v>2</v>
      </c>
      <c r="C615" s="3">
        <v>35</v>
      </c>
      <c r="D615" s="3">
        <v>28</v>
      </c>
      <c r="E615" s="3">
        <v>409.869</v>
      </c>
      <c r="F615" s="4" t="str">
        <f>HYPERLINK("http://141.218.60.56/~jnz1568/getInfo.php?workbook=11_02.xlsx&amp;sheet=A0&amp;row=615&amp;col=6&amp;number=38180&amp;sourceID=14","38180")</f>
        <v>38180</v>
      </c>
      <c r="G615" s="4" t="str">
        <f>HYPERLINK("http://141.218.60.56/~jnz1568/getInfo.php?workbook=11_02.xlsx&amp;sheet=A0&amp;row=615&amp;col=7&amp;number=0&amp;sourceID=14","0")</f>
        <v>0</v>
      </c>
    </row>
    <row r="616" spans="1:7">
      <c r="A616" s="3">
        <v>11</v>
      </c>
      <c r="B616" s="3">
        <v>2</v>
      </c>
      <c r="C616" s="3">
        <v>39</v>
      </c>
      <c r="D616" s="3">
        <v>28</v>
      </c>
      <c r="E616" s="3">
        <v>405.325</v>
      </c>
      <c r="F616" s="4" t="str">
        <f>HYPERLINK("http://141.218.60.56/~jnz1568/getInfo.php?workbook=11_02.xlsx&amp;sheet=A0&amp;row=616&amp;col=6&amp;number=470000000&amp;sourceID=14","470000000")</f>
        <v>470000000</v>
      </c>
      <c r="G616" s="4" t="str">
        <f>HYPERLINK("http://141.218.60.56/~jnz1568/getInfo.php?workbook=11_02.xlsx&amp;sheet=A0&amp;row=616&amp;col=7&amp;number=0&amp;sourceID=14","0")</f>
        <v>0</v>
      </c>
    </row>
    <row r="617" spans="1:7">
      <c r="A617" s="3">
        <v>11</v>
      </c>
      <c r="B617" s="3">
        <v>2</v>
      </c>
      <c r="C617" s="3">
        <v>40</v>
      </c>
      <c r="D617" s="3">
        <v>28</v>
      </c>
      <c r="E617" s="3">
        <v>404.964</v>
      </c>
      <c r="F617" s="4" t="str">
        <f>HYPERLINK("http://141.218.60.56/~jnz1568/getInfo.php?workbook=11_02.xlsx&amp;sheet=A0&amp;row=617&amp;col=6&amp;number=2184&amp;sourceID=14","2184")</f>
        <v>2184</v>
      </c>
      <c r="G617" s="4" t="str">
        <f>HYPERLINK("http://141.218.60.56/~jnz1568/getInfo.php?workbook=11_02.xlsx&amp;sheet=A0&amp;row=617&amp;col=7&amp;number=0&amp;sourceID=14","0")</f>
        <v>0</v>
      </c>
    </row>
    <row r="618" spans="1:7">
      <c r="A618" s="3">
        <v>11</v>
      </c>
      <c r="B618" s="3">
        <v>2</v>
      </c>
      <c r="C618" s="3">
        <v>41</v>
      </c>
      <c r="D618" s="3">
        <v>28</v>
      </c>
      <c r="E618" s="3">
        <v>404.964</v>
      </c>
      <c r="F618" s="4" t="str">
        <f>HYPERLINK("http://141.218.60.56/~jnz1568/getInfo.php?workbook=11_02.xlsx&amp;sheet=A0&amp;row=618&amp;col=6&amp;number=20580&amp;sourceID=14","20580")</f>
        <v>20580</v>
      </c>
      <c r="G618" s="4" t="str">
        <f>HYPERLINK("http://141.218.60.56/~jnz1568/getInfo.php?workbook=11_02.xlsx&amp;sheet=A0&amp;row=618&amp;col=7&amp;number=0&amp;sourceID=14","0")</f>
        <v>0</v>
      </c>
    </row>
    <row r="619" spans="1:7">
      <c r="A619" s="3">
        <v>11</v>
      </c>
      <c r="B619" s="3">
        <v>2</v>
      </c>
      <c r="C619" s="3">
        <v>42</v>
      </c>
      <c r="D619" s="3">
        <v>28</v>
      </c>
      <c r="E619" s="3">
        <v>404.964</v>
      </c>
      <c r="F619" s="4" t="str">
        <f>HYPERLINK("http://141.218.60.56/~jnz1568/getInfo.php?workbook=11_02.xlsx&amp;sheet=A0&amp;row=619&amp;col=6&amp;number=125200&amp;sourceID=14","125200")</f>
        <v>125200</v>
      </c>
      <c r="G619" s="4" t="str">
        <f>HYPERLINK("http://141.218.60.56/~jnz1568/getInfo.php?workbook=11_02.xlsx&amp;sheet=A0&amp;row=619&amp;col=7&amp;number=0&amp;sourceID=14","0")</f>
        <v>0</v>
      </c>
    </row>
    <row r="620" spans="1:7">
      <c r="A620" s="3">
        <v>11</v>
      </c>
      <c r="B620" s="3">
        <v>2</v>
      </c>
      <c r="C620" s="3">
        <v>43</v>
      </c>
      <c r="D620" s="3">
        <v>28</v>
      </c>
      <c r="E620" s="3">
        <v>404.957</v>
      </c>
      <c r="F620" s="4" t="str">
        <f>HYPERLINK("http://141.218.60.56/~jnz1568/getInfo.php?workbook=11_02.xlsx&amp;sheet=A0&amp;row=620&amp;col=6&amp;number=13560&amp;sourceID=14","13560")</f>
        <v>13560</v>
      </c>
      <c r="G620" s="4" t="str">
        <f>HYPERLINK("http://141.218.60.56/~jnz1568/getInfo.php?workbook=11_02.xlsx&amp;sheet=A0&amp;row=620&amp;col=7&amp;number=0&amp;sourceID=14","0")</f>
        <v>0</v>
      </c>
    </row>
    <row r="621" spans="1:7">
      <c r="A621" s="3">
        <v>11</v>
      </c>
      <c r="B621" s="3">
        <v>2</v>
      </c>
      <c r="C621" s="3">
        <v>44</v>
      </c>
      <c r="D621" s="3">
        <v>28</v>
      </c>
      <c r="E621" s="3">
        <v>-405.044</v>
      </c>
      <c r="F621" s="4" t="str">
        <f>HYPERLINK("http://141.218.60.56/~jnz1568/getInfo.php?workbook=11_02.xlsx&amp;sheet=A0&amp;row=621&amp;col=6&amp;number=54290000&amp;sourceID=14","54290000")</f>
        <v>54290000</v>
      </c>
      <c r="G621" s="4" t="str">
        <f>HYPERLINK("http://141.218.60.56/~jnz1568/getInfo.php?workbook=11_02.xlsx&amp;sheet=A0&amp;row=621&amp;col=7&amp;number=0&amp;sourceID=14","0")</f>
        <v>0</v>
      </c>
    </row>
    <row r="622" spans="1:7">
      <c r="A622" s="3">
        <v>11</v>
      </c>
      <c r="B622" s="3">
        <v>2</v>
      </c>
      <c r="C622" s="3">
        <v>45</v>
      </c>
      <c r="D622" s="3">
        <v>28</v>
      </c>
      <c r="E622" s="3">
        <v>-405.053</v>
      </c>
      <c r="F622" s="4" t="str">
        <f>HYPERLINK("http://141.218.60.56/~jnz1568/getInfo.php?workbook=11_02.xlsx&amp;sheet=A0&amp;row=622&amp;col=6&amp;number=1454000000&amp;sourceID=14","1454000000")</f>
        <v>1454000000</v>
      </c>
      <c r="G622" s="4" t="str">
        <f>HYPERLINK("http://141.218.60.56/~jnz1568/getInfo.php?workbook=11_02.xlsx&amp;sheet=A0&amp;row=622&amp;col=7&amp;number=0&amp;sourceID=14","0")</f>
        <v>0</v>
      </c>
    </row>
    <row r="623" spans="1:7">
      <c r="A623" s="3">
        <v>11</v>
      </c>
      <c r="B623" s="3">
        <v>2</v>
      </c>
      <c r="C623" s="3">
        <v>47</v>
      </c>
      <c r="D623" s="3">
        <v>28</v>
      </c>
      <c r="E623" s="3">
        <v>-405.013</v>
      </c>
      <c r="F623" s="4" t="str">
        <f>HYPERLINK("http://141.218.60.56/~jnz1568/getInfo.php?workbook=11_02.xlsx&amp;sheet=A0&amp;row=623&amp;col=6&amp;number=42570000000&amp;sourceID=14","42570000000")</f>
        <v>42570000000</v>
      </c>
      <c r="G623" s="4" t="str">
        <f>HYPERLINK("http://141.218.60.56/~jnz1568/getInfo.php?workbook=11_02.xlsx&amp;sheet=A0&amp;row=623&amp;col=7&amp;number=0&amp;sourceID=14","0")</f>
        <v>0</v>
      </c>
    </row>
    <row r="624" spans="1:7">
      <c r="A624" s="3">
        <v>11</v>
      </c>
      <c r="B624" s="3">
        <v>2</v>
      </c>
      <c r="C624" s="3">
        <v>48</v>
      </c>
      <c r="D624" s="3">
        <v>28</v>
      </c>
      <c r="E624" s="3">
        <v>-405.005</v>
      </c>
      <c r="F624" s="4" t="str">
        <f>HYPERLINK("http://141.218.60.56/~jnz1568/getInfo.php?workbook=11_02.xlsx&amp;sheet=A0&amp;row=624&amp;col=6&amp;number=1206000000&amp;sourceID=14","1206000000")</f>
        <v>1206000000</v>
      </c>
      <c r="G624" s="4" t="str">
        <f>HYPERLINK("http://141.218.60.56/~jnz1568/getInfo.php?workbook=11_02.xlsx&amp;sheet=A0&amp;row=624&amp;col=7&amp;number=0&amp;sourceID=14","0")</f>
        <v>0</v>
      </c>
    </row>
    <row r="625" spans="1:7">
      <c r="A625" s="3">
        <v>11</v>
      </c>
      <c r="B625" s="3">
        <v>2</v>
      </c>
      <c r="C625" s="3">
        <v>34</v>
      </c>
      <c r="D625" s="3">
        <v>29</v>
      </c>
      <c r="E625" s="3">
        <v>410.134</v>
      </c>
      <c r="F625" s="4" t="str">
        <f>HYPERLINK("http://141.218.60.56/~jnz1568/getInfo.php?workbook=11_02.xlsx&amp;sheet=A0&amp;row=625&amp;col=6&amp;number=12350&amp;sourceID=14","12350")</f>
        <v>12350</v>
      </c>
      <c r="G625" s="4" t="str">
        <f>HYPERLINK("http://141.218.60.56/~jnz1568/getInfo.php?workbook=11_02.xlsx&amp;sheet=A0&amp;row=625&amp;col=7&amp;number=0&amp;sourceID=14","0")</f>
        <v>0</v>
      </c>
    </row>
    <row r="626" spans="1:7">
      <c r="A626" s="3">
        <v>11</v>
      </c>
      <c r="B626" s="3">
        <v>2</v>
      </c>
      <c r="C626" s="3">
        <v>35</v>
      </c>
      <c r="D626" s="3">
        <v>29</v>
      </c>
      <c r="E626" s="3">
        <v>409.877</v>
      </c>
      <c r="F626" s="4" t="str">
        <f>HYPERLINK("http://141.218.60.56/~jnz1568/getInfo.php?workbook=11_02.xlsx&amp;sheet=A0&amp;row=626&amp;col=6&amp;number=4088&amp;sourceID=14","4088")</f>
        <v>4088</v>
      </c>
      <c r="G626" s="4" t="str">
        <f>HYPERLINK("http://141.218.60.56/~jnz1568/getInfo.php?workbook=11_02.xlsx&amp;sheet=A0&amp;row=626&amp;col=7&amp;number=0&amp;sourceID=14","0")</f>
        <v>0</v>
      </c>
    </row>
    <row r="627" spans="1:7">
      <c r="A627" s="3">
        <v>11</v>
      </c>
      <c r="B627" s="3">
        <v>2</v>
      </c>
      <c r="C627" s="3">
        <v>38</v>
      </c>
      <c r="D627" s="3">
        <v>29</v>
      </c>
      <c r="E627" s="3">
        <v>405.333</v>
      </c>
      <c r="F627" s="4" t="str">
        <f>HYPERLINK("http://141.218.60.56/~jnz1568/getInfo.php?workbook=11_02.xlsx&amp;sheet=A0&amp;row=627&amp;col=6&amp;number=108900000&amp;sourceID=14","108900000")</f>
        <v>108900000</v>
      </c>
      <c r="G627" s="4" t="str">
        <f>HYPERLINK("http://141.218.60.56/~jnz1568/getInfo.php?workbook=11_02.xlsx&amp;sheet=A0&amp;row=627&amp;col=7&amp;number=0&amp;sourceID=14","0")</f>
        <v>0</v>
      </c>
    </row>
    <row r="628" spans="1:7">
      <c r="A628" s="3">
        <v>11</v>
      </c>
      <c r="B628" s="3">
        <v>2</v>
      </c>
      <c r="C628" s="3">
        <v>39</v>
      </c>
      <c r="D628" s="3">
        <v>29</v>
      </c>
      <c r="E628" s="3">
        <v>405.333</v>
      </c>
      <c r="F628" s="4" t="str">
        <f>HYPERLINK("http://141.218.60.56/~jnz1568/getInfo.php?workbook=11_02.xlsx&amp;sheet=A0&amp;row=628&amp;col=6&amp;number=16780000&amp;sourceID=14","16780000")</f>
        <v>16780000</v>
      </c>
      <c r="G628" s="4" t="str">
        <f>HYPERLINK("http://141.218.60.56/~jnz1568/getInfo.php?workbook=11_02.xlsx&amp;sheet=A0&amp;row=628&amp;col=7&amp;number=0&amp;sourceID=14","0")</f>
        <v>0</v>
      </c>
    </row>
    <row r="629" spans="1:7">
      <c r="A629" s="3">
        <v>11</v>
      </c>
      <c r="B629" s="3">
        <v>2</v>
      </c>
      <c r="C629" s="3">
        <v>40</v>
      </c>
      <c r="D629" s="3">
        <v>29</v>
      </c>
      <c r="E629" s="3">
        <v>404.972</v>
      </c>
      <c r="F629" s="4" t="str">
        <f>HYPERLINK("http://141.218.60.56/~jnz1568/getInfo.php?workbook=11_02.xlsx&amp;sheet=A0&amp;row=629&amp;col=6&amp;number=18950&amp;sourceID=14","18950")</f>
        <v>18950</v>
      </c>
      <c r="G629" s="4" t="str">
        <f>HYPERLINK("http://141.218.60.56/~jnz1568/getInfo.php?workbook=11_02.xlsx&amp;sheet=A0&amp;row=629&amp;col=7&amp;number=0&amp;sourceID=14","0")</f>
        <v>0</v>
      </c>
    </row>
    <row r="630" spans="1:7">
      <c r="A630" s="3">
        <v>11</v>
      </c>
      <c r="B630" s="3">
        <v>2</v>
      </c>
      <c r="C630" s="3">
        <v>41</v>
      </c>
      <c r="D630" s="3">
        <v>29</v>
      </c>
      <c r="E630" s="3">
        <v>404.972</v>
      </c>
      <c r="F630" s="4" t="str">
        <f>HYPERLINK("http://141.218.60.56/~jnz1568/getInfo.php?workbook=11_02.xlsx&amp;sheet=A0&amp;row=630&amp;col=6&amp;number=1807&amp;sourceID=14","1807")</f>
        <v>1807</v>
      </c>
      <c r="G630" s="4" t="str">
        <f>HYPERLINK("http://141.218.60.56/~jnz1568/getInfo.php?workbook=11_02.xlsx&amp;sheet=A0&amp;row=630&amp;col=7&amp;number=0&amp;sourceID=14","0")</f>
        <v>0</v>
      </c>
    </row>
    <row r="631" spans="1:7">
      <c r="A631" s="3">
        <v>11</v>
      </c>
      <c r="B631" s="3">
        <v>2</v>
      </c>
      <c r="C631" s="3">
        <v>42</v>
      </c>
      <c r="D631" s="3">
        <v>29</v>
      </c>
      <c r="E631" s="3">
        <v>404.972</v>
      </c>
      <c r="F631" s="4" t="str">
        <f>HYPERLINK("http://141.218.60.56/~jnz1568/getInfo.php?workbook=11_02.xlsx&amp;sheet=A0&amp;row=631&amp;col=6&amp;number=10960&amp;sourceID=14","10960")</f>
        <v>10960</v>
      </c>
      <c r="G631" s="4" t="str">
        <f>HYPERLINK("http://141.218.60.56/~jnz1568/getInfo.php?workbook=11_02.xlsx&amp;sheet=A0&amp;row=631&amp;col=7&amp;number=0&amp;sourceID=14","0")</f>
        <v>0</v>
      </c>
    </row>
    <row r="632" spans="1:7">
      <c r="A632" s="3">
        <v>11</v>
      </c>
      <c r="B632" s="3">
        <v>2</v>
      </c>
      <c r="C632" s="3">
        <v>43</v>
      </c>
      <c r="D632" s="3">
        <v>29</v>
      </c>
      <c r="E632" s="3">
        <v>404.966</v>
      </c>
      <c r="F632" s="4" t="str">
        <f>HYPERLINK("http://141.218.60.56/~jnz1568/getInfo.php?workbook=11_02.xlsx&amp;sheet=A0&amp;row=632&amp;col=6&amp;number=123500&amp;sourceID=14","123500")</f>
        <v>123500</v>
      </c>
      <c r="G632" s="4" t="str">
        <f>HYPERLINK("http://141.218.60.56/~jnz1568/getInfo.php?workbook=11_02.xlsx&amp;sheet=A0&amp;row=632&amp;col=7&amp;number=0&amp;sourceID=14","0")</f>
        <v>0</v>
      </c>
    </row>
    <row r="633" spans="1:7">
      <c r="A633" s="3">
        <v>11</v>
      </c>
      <c r="B633" s="3">
        <v>2</v>
      </c>
      <c r="C633" s="3">
        <v>44</v>
      </c>
      <c r="D633" s="3">
        <v>29</v>
      </c>
      <c r="E633" s="3">
        <v>-405.072</v>
      </c>
      <c r="F633" s="4" t="str">
        <f>HYPERLINK("http://141.218.60.56/~jnz1568/getInfo.php?workbook=11_02.xlsx&amp;sheet=A0&amp;row=633&amp;col=6&amp;number=1412000000&amp;sourceID=14","1412000000")</f>
        <v>1412000000</v>
      </c>
      <c r="G633" s="4" t="str">
        <f>HYPERLINK("http://141.218.60.56/~jnz1568/getInfo.php?workbook=11_02.xlsx&amp;sheet=A0&amp;row=633&amp;col=7&amp;number=0&amp;sourceID=14","0")</f>
        <v>0</v>
      </c>
    </row>
    <row r="634" spans="1:7">
      <c r="A634" s="3">
        <v>11</v>
      </c>
      <c r="B634" s="3">
        <v>2</v>
      </c>
      <c r="C634" s="3">
        <v>45</v>
      </c>
      <c r="D634" s="3">
        <v>29</v>
      </c>
      <c r="E634" s="3">
        <v>-405.08</v>
      </c>
      <c r="F634" s="4" t="str">
        <f>HYPERLINK("http://141.218.60.56/~jnz1568/getInfo.php?workbook=11_02.xlsx&amp;sheet=A0&amp;row=634&amp;col=6&amp;number=132500000&amp;sourceID=14","132500000")</f>
        <v>132500000</v>
      </c>
      <c r="G634" s="4" t="str">
        <f>HYPERLINK("http://141.218.60.56/~jnz1568/getInfo.php?workbook=11_02.xlsx&amp;sheet=A0&amp;row=634&amp;col=7&amp;number=0&amp;sourceID=14","0")</f>
        <v>0</v>
      </c>
    </row>
    <row r="635" spans="1:7">
      <c r="A635" s="3">
        <v>11</v>
      </c>
      <c r="B635" s="3">
        <v>2</v>
      </c>
      <c r="C635" s="3">
        <v>46</v>
      </c>
      <c r="D635" s="3">
        <v>29</v>
      </c>
      <c r="E635" s="3">
        <v>404.977</v>
      </c>
      <c r="F635" s="4" t="str">
        <f>HYPERLINK("http://141.218.60.56/~jnz1568/getInfo.php?workbook=11_02.xlsx&amp;sheet=A0&amp;row=635&amp;col=6&amp;number=375400000&amp;sourceID=14","375400000")</f>
        <v>375400000</v>
      </c>
      <c r="G635" s="4" t="str">
        <f>HYPERLINK("http://141.218.60.56/~jnz1568/getInfo.php?workbook=11_02.xlsx&amp;sheet=A0&amp;row=635&amp;col=7&amp;number=0&amp;sourceID=14","0")</f>
        <v>0</v>
      </c>
    </row>
    <row r="636" spans="1:7">
      <c r="A636" s="3">
        <v>11</v>
      </c>
      <c r="B636" s="3">
        <v>2</v>
      </c>
      <c r="C636" s="3">
        <v>47</v>
      </c>
      <c r="D636" s="3">
        <v>29</v>
      </c>
      <c r="E636" s="3">
        <v>-405.041</v>
      </c>
      <c r="F636" s="4" t="str">
        <f>HYPERLINK("http://141.218.60.56/~jnz1568/getInfo.php?workbook=11_02.xlsx&amp;sheet=A0&amp;row=636&amp;col=6&amp;number=3.864&amp;sourceID=14","3.864")</f>
        <v>3.864</v>
      </c>
      <c r="G636" s="4" t="str">
        <f>HYPERLINK("http://141.218.60.56/~jnz1568/getInfo.php?workbook=11_02.xlsx&amp;sheet=A0&amp;row=636&amp;col=7&amp;number=0&amp;sourceID=14","0")</f>
        <v>0</v>
      </c>
    </row>
    <row r="637" spans="1:7">
      <c r="A637" s="3">
        <v>11</v>
      </c>
      <c r="B637" s="3">
        <v>2</v>
      </c>
      <c r="C637" s="3">
        <v>48</v>
      </c>
      <c r="D637" s="3">
        <v>29</v>
      </c>
      <c r="E637" s="3">
        <v>-405.033</v>
      </c>
      <c r="F637" s="4" t="str">
        <f>HYPERLINK("http://141.218.60.56/~jnz1568/getInfo.php?workbook=11_02.xlsx&amp;sheet=A0&amp;row=637&amp;col=6&amp;number=41330000000&amp;sourceID=14","41330000000")</f>
        <v>41330000000</v>
      </c>
      <c r="G637" s="4" t="str">
        <f>HYPERLINK("http://141.218.60.56/~jnz1568/getInfo.php?workbook=11_02.xlsx&amp;sheet=A0&amp;row=637&amp;col=7&amp;number=0&amp;sourceID=14","0")</f>
        <v>0</v>
      </c>
    </row>
    <row r="638" spans="1:7">
      <c r="A638" s="3">
        <v>11</v>
      </c>
      <c r="B638" s="3">
        <v>2</v>
      </c>
      <c r="C638" s="3">
        <v>49</v>
      </c>
      <c r="D638" s="3">
        <v>29</v>
      </c>
      <c r="E638" s="3">
        <v>403.896</v>
      </c>
      <c r="F638" s="4" t="str">
        <f>HYPERLINK("http://141.218.60.56/~jnz1568/getInfo.php?workbook=11_02.xlsx&amp;sheet=A0&amp;row=638&amp;col=6&amp;number=28830&amp;sourceID=14","28830")</f>
        <v>28830</v>
      </c>
      <c r="G638" s="4" t="str">
        <f>HYPERLINK("http://141.218.60.56/~jnz1568/getInfo.php?workbook=11_02.xlsx&amp;sheet=A0&amp;row=638&amp;col=7&amp;number=0&amp;sourceID=14","0")</f>
        <v>0</v>
      </c>
    </row>
    <row r="639" spans="1:7">
      <c r="A639" s="3">
        <v>11</v>
      </c>
      <c r="B639" s="3">
        <v>2</v>
      </c>
      <c r="C639" s="3">
        <v>31</v>
      </c>
      <c r="D639" s="3">
        <v>30</v>
      </c>
      <c r="E639" s="3">
        <v>72674.555</v>
      </c>
      <c r="F639" s="4" t="str">
        <f>HYPERLINK("http://141.218.60.56/~jnz1568/getInfo.php?workbook=11_02.xlsx&amp;sheet=A0&amp;row=639&amp;col=6&amp;number=32850&amp;sourceID=14","32850")</f>
        <v>32850</v>
      </c>
      <c r="G639" s="4" t="str">
        <f>HYPERLINK("http://141.218.60.56/~jnz1568/getInfo.php?workbook=11_02.xlsx&amp;sheet=A0&amp;row=639&amp;col=7&amp;number=0&amp;sourceID=14","0")</f>
        <v>0</v>
      </c>
    </row>
    <row r="640" spans="1:7">
      <c r="A640" s="3">
        <v>11</v>
      </c>
      <c r="B640" s="3">
        <v>2</v>
      </c>
      <c r="C640" s="3">
        <v>32</v>
      </c>
      <c r="D640" s="3">
        <v>30</v>
      </c>
      <c r="E640" s="3">
        <v>418.639</v>
      </c>
      <c r="F640" s="4" t="str">
        <f>HYPERLINK("http://141.218.60.56/~jnz1568/getInfo.php?workbook=11_02.xlsx&amp;sheet=A0&amp;row=640&amp;col=6&amp;number=4312&amp;sourceID=14","4312")</f>
        <v>4312</v>
      </c>
      <c r="G640" s="4" t="str">
        <f>HYPERLINK("http://141.218.60.56/~jnz1568/getInfo.php?workbook=11_02.xlsx&amp;sheet=A0&amp;row=640&amp;col=7&amp;number=0&amp;sourceID=14","0")</f>
        <v>0</v>
      </c>
    </row>
    <row r="641" spans="1:7">
      <c r="A641" s="3">
        <v>11</v>
      </c>
      <c r="B641" s="3">
        <v>2</v>
      </c>
      <c r="C641" s="3">
        <v>34</v>
      </c>
      <c r="D641" s="3">
        <v>30</v>
      </c>
      <c r="E641" s="3">
        <v>410.069</v>
      </c>
      <c r="F641" s="4" t="str">
        <f>HYPERLINK("http://141.218.60.56/~jnz1568/getInfo.php?workbook=11_02.xlsx&amp;sheet=A0&amp;row=641&amp;col=6&amp;number=38950000&amp;sourceID=14","38950000")</f>
        <v>38950000</v>
      </c>
      <c r="G641" s="4" t="str">
        <f>HYPERLINK("http://141.218.60.56/~jnz1568/getInfo.php?workbook=11_02.xlsx&amp;sheet=A0&amp;row=641&amp;col=7&amp;number=0&amp;sourceID=14","0")</f>
        <v>0</v>
      </c>
    </row>
    <row r="642" spans="1:7">
      <c r="A642" s="3">
        <v>11</v>
      </c>
      <c r="B642" s="3">
        <v>2</v>
      </c>
      <c r="C642" s="3">
        <v>35</v>
      </c>
      <c r="D642" s="3">
        <v>30</v>
      </c>
      <c r="E642" s="3">
        <v>409.812</v>
      </c>
      <c r="F642" s="4" t="str">
        <f>HYPERLINK("http://141.218.60.56/~jnz1568/getInfo.php?workbook=11_02.xlsx&amp;sheet=A0&amp;row=642&amp;col=6&amp;number=12070000&amp;sourceID=14","12070000")</f>
        <v>12070000</v>
      </c>
      <c r="G642" s="4" t="str">
        <f>HYPERLINK("http://141.218.60.56/~jnz1568/getInfo.php?workbook=11_02.xlsx&amp;sheet=A0&amp;row=642&amp;col=7&amp;number=0&amp;sourceID=14","0")</f>
        <v>0</v>
      </c>
    </row>
    <row r="643" spans="1:7">
      <c r="A643" s="3">
        <v>11</v>
      </c>
      <c r="B643" s="3">
        <v>2</v>
      </c>
      <c r="C643" s="3">
        <v>36</v>
      </c>
      <c r="D643" s="3">
        <v>30</v>
      </c>
      <c r="E643" s="3">
        <v>410.087</v>
      </c>
      <c r="F643" s="4" t="str">
        <f>HYPERLINK("http://141.218.60.56/~jnz1568/getInfo.php?workbook=11_02.xlsx&amp;sheet=A0&amp;row=643&amp;col=6&amp;number=333800&amp;sourceID=14","333800")</f>
        <v>333800</v>
      </c>
      <c r="G643" s="4" t="str">
        <f>HYPERLINK("http://141.218.60.56/~jnz1568/getInfo.php?workbook=11_02.xlsx&amp;sheet=A0&amp;row=643&amp;col=7&amp;number=0&amp;sourceID=14","0")</f>
        <v>0</v>
      </c>
    </row>
    <row r="644" spans="1:7">
      <c r="A644" s="3">
        <v>11</v>
      </c>
      <c r="B644" s="3">
        <v>2</v>
      </c>
      <c r="C644" s="3">
        <v>37</v>
      </c>
      <c r="D644" s="3">
        <v>30</v>
      </c>
      <c r="E644" s="3">
        <v>405.269</v>
      </c>
      <c r="F644" s="4" t="str">
        <f>HYPERLINK("http://141.218.60.56/~jnz1568/getInfo.php?workbook=11_02.xlsx&amp;sheet=A0&amp;row=644&amp;col=6&amp;number=5698&amp;sourceID=14","5698")</f>
        <v>5698</v>
      </c>
      <c r="G644" s="4" t="str">
        <f>HYPERLINK("http://141.218.60.56/~jnz1568/getInfo.php?workbook=11_02.xlsx&amp;sheet=A0&amp;row=644&amp;col=7&amp;number=0&amp;sourceID=14","0")</f>
        <v>0</v>
      </c>
    </row>
    <row r="645" spans="1:7">
      <c r="A645" s="3">
        <v>11</v>
      </c>
      <c r="B645" s="3">
        <v>2</v>
      </c>
      <c r="C645" s="3">
        <v>38</v>
      </c>
      <c r="D645" s="3">
        <v>30</v>
      </c>
      <c r="E645" s="3">
        <v>405.269</v>
      </c>
      <c r="F645" s="4" t="str">
        <f>HYPERLINK("http://141.218.60.56/~jnz1568/getInfo.php?workbook=11_02.xlsx&amp;sheet=A0&amp;row=645&amp;col=6&amp;number=1703&amp;sourceID=14","1703")</f>
        <v>1703</v>
      </c>
      <c r="G645" s="4" t="str">
        <f>HYPERLINK("http://141.218.60.56/~jnz1568/getInfo.php?workbook=11_02.xlsx&amp;sheet=A0&amp;row=645&amp;col=7&amp;number=0&amp;sourceID=14","0")</f>
        <v>0</v>
      </c>
    </row>
    <row r="646" spans="1:7">
      <c r="A646" s="3">
        <v>11</v>
      </c>
      <c r="B646" s="3">
        <v>2</v>
      </c>
      <c r="C646" s="3">
        <v>39</v>
      </c>
      <c r="D646" s="3">
        <v>30</v>
      </c>
      <c r="E646" s="3">
        <v>405.269</v>
      </c>
      <c r="F646" s="4" t="str">
        <f>HYPERLINK("http://141.218.60.56/~jnz1568/getInfo.php?workbook=11_02.xlsx&amp;sheet=A0&amp;row=646&amp;col=6&amp;number=2788&amp;sourceID=14","2788")</f>
        <v>2788</v>
      </c>
      <c r="G646" s="4" t="str">
        <f>HYPERLINK("http://141.218.60.56/~jnz1568/getInfo.php?workbook=11_02.xlsx&amp;sheet=A0&amp;row=646&amp;col=7&amp;number=0&amp;sourceID=14","0")</f>
        <v>0</v>
      </c>
    </row>
    <row r="647" spans="1:7">
      <c r="A647" s="3">
        <v>11</v>
      </c>
      <c r="B647" s="3">
        <v>2</v>
      </c>
      <c r="C647" s="3">
        <v>40</v>
      </c>
      <c r="D647" s="3">
        <v>30</v>
      </c>
      <c r="E647" s="3">
        <v>404.908</v>
      </c>
      <c r="F647" s="4" t="str">
        <f>HYPERLINK("http://141.218.60.56/~jnz1568/getInfo.php?workbook=11_02.xlsx&amp;sheet=A0&amp;row=647&amp;col=6&amp;number=147800000&amp;sourceID=14","147800000")</f>
        <v>147800000</v>
      </c>
      <c r="G647" s="4" t="str">
        <f>HYPERLINK("http://141.218.60.56/~jnz1568/getInfo.php?workbook=11_02.xlsx&amp;sheet=A0&amp;row=647&amp;col=7&amp;number=0&amp;sourceID=14","0")</f>
        <v>0</v>
      </c>
    </row>
    <row r="648" spans="1:7">
      <c r="A648" s="3">
        <v>11</v>
      </c>
      <c r="B648" s="3">
        <v>2</v>
      </c>
      <c r="C648" s="3">
        <v>41</v>
      </c>
      <c r="D648" s="3">
        <v>30</v>
      </c>
      <c r="E648" s="3">
        <v>404.908</v>
      </c>
      <c r="F648" s="4" t="str">
        <f>HYPERLINK("http://141.218.60.56/~jnz1568/getInfo.php?workbook=11_02.xlsx&amp;sheet=A0&amp;row=648&amp;col=6&amp;number=5917000000&amp;sourceID=14","5917000000")</f>
        <v>5917000000</v>
      </c>
      <c r="G648" s="4" t="str">
        <f>HYPERLINK("http://141.218.60.56/~jnz1568/getInfo.php?workbook=11_02.xlsx&amp;sheet=A0&amp;row=648&amp;col=7&amp;number=0&amp;sourceID=14","0")</f>
        <v>0</v>
      </c>
    </row>
    <row r="649" spans="1:7">
      <c r="A649" s="3">
        <v>11</v>
      </c>
      <c r="B649" s="3">
        <v>2</v>
      </c>
      <c r="C649" s="3">
        <v>42</v>
      </c>
      <c r="D649" s="3">
        <v>30</v>
      </c>
      <c r="E649" s="3">
        <v>404.908</v>
      </c>
      <c r="F649" s="4" t="str">
        <f>HYPERLINK("http://141.218.60.56/~jnz1568/getInfo.php?workbook=11_02.xlsx&amp;sheet=A0&amp;row=649&amp;col=6&amp;number=6.013&amp;sourceID=14","6.013")</f>
        <v>6.013</v>
      </c>
      <c r="G649" s="4" t="str">
        <f>HYPERLINK("http://141.218.60.56/~jnz1568/getInfo.php?workbook=11_02.xlsx&amp;sheet=A0&amp;row=649&amp;col=7&amp;number=0&amp;sourceID=14","0")</f>
        <v>0</v>
      </c>
    </row>
    <row r="650" spans="1:7">
      <c r="A650" s="3">
        <v>11</v>
      </c>
      <c r="B650" s="3">
        <v>2</v>
      </c>
      <c r="C650" s="3">
        <v>43</v>
      </c>
      <c r="D650" s="3">
        <v>30</v>
      </c>
      <c r="E650" s="3">
        <v>404.902</v>
      </c>
      <c r="F650" s="4" t="str">
        <f>HYPERLINK("http://141.218.60.56/~jnz1568/getInfo.php?workbook=11_02.xlsx&amp;sheet=A0&amp;row=650&amp;col=6&amp;number=19850000000&amp;sourceID=14","19850000000")</f>
        <v>19850000000</v>
      </c>
      <c r="G650" s="4" t="str">
        <f>HYPERLINK("http://141.218.60.56/~jnz1568/getInfo.php?workbook=11_02.xlsx&amp;sheet=A0&amp;row=650&amp;col=7&amp;number=0&amp;sourceID=14","0")</f>
        <v>0</v>
      </c>
    </row>
    <row r="651" spans="1:7">
      <c r="A651" s="3">
        <v>11</v>
      </c>
      <c r="B651" s="3">
        <v>2</v>
      </c>
      <c r="C651" s="3">
        <v>44</v>
      </c>
      <c r="D651" s="3">
        <v>30</v>
      </c>
      <c r="E651" s="3">
        <v>-406.723</v>
      </c>
      <c r="F651" s="4" t="str">
        <f>HYPERLINK("http://141.218.60.56/~jnz1568/getInfo.php?workbook=11_02.xlsx&amp;sheet=A0&amp;row=651&amp;col=6&amp;number=7867&amp;sourceID=14","7867")</f>
        <v>7867</v>
      </c>
      <c r="G651" s="4" t="str">
        <f>HYPERLINK("http://141.218.60.56/~jnz1568/getInfo.php?workbook=11_02.xlsx&amp;sheet=A0&amp;row=651&amp;col=7&amp;number=0&amp;sourceID=14","0")</f>
        <v>0</v>
      </c>
    </row>
    <row r="652" spans="1:7">
      <c r="A652" s="3">
        <v>11</v>
      </c>
      <c r="B652" s="3">
        <v>2</v>
      </c>
      <c r="C652" s="3">
        <v>45</v>
      </c>
      <c r="D652" s="3">
        <v>30</v>
      </c>
      <c r="E652" s="3">
        <v>-406.731</v>
      </c>
      <c r="F652" s="4" t="str">
        <f>HYPERLINK("http://141.218.60.56/~jnz1568/getInfo.php?workbook=11_02.xlsx&amp;sheet=A0&amp;row=652&amp;col=6&amp;number=282100&amp;sourceID=14","282100")</f>
        <v>282100</v>
      </c>
      <c r="G652" s="4" t="str">
        <f>HYPERLINK("http://141.218.60.56/~jnz1568/getInfo.php?workbook=11_02.xlsx&amp;sheet=A0&amp;row=652&amp;col=7&amp;number=0&amp;sourceID=14","0")</f>
        <v>0</v>
      </c>
    </row>
    <row r="653" spans="1:7">
      <c r="A653" s="3">
        <v>11</v>
      </c>
      <c r="B653" s="3">
        <v>2</v>
      </c>
      <c r="C653" s="3">
        <v>46</v>
      </c>
      <c r="D653" s="3">
        <v>30</v>
      </c>
      <c r="E653" s="3">
        <v>404.913</v>
      </c>
      <c r="F653" s="4" t="str">
        <f>HYPERLINK("http://141.218.60.56/~jnz1568/getInfo.php?workbook=11_02.xlsx&amp;sheet=A0&amp;row=653&amp;col=6&amp;number=257700&amp;sourceID=14","257700")</f>
        <v>257700</v>
      </c>
      <c r="G653" s="4" t="str">
        <f>HYPERLINK("http://141.218.60.56/~jnz1568/getInfo.php?workbook=11_02.xlsx&amp;sheet=A0&amp;row=653&amp;col=7&amp;number=0&amp;sourceID=14","0")</f>
        <v>0</v>
      </c>
    </row>
    <row r="654" spans="1:7">
      <c r="A654" s="3">
        <v>11</v>
      </c>
      <c r="B654" s="3">
        <v>2</v>
      </c>
      <c r="C654" s="3">
        <v>48</v>
      </c>
      <c r="D654" s="3">
        <v>30</v>
      </c>
      <c r="E654" s="3">
        <v>-406.683</v>
      </c>
      <c r="F654" s="4" t="str">
        <f>HYPERLINK("http://141.218.60.56/~jnz1568/getInfo.php?workbook=11_02.xlsx&amp;sheet=A0&amp;row=654&amp;col=6&amp;number=711400&amp;sourceID=14","711400")</f>
        <v>711400</v>
      </c>
      <c r="G654" s="4" t="str">
        <f>HYPERLINK("http://141.218.60.56/~jnz1568/getInfo.php?workbook=11_02.xlsx&amp;sheet=A0&amp;row=654&amp;col=7&amp;number=0&amp;sourceID=14","0")</f>
        <v>0</v>
      </c>
    </row>
    <row r="655" spans="1:7">
      <c r="A655" s="3">
        <v>11</v>
      </c>
      <c r="B655" s="3">
        <v>2</v>
      </c>
      <c r="C655" s="3">
        <v>49</v>
      </c>
      <c r="D655" s="3">
        <v>30</v>
      </c>
      <c r="E655" s="3">
        <v>403.832</v>
      </c>
      <c r="F655" s="4" t="str">
        <f>HYPERLINK("http://141.218.60.56/~jnz1568/getInfo.php?workbook=11_02.xlsx&amp;sheet=A0&amp;row=655&amp;col=6&amp;number=1799000000&amp;sourceID=14","1799000000")</f>
        <v>1799000000</v>
      </c>
      <c r="G655" s="4" t="str">
        <f>HYPERLINK("http://141.218.60.56/~jnz1568/getInfo.php?workbook=11_02.xlsx&amp;sheet=A0&amp;row=655&amp;col=7&amp;number=0&amp;sourceID=14","0")</f>
        <v>0</v>
      </c>
    </row>
    <row r="656" spans="1:7">
      <c r="A656" s="3">
        <v>11</v>
      </c>
      <c r="B656" s="3">
        <v>2</v>
      </c>
      <c r="C656" s="3">
        <v>32</v>
      </c>
      <c r="D656" s="3">
        <v>31</v>
      </c>
      <c r="E656" s="3">
        <v>421.064</v>
      </c>
      <c r="F656" s="4" t="str">
        <f>HYPERLINK("http://141.218.60.56/~jnz1568/getInfo.php?workbook=11_02.xlsx&amp;sheet=A0&amp;row=656&amp;col=6&amp;number=3318000&amp;sourceID=14","3318000")</f>
        <v>3318000</v>
      </c>
      <c r="G656" s="4" t="str">
        <f>HYPERLINK("http://141.218.60.56/~jnz1568/getInfo.php?workbook=11_02.xlsx&amp;sheet=A0&amp;row=656&amp;col=7&amp;number=0&amp;sourceID=14","0")</f>
        <v>0</v>
      </c>
    </row>
    <row r="657" spans="1:7">
      <c r="A657" s="3">
        <v>11</v>
      </c>
      <c r="B657" s="3">
        <v>2</v>
      </c>
      <c r="C657" s="3">
        <v>34</v>
      </c>
      <c r="D657" s="3">
        <v>31</v>
      </c>
      <c r="E657" s="3">
        <v>412.396</v>
      </c>
      <c r="F657" s="4" t="str">
        <f>HYPERLINK("http://141.218.60.56/~jnz1568/getInfo.php?workbook=11_02.xlsx&amp;sheet=A0&amp;row=657&amp;col=6&amp;number=1170&amp;sourceID=14","1170")</f>
        <v>1170</v>
      </c>
      <c r="G657" s="4" t="str">
        <f>HYPERLINK("http://141.218.60.56/~jnz1568/getInfo.php?workbook=11_02.xlsx&amp;sheet=A0&amp;row=657&amp;col=7&amp;number=0&amp;sourceID=14","0")</f>
        <v>0</v>
      </c>
    </row>
    <row r="658" spans="1:7">
      <c r="A658" s="3">
        <v>11</v>
      </c>
      <c r="B658" s="3">
        <v>2</v>
      </c>
      <c r="C658" s="3">
        <v>35</v>
      </c>
      <c r="D658" s="3">
        <v>31</v>
      </c>
      <c r="E658" s="3">
        <v>412.136</v>
      </c>
      <c r="F658" s="4" t="str">
        <f>HYPERLINK("http://141.218.60.56/~jnz1568/getInfo.php?workbook=11_02.xlsx&amp;sheet=A0&amp;row=658&amp;col=6&amp;number=223.5&amp;sourceID=14","223.5")</f>
        <v>223.5</v>
      </c>
      <c r="G658" s="4" t="str">
        <f>HYPERLINK("http://141.218.60.56/~jnz1568/getInfo.php?workbook=11_02.xlsx&amp;sheet=A0&amp;row=658&amp;col=7&amp;number=0&amp;sourceID=14","0")</f>
        <v>0</v>
      </c>
    </row>
    <row r="659" spans="1:7">
      <c r="A659" s="3">
        <v>11</v>
      </c>
      <c r="B659" s="3">
        <v>2</v>
      </c>
      <c r="C659" s="3">
        <v>36</v>
      </c>
      <c r="D659" s="3">
        <v>31</v>
      </c>
      <c r="E659" s="3">
        <v>412.414</v>
      </c>
      <c r="F659" s="4" t="str">
        <f>HYPERLINK("http://141.218.60.56/~jnz1568/getInfo.php?workbook=11_02.xlsx&amp;sheet=A0&amp;row=659&amp;col=6&amp;number=8341000000&amp;sourceID=14","8341000000")</f>
        <v>8341000000</v>
      </c>
      <c r="G659" s="4" t="str">
        <f>HYPERLINK("http://141.218.60.56/~jnz1568/getInfo.php?workbook=11_02.xlsx&amp;sheet=A0&amp;row=659&amp;col=7&amp;number=0&amp;sourceID=14","0")</f>
        <v>0</v>
      </c>
    </row>
    <row r="660" spans="1:7">
      <c r="A660" s="3">
        <v>11</v>
      </c>
      <c r="B660" s="3">
        <v>2</v>
      </c>
      <c r="C660" s="3">
        <v>37</v>
      </c>
      <c r="D660" s="3">
        <v>31</v>
      </c>
      <c r="E660" s="3">
        <v>407.542</v>
      </c>
      <c r="F660" s="4" t="str">
        <f>HYPERLINK("http://141.218.60.56/~jnz1568/getInfo.php?workbook=11_02.xlsx&amp;sheet=A0&amp;row=660&amp;col=6&amp;number=6922000&amp;sourceID=14","6922000")</f>
        <v>6922000</v>
      </c>
      <c r="G660" s="4" t="str">
        <f>HYPERLINK("http://141.218.60.56/~jnz1568/getInfo.php?workbook=11_02.xlsx&amp;sheet=A0&amp;row=660&amp;col=7&amp;number=0&amp;sourceID=14","0")</f>
        <v>0</v>
      </c>
    </row>
    <row r="661" spans="1:7">
      <c r="A661" s="3">
        <v>11</v>
      </c>
      <c r="B661" s="3">
        <v>2</v>
      </c>
      <c r="C661" s="3">
        <v>38</v>
      </c>
      <c r="D661" s="3">
        <v>31</v>
      </c>
      <c r="E661" s="3">
        <v>407.542</v>
      </c>
      <c r="F661" s="4" t="str">
        <f>HYPERLINK("http://141.218.60.56/~jnz1568/getInfo.php?workbook=11_02.xlsx&amp;sheet=A0&amp;row=661&amp;col=6&amp;number=340300000&amp;sourceID=14","340300000")</f>
        <v>340300000</v>
      </c>
      <c r="G661" s="4" t="str">
        <f>HYPERLINK("http://141.218.60.56/~jnz1568/getInfo.php?workbook=11_02.xlsx&amp;sheet=A0&amp;row=661&amp;col=7&amp;number=0&amp;sourceID=14","0")</f>
        <v>0</v>
      </c>
    </row>
    <row r="662" spans="1:7">
      <c r="A662" s="3">
        <v>11</v>
      </c>
      <c r="B662" s="3">
        <v>2</v>
      </c>
      <c r="C662" s="3">
        <v>39</v>
      </c>
      <c r="D662" s="3">
        <v>31</v>
      </c>
      <c r="E662" s="3">
        <v>407.542</v>
      </c>
      <c r="F662" s="4" t="str">
        <f>HYPERLINK("http://141.218.60.56/~jnz1568/getInfo.php?workbook=11_02.xlsx&amp;sheet=A0&amp;row=662&amp;col=6&amp;number=3.976&amp;sourceID=14","3.976")</f>
        <v>3.976</v>
      </c>
      <c r="G662" s="4" t="str">
        <f>HYPERLINK("http://141.218.60.56/~jnz1568/getInfo.php?workbook=11_02.xlsx&amp;sheet=A0&amp;row=662&amp;col=7&amp;number=0&amp;sourceID=14","0")</f>
        <v>0</v>
      </c>
    </row>
    <row r="663" spans="1:7">
      <c r="A663" s="3">
        <v>11</v>
      </c>
      <c r="B663" s="3">
        <v>2</v>
      </c>
      <c r="C663" s="3">
        <v>40</v>
      </c>
      <c r="D663" s="3">
        <v>31</v>
      </c>
      <c r="E663" s="3">
        <v>407.177</v>
      </c>
      <c r="F663" s="4" t="str">
        <f>HYPERLINK("http://141.218.60.56/~jnz1568/getInfo.php?workbook=11_02.xlsx&amp;sheet=A0&amp;row=663&amp;col=6&amp;number=473.1&amp;sourceID=14","473.1")</f>
        <v>473.1</v>
      </c>
      <c r="G663" s="4" t="str">
        <f>HYPERLINK("http://141.218.60.56/~jnz1568/getInfo.php?workbook=11_02.xlsx&amp;sheet=A0&amp;row=663&amp;col=7&amp;number=0&amp;sourceID=14","0")</f>
        <v>0</v>
      </c>
    </row>
    <row r="664" spans="1:7">
      <c r="A664" s="3">
        <v>11</v>
      </c>
      <c r="B664" s="3">
        <v>2</v>
      </c>
      <c r="C664" s="3">
        <v>41</v>
      </c>
      <c r="D664" s="3">
        <v>31</v>
      </c>
      <c r="E664" s="3">
        <v>407.177</v>
      </c>
      <c r="F664" s="4" t="str">
        <f>HYPERLINK("http://141.218.60.56/~jnz1568/getInfo.php?workbook=11_02.xlsx&amp;sheet=A0&amp;row=664&amp;col=6&amp;number=344200&amp;sourceID=14","344200")</f>
        <v>344200</v>
      </c>
      <c r="G664" s="4" t="str">
        <f>HYPERLINK("http://141.218.60.56/~jnz1568/getInfo.php?workbook=11_02.xlsx&amp;sheet=A0&amp;row=664&amp;col=7&amp;number=0&amp;sourceID=14","0")</f>
        <v>0</v>
      </c>
    </row>
    <row r="665" spans="1:7">
      <c r="A665" s="3">
        <v>11</v>
      </c>
      <c r="B665" s="3">
        <v>2</v>
      </c>
      <c r="C665" s="3">
        <v>43</v>
      </c>
      <c r="D665" s="3">
        <v>31</v>
      </c>
      <c r="E665" s="3">
        <v>407.17</v>
      </c>
      <c r="F665" s="4" t="str">
        <f>HYPERLINK("http://141.218.60.56/~jnz1568/getInfo.php?workbook=11_02.xlsx&amp;sheet=A0&amp;row=665&amp;col=6&amp;number=584300&amp;sourceID=14","584300")</f>
        <v>584300</v>
      </c>
      <c r="G665" s="4" t="str">
        <f>HYPERLINK("http://141.218.60.56/~jnz1568/getInfo.php?workbook=11_02.xlsx&amp;sheet=A0&amp;row=665&amp;col=7&amp;number=0&amp;sourceID=14","0")</f>
        <v>0</v>
      </c>
    </row>
    <row r="666" spans="1:7">
      <c r="A666" s="3">
        <v>11</v>
      </c>
      <c r="B666" s="3">
        <v>2</v>
      </c>
      <c r="C666" s="3">
        <v>46</v>
      </c>
      <c r="D666" s="3">
        <v>31</v>
      </c>
      <c r="E666" s="3">
        <v>407.182</v>
      </c>
      <c r="F666" s="4" t="str">
        <f>HYPERLINK("http://141.218.60.56/~jnz1568/getInfo.php?workbook=11_02.xlsx&amp;sheet=A0&amp;row=666&amp;col=6&amp;number=14900000000&amp;sourceID=14","14900000000")</f>
        <v>14900000000</v>
      </c>
      <c r="G666" s="4" t="str">
        <f>HYPERLINK("http://141.218.60.56/~jnz1568/getInfo.php?workbook=11_02.xlsx&amp;sheet=A0&amp;row=666&amp;col=7&amp;number=0&amp;sourceID=14","0")</f>
        <v>0</v>
      </c>
    </row>
    <row r="667" spans="1:7">
      <c r="A667" s="3">
        <v>11</v>
      </c>
      <c r="B667" s="3">
        <v>2</v>
      </c>
      <c r="C667" s="3">
        <v>49</v>
      </c>
      <c r="D667" s="3">
        <v>31</v>
      </c>
      <c r="E667" s="3">
        <v>406.089</v>
      </c>
      <c r="F667" s="4" t="str">
        <f>HYPERLINK("http://141.218.60.56/~jnz1568/getInfo.php?workbook=11_02.xlsx&amp;sheet=A0&amp;row=667&amp;col=6&amp;number=480700&amp;sourceID=14","480700")</f>
        <v>480700</v>
      </c>
      <c r="G667" s="4" t="str">
        <f>HYPERLINK("http://141.218.60.56/~jnz1568/getInfo.php?workbook=11_02.xlsx&amp;sheet=A0&amp;row=667&amp;col=7&amp;number=0&amp;sourceID=14","0")</f>
        <v>0</v>
      </c>
    </row>
    <row r="668" spans="1:7">
      <c r="A668" s="3">
        <v>11</v>
      </c>
      <c r="B668" s="3">
        <v>2</v>
      </c>
      <c r="C668" s="3">
        <v>33</v>
      </c>
      <c r="D668" s="3">
        <v>32</v>
      </c>
      <c r="E668" s="3">
        <v>20181.672</v>
      </c>
      <c r="F668" s="4" t="str">
        <f>HYPERLINK("http://141.218.60.56/~jnz1568/getInfo.php?workbook=11_02.xlsx&amp;sheet=A0&amp;row=668&amp;col=6&amp;number=1110000&amp;sourceID=14","1110000")</f>
        <v>1110000</v>
      </c>
      <c r="G668" s="4" t="str">
        <f>HYPERLINK("http://141.218.60.56/~jnz1568/getInfo.php?workbook=11_02.xlsx&amp;sheet=A0&amp;row=668&amp;col=7&amp;number=0&amp;sourceID=14","0")</f>
        <v>0</v>
      </c>
    </row>
    <row r="669" spans="1:7">
      <c r="A669" s="3">
        <v>11</v>
      </c>
      <c r="B669" s="3">
        <v>2</v>
      </c>
      <c r="C669" s="3">
        <v>34</v>
      </c>
      <c r="D669" s="3">
        <v>32</v>
      </c>
      <c r="E669" s="3">
        <v>20032.088</v>
      </c>
      <c r="F669" s="4" t="str">
        <f>HYPERLINK("http://141.218.60.56/~jnz1568/getInfo.php?workbook=11_02.xlsx&amp;sheet=A0&amp;row=669&amp;col=6&amp;number=1134000&amp;sourceID=14","1134000")</f>
        <v>1134000</v>
      </c>
      <c r="G669" s="4" t="str">
        <f>HYPERLINK("http://141.218.60.56/~jnz1568/getInfo.php?workbook=11_02.xlsx&amp;sheet=A0&amp;row=669&amp;col=7&amp;number=0&amp;sourceID=14","0")</f>
        <v>0</v>
      </c>
    </row>
    <row r="670" spans="1:7">
      <c r="A670" s="3">
        <v>11</v>
      </c>
      <c r="B670" s="3">
        <v>2</v>
      </c>
      <c r="C670" s="3">
        <v>35</v>
      </c>
      <c r="D670" s="3">
        <v>32</v>
      </c>
      <c r="E670" s="3">
        <v>19436.381</v>
      </c>
      <c r="F670" s="4" t="str">
        <f>HYPERLINK("http://141.218.60.56/~jnz1568/getInfo.php?workbook=11_02.xlsx&amp;sheet=A0&amp;row=670&amp;col=6&amp;number=1244000&amp;sourceID=14","1244000")</f>
        <v>1244000</v>
      </c>
      <c r="G670" s="4" t="str">
        <f>HYPERLINK("http://141.218.60.56/~jnz1568/getInfo.php?workbook=11_02.xlsx&amp;sheet=A0&amp;row=670&amp;col=7&amp;number=0&amp;sourceID=14","0")</f>
        <v>0</v>
      </c>
    </row>
    <row r="671" spans="1:7">
      <c r="A671" s="3">
        <v>11</v>
      </c>
      <c r="B671" s="3">
        <v>2</v>
      </c>
      <c r="C671" s="3">
        <v>49</v>
      </c>
      <c r="D671" s="3">
        <v>32</v>
      </c>
      <c r="E671" s="3">
        <v>11418.153</v>
      </c>
      <c r="F671" s="4" t="str">
        <f>HYPERLINK("http://141.218.60.56/~jnz1568/getInfo.php?workbook=11_02.xlsx&amp;sheet=A0&amp;row=671&amp;col=6&amp;number=7389&amp;sourceID=14","7389")</f>
        <v>7389</v>
      </c>
      <c r="G671" s="4" t="str">
        <f>HYPERLINK("http://141.218.60.56/~jnz1568/getInfo.php?workbook=11_02.xlsx&amp;sheet=A0&amp;row=671&amp;col=7&amp;number=0&amp;sourceID=14","0")</f>
        <v>0</v>
      </c>
    </row>
    <row r="672" spans="1:7">
      <c r="A672" s="3">
        <v>11</v>
      </c>
      <c r="B672" s="3">
        <v>2</v>
      </c>
      <c r="C672" s="3">
        <v>37</v>
      </c>
      <c r="D672" s="3">
        <v>33</v>
      </c>
      <c r="E672" s="3">
        <v>34188.098</v>
      </c>
      <c r="F672" s="4" t="str">
        <f>HYPERLINK("http://141.218.60.56/~jnz1568/getInfo.php?workbook=11_02.xlsx&amp;sheet=A0&amp;row=672&amp;col=6&amp;number=120300&amp;sourceID=14","120300")</f>
        <v>120300</v>
      </c>
      <c r="G672" s="4" t="str">
        <f>HYPERLINK("http://141.218.60.56/~jnz1568/getInfo.php?workbook=11_02.xlsx&amp;sheet=A0&amp;row=672&amp;col=7&amp;number=0&amp;sourceID=14","0")</f>
        <v>0</v>
      </c>
    </row>
    <row r="673" spans="1:7">
      <c r="A673" s="3">
        <v>11</v>
      </c>
      <c r="B673" s="3">
        <v>2</v>
      </c>
      <c r="C673" s="3">
        <v>36</v>
      </c>
      <c r="D673" s="3">
        <v>34</v>
      </c>
      <c r="E673" s="3">
        <v>-9090926</v>
      </c>
      <c r="F673" s="4" t="str">
        <f>HYPERLINK("http://141.218.60.56/~jnz1568/getInfo.php?workbook=11_02.xlsx&amp;sheet=A0&amp;row=673&amp;col=6&amp;number=3.923&amp;sourceID=14","3.923")</f>
        <v>3.923</v>
      </c>
      <c r="G673" s="4" t="str">
        <f>HYPERLINK("http://141.218.60.56/~jnz1568/getInfo.php?workbook=11_02.xlsx&amp;sheet=A0&amp;row=673&amp;col=7&amp;number=0&amp;sourceID=14","0")</f>
        <v>0</v>
      </c>
    </row>
    <row r="674" spans="1:7">
      <c r="A674" s="3">
        <v>11</v>
      </c>
      <c r="B674" s="3">
        <v>2</v>
      </c>
      <c r="C674" s="3">
        <v>37</v>
      </c>
      <c r="D674" s="3">
        <v>34</v>
      </c>
      <c r="E674" s="3">
        <v>34626.102</v>
      </c>
      <c r="F674" s="4" t="str">
        <f>HYPERLINK("http://141.218.60.56/~jnz1568/getInfo.php?workbook=11_02.xlsx&amp;sheet=A0&amp;row=674&amp;col=6&amp;number=86620&amp;sourceID=14","86620")</f>
        <v>86620</v>
      </c>
      <c r="G674" s="4" t="str">
        <f>HYPERLINK("http://141.218.60.56/~jnz1568/getInfo.php?workbook=11_02.xlsx&amp;sheet=A0&amp;row=674&amp;col=7&amp;number=0&amp;sourceID=14","0")</f>
        <v>0</v>
      </c>
    </row>
    <row r="675" spans="1:7">
      <c r="A675" s="3">
        <v>11</v>
      </c>
      <c r="B675" s="3">
        <v>2</v>
      </c>
      <c r="C675" s="3">
        <v>38</v>
      </c>
      <c r="D675" s="3">
        <v>34</v>
      </c>
      <c r="E675" s="3">
        <v>34626.102</v>
      </c>
      <c r="F675" s="4" t="str">
        <f>HYPERLINK("http://141.218.60.56/~jnz1568/getInfo.php?workbook=11_02.xlsx&amp;sheet=A0&amp;row=675&amp;col=6&amp;number=154700&amp;sourceID=14","154700")</f>
        <v>154700</v>
      </c>
      <c r="G675" s="4" t="str">
        <f>HYPERLINK("http://141.218.60.56/~jnz1568/getInfo.php?workbook=11_02.xlsx&amp;sheet=A0&amp;row=675&amp;col=7&amp;number=0&amp;sourceID=14","0")</f>
        <v>0</v>
      </c>
    </row>
    <row r="676" spans="1:7">
      <c r="A676" s="3">
        <v>11</v>
      </c>
      <c r="B676" s="3">
        <v>2</v>
      </c>
      <c r="C676" s="3">
        <v>46</v>
      </c>
      <c r="D676" s="3">
        <v>34</v>
      </c>
      <c r="E676" s="3">
        <v>32206.178</v>
      </c>
      <c r="F676" s="4" t="str">
        <f>HYPERLINK("http://141.218.60.56/~jnz1568/getInfo.php?workbook=11_02.xlsx&amp;sheet=A0&amp;row=676&amp;col=6&amp;number=4033&amp;sourceID=14","4033")</f>
        <v>4033</v>
      </c>
      <c r="G676" s="4" t="str">
        <f>HYPERLINK("http://141.218.60.56/~jnz1568/getInfo.php?workbook=11_02.xlsx&amp;sheet=A0&amp;row=676&amp;col=7&amp;number=0&amp;sourceID=14","0")</f>
        <v>0</v>
      </c>
    </row>
    <row r="677" spans="1:7">
      <c r="A677" s="3">
        <v>11</v>
      </c>
      <c r="B677" s="3">
        <v>2</v>
      </c>
      <c r="C677" s="3">
        <v>37</v>
      </c>
      <c r="D677" s="3">
        <v>35</v>
      </c>
      <c r="E677" s="3">
        <v>36563.137</v>
      </c>
      <c r="F677" s="4" t="str">
        <f>HYPERLINK("http://141.218.60.56/~jnz1568/getInfo.php?workbook=11_02.xlsx&amp;sheet=A0&amp;row=677&amp;col=6&amp;number=4853&amp;sourceID=14","4853")</f>
        <v>4853</v>
      </c>
      <c r="G677" s="4" t="str">
        <f>HYPERLINK("http://141.218.60.56/~jnz1568/getInfo.php?workbook=11_02.xlsx&amp;sheet=A0&amp;row=677&amp;col=7&amp;number=0&amp;sourceID=14","0")</f>
        <v>0</v>
      </c>
    </row>
    <row r="678" spans="1:7">
      <c r="A678" s="3">
        <v>11</v>
      </c>
      <c r="B678" s="3">
        <v>2</v>
      </c>
      <c r="C678" s="3">
        <v>38</v>
      </c>
      <c r="D678" s="3">
        <v>35</v>
      </c>
      <c r="E678" s="3">
        <v>36563.137</v>
      </c>
      <c r="F678" s="4" t="str">
        <f>HYPERLINK("http://141.218.60.56/~jnz1568/getInfo.php?workbook=11_02.xlsx&amp;sheet=A0&amp;row=678&amp;col=6&amp;number=43000&amp;sourceID=14","43000")</f>
        <v>43000</v>
      </c>
      <c r="G678" s="4" t="str">
        <f>HYPERLINK("http://141.218.60.56/~jnz1568/getInfo.php?workbook=11_02.xlsx&amp;sheet=A0&amp;row=678&amp;col=7&amp;number=0&amp;sourceID=14","0")</f>
        <v>0</v>
      </c>
    </row>
    <row r="679" spans="1:7">
      <c r="A679" s="3">
        <v>11</v>
      </c>
      <c r="B679" s="3">
        <v>2</v>
      </c>
      <c r="C679" s="3">
        <v>39</v>
      </c>
      <c r="D679" s="3">
        <v>35</v>
      </c>
      <c r="E679" s="3">
        <v>36563.137</v>
      </c>
      <c r="F679" s="4" t="str">
        <f>HYPERLINK("http://141.218.60.56/~jnz1568/getInfo.php?workbook=11_02.xlsx&amp;sheet=A0&amp;row=679&amp;col=6&amp;number=187800&amp;sourceID=14","187800")</f>
        <v>187800</v>
      </c>
      <c r="G679" s="4" t="str">
        <f>HYPERLINK("http://141.218.60.56/~jnz1568/getInfo.php?workbook=11_02.xlsx&amp;sheet=A0&amp;row=679&amp;col=7&amp;number=0&amp;sourceID=14","0")</f>
        <v>0</v>
      </c>
    </row>
    <row r="680" spans="1:7">
      <c r="A680" s="3">
        <v>11</v>
      </c>
      <c r="B680" s="3">
        <v>2</v>
      </c>
      <c r="C680" s="3">
        <v>46</v>
      </c>
      <c r="D680" s="3">
        <v>35</v>
      </c>
      <c r="E680" s="3">
        <v>33875.402</v>
      </c>
      <c r="F680" s="4" t="str">
        <f>HYPERLINK("http://141.218.60.56/~jnz1568/getInfo.php?workbook=11_02.xlsx&amp;sheet=A0&amp;row=680&amp;col=6&amp;number=1856&amp;sourceID=14","1856")</f>
        <v>1856</v>
      </c>
      <c r="G680" s="4" t="str">
        <f>HYPERLINK("http://141.218.60.56/~jnz1568/getInfo.php?workbook=11_02.xlsx&amp;sheet=A0&amp;row=680&amp;col=7&amp;number=0&amp;sourceID=14","0")</f>
        <v>0</v>
      </c>
    </row>
    <row r="681" spans="1:7">
      <c r="A681" s="3">
        <v>11</v>
      </c>
      <c r="B681" s="3">
        <v>2</v>
      </c>
      <c r="C681" s="3">
        <v>49</v>
      </c>
      <c r="D681" s="3">
        <v>36</v>
      </c>
      <c r="E681" s="3">
        <v>26476.088</v>
      </c>
      <c r="F681" s="4" t="str">
        <f>HYPERLINK("http://141.218.60.56/~jnz1568/getInfo.php?workbook=11_02.xlsx&amp;sheet=A0&amp;row=681&amp;col=6&amp;number=377200&amp;sourceID=14","377200")</f>
        <v>377200</v>
      </c>
      <c r="G681" s="4" t="str">
        <f>HYPERLINK("http://141.218.60.56/~jnz1568/getInfo.php?workbook=11_02.xlsx&amp;sheet=A0&amp;row=681&amp;col=7&amp;number=0&amp;sourceID=14","0")</f>
        <v>0</v>
      </c>
    </row>
    <row r="682" spans="1:7">
      <c r="A682" s="3">
        <v>11</v>
      </c>
      <c r="B682" s="3">
        <v>2</v>
      </c>
      <c r="C682" s="3">
        <v>40</v>
      </c>
      <c r="D682" s="3">
        <v>37</v>
      </c>
      <c r="E682" s="3">
        <v>454546.281</v>
      </c>
      <c r="F682" s="4" t="str">
        <f>HYPERLINK("http://141.218.60.56/~jnz1568/getInfo.php?workbook=11_02.xlsx&amp;sheet=A0&amp;row=682&amp;col=6&amp;number=74.44&amp;sourceID=14","74.44")</f>
        <v>74.44</v>
      </c>
      <c r="G682" s="4" t="str">
        <f>HYPERLINK("http://141.218.60.56/~jnz1568/getInfo.php?workbook=11_02.xlsx&amp;sheet=A0&amp;row=682&amp;col=7&amp;number=0&amp;sourceID=14","0")</f>
        <v>0</v>
      </c>
    </row>
    <row r="683" spans="1:7">
      <c r="A683" s="3">
        <v>11</v>
      </c>
      <c r="B683" s="3">
        <v>2</v>
      </c>
      <c r="C683" s="3">
        <v>49</v>
      </c>
      <c r="D683" s="3">
        <v>37</v>
      </c>
      <c r="E683" s="3">
        <v>113895.43</v>
      </c>
      <c r="F683" s="4" t="str">
        <f>HYPERLINK("http://141.218.60.56/~jnz1568/getInfo.php?workbook=11_02.xlsx&amp;sheet=A0&amp;row=683&amp;col=6&amp;number=8.071&amp;sourceID=14","8.071")</f>
        <v>8.071</v>
      </c>
      <c r="G683" s="4" t="str">
        <f>HYPERLINK("http://141.218.60.56/~jnz1568/getInfo.php?workbook=11_02.xlsx&amp;sheet=A0&amp;row=683&amp;col=7&amp;number=0&amp;sourceID=14","0")</f>
        <v>0</v>
      </c>
    </row>
    <row r="684" spans="1:7">
      <c r="A684" s="3">
        <v>11</v>
      </c>
      <c r="B684" s="3">
        <v>2</v>
      </c>
      <c r="C684" s="3">
        <v>40</v>
      </c>
      <c r="D684" s="3">
        <v>38</v>
      </c>
      <c r="E684" s="3">
        <v>454546.281</v>
      </c>
      <c r="F684" s="4" t="str">
        <f>HYPERLINK("http://141.218.60.56/~jnz1568/getInfo.php?workbook=11_02.xlsx&amp;sheet=A0&amp;row=684&amp;col=6&amp;number=11.56&amp;sourceID=14","11.56")</f>
        <v>11.56</v>
      </c>
      <c r="G684" s="4" t="str">
        <f>HYPERLINK("http://141.218.60.56/~jnz1568/getInfo.php?workbook=11_02.xlsx&amp;sheet=A0&amp;row=684&amp;col=7&amp;number=0&amp;sourceID=14","0")</f>
        <v>0</v>
      </c>
    </row>
    <row r="685" spans="1:7">
      <c r="A685" s="3">
        <v>11</v>
      </c>
      <c r="B685" s="3">
        <v>2</v>
      </c>
      <c r="C685" s="3">
        <v>41</v>
      </c>
      <c r="D685" s="3">
        <v>38</v>
      </c>
      <c r="E685" s="3">
        <v>454546.281</v>
      </c>
      <c r="F685" s="4" t="str">
        <f>HYPERLINK("http://141.218.60.56/~jnz1568/getInfo.php?workbook=11_02.xlsx&amp;sheet=A0&amp;row=685&amp;col=6&amp;number=47.77&amp;sourceID=14","47.77")</f>
        <v>47.77</v>
      </c>
      <c r="G685" s="4" t="str">
        <f>HYPERLINK("http://141.218.60.56/~jnz1568/getInfo.php?workbook=11_02.xlsx&amp;sheet=A0&amp;row=685&amp;col=7&amp;number=0&amp;sourceID=14","0")</f>
        <v>0</v>
      </c>
    </row>
    <row r="686" spans="1:7">
      <c r="A686" s="3">
        <v>11</v>
      </c>
      <c r="B686" s="3">
        <v>2</v>
      </c>
      <c r="C686" s="3">
        <v>43</v>
      </c>
      <c r="D686" s="3">
        <v>38</v>
      </c>
      <c r="E686" s="3">
        <v>446429.406</v>
      </c>
      <c r="F686" s="4" t="str">
        <f>HYPERLINK("http://141.218.60.56/~jnz1568/getInfo.php?workbook=11_02.xlsx&amp;sheet=A0&amp;row=686&amp;col=6&amp;number=25.59&amp;sourceID=14","25.59")</f>
        <v>25.59</v>
      </c>
      <c r="G686" s="4" t="str">
        <f>HYPERLINK("http://141.218.60.56/~jnz1568/getInfo.php?workbook=11_02.xlsx&amp;sheet=A0&amp;row=686&amp;col=7&amp;number=0&amp;sourceID=14","0")</f>
        <v>0</v>
      </c>
    </row>
    <row r="687" spans="1:7">
      <c r="A687" s="3">
        <v>11</v>
      </c>
      <c r="B687" s="3">
        <v>2</v>
      </c>
      <c r="C687" s="3">
        <v>49</v>
      </c>
      <c r="D687" s="3">
        <v>38</v>
      </c>
      <c r="E687" s="3">
        <v>113895.43</v>
      </c>
      <c r="F687" s="4" t="str">
        <f>HYPERLINK("http://141.218.60.56/~jnz1568/getInfo.php?workbook=11_02.xlsx&amp;sheet=A0&amp;row=687&amp;col=6&amp;number=623.7&amp;sourceID=14","623.7")</f>
        <v>623.7</v>
      </c>
      <c r="G687" s="4" t="str">
        <f>HYPERLINK("http://141.218.60.56/~jnz1568/getInfo.php?workbook=11_02.xlsx&amp;sheet=A0&amp;row=687&amp;col=7&amp;number=0&amp;sourceID=14","0")</f>
        <v>0</v>
      </c>
    </row>
    <row r="688" spans="1:7">
      <c r="A688" s="3">
        <v>11</v>
      </c>
      <c r="B688" s="3">
        <v>2</v>
      </c>
      <c r="C688" s="3">
        <v>41</v>
      </c>
      <c r="D688" s="3">
        <v>39</v>
      </c>
      <c r="E688" s="3">
        <v>454546.281</v>
      </c>
      <c r="F688" s="4" t="str">
        <f>HYPERLINK("http://141.218.60.56/~jnz1568/getInfo.php?workbook=11_02.xlsx&amp;sheet=A0&amp;row=688&amp;col=6&amp;number=2.039&amp;sourceID=14","2.039")</f>
        <v>2.039</v>
      </c>
      <c r="G688" s="4" t="str">
        <f>HYPERLINK("http://141.218.60.56/~jnz1568/getInfo.php?workbook=11_02.xlsx&amp;sheet=A0&amp;row=688&amp;col=7&amp;number=0&amp;sourceID=14","0")</f>
        <v>0</v>
      </c>
    </row>
    <row r="689" spans="1:7">
      <c r="A689" s="3">
        <v>11</v>
      </c>
      <c r="B689" s="3">
        <v>2</v>
      </c>
      <c r="C689" s="3">
        <v>42</v>
      </c>
      <c r="D689" s="3">
        <v>39</v>
      </c>
      <c r="E689" s="3">
        <v>454546.281</v>
      </c>
      <c r="F689" s="4" t="str">
        <f>HYPERLINK("http://141.218.60.56/~jnz1568/getInfo.php?workbook=11_02.xlsx&amp;sheet=A0&amp;row=689&amp;col=6&amp;number=58.33&amp;sourceID=14","58.33")</f>
        <v>58.33</v>
      </c>
      <c r="G689" s="4" t="str">
        <f>HYPERLINK("http://141.218.60.56/~jnz1568/getInfo.php?workbook=11_02.xlsx&amp;sheet=A0&amp;row=689&amp;col=7&amp;number=0&amp;sourceID=14","0")</f>
        <v>0</v>
      </c>
    </row>
    <row r="690" spans="1:7">
      <c r="A690" s="3">
        <v>11</v>
      </c>
      <c r="B690" s="3">
        <v>2</v>
      </c>
      <c r="C690" s="3">
        <v>43</v>
      </c>
      <c r="D690" s="3">
        <v>39</v>
      </c>
      <c r="E690" s="3">
        <v>446429.406</v>
      </c>
      <c r="F690" s="4" t="str">
        <f>HYPERLINK("http://141.218.60.56/~jnz1568/getInfo.php?workbook=11_02.xlsx&amp;sheet=A0&amp;row=690&amp;col=6&amp;number=2.955&amp;sourceID=14","2.955")</f>
        <v>2.955</v>
      </c>
      <c r="G690" s="4" t="str">
        <f>HYPERLINK("http://141.218.60.56/~jnz1568/getInfo.php?workbook=11_02.xlsx&amp;sheet=A0&amp;row=690&amp;col=7&amp;number=0&amp;sourceID=14","0")</f>
        <v>0</v>
      </c>
    </row>
    <row r="691" spans="1:7">
      <c r="A691" s="3">
        <v>11</v>
      </c>
      <c r="B691" s="3">
        <v>2</v>
      </c>
      <c r="C691" s="3">
        <v>49</v>
      </c>
      <c r="D691" s="3">
        <v>46</v>
      </c>
      <c r="E691" s="3">
        <v>151286.203</v>
      </c>
      <c r="F691" s="4" t="str">
        <f>HYPERLINK("http://141.218.60.56/~jnz1568/getInfo.php?workbook=11_02.xlsx&amp;sheet=A0&amp;row=691&amp;col=6&amp;number=13290&amp;sourceID=14","13290")</f>
        <v>13290</v>
      </c>
      <c r="G691" s="4" t="str">
        <f>HYPERLINK("http://141.218.60.56/~jnz1568/getInfo.php?workbook=11_02.xlsx&amp;sheet=A0&amp;row=691&amp;col=7&amp;number=0&amp;sourceID=14","0")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43</v>
      </c>
      <c r="F3" s="2" t="s">
        <v>44</v>
      </c>
      <c r="G3" s="2" t="s">
        <v>45</v>
      </c>
    </row>
    <row r="4" spans="1:7">
      <c r="A4" s="3">
        <v>11</v>
      </c>
      <c r="B4" s="3">
        <v>2</v>
      </c>
      <c r="C4" s="3">
        <v>1</v>
      </c>
      <c r="D4" s="3">
        <v>2</v>
      </c>
      <c r="E4" s="3">
        <v>1</v>
      </c>
      <c r="F4" s="4" t="str">
        <f>HYPERLINK("http://141.218.60.56/~jnz1568/getInfo.php?workbook=11_02.xlsx&amp;sheet=U0&amp;row=4&amp;col=6&amp;number=3&amp;sourceID=14","3")</f>
        <v>3</v>
      </c>
      <c r="G4" s="4" t="str">
        <f>HYPERLINK("http://141.218.60.56/~jnz1568/getInfo.php?workbook=11_02.xlsx&amp;sheet=U0&amp;row=4&amp;col=7&amp;number=0.0239&amp;sourceID=14","0.0239")</f>
        <v>0.0239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HYPERLINK("http://141.218.60.56/~jnz1568/getInfo.php?workbook=11_02.xlsx&amp;sheet=U0&amp;row=5&amp;col=6&amp;number=3.1&amp;sourceID=14","3.1")</f>
        <v>3.1</v>
      </c>
      <c r="G5" s="4" t="str">
        <f>HYPERLINK("http://141.218.60.56/~jnz1568/getInfo.php?workbook=11_02.xlsx&amp;sheet=U0&amp;row=5&amp;col=7&amp;number=0.0239&amp;sourceID=14","0.0239")</f>
        <v>0.0239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HYPERLINK("http://141.218.60.56/~jnz1568/getInfo.php?workbook=11_02.xlsx&amp;sheet=U0&amp;row=6&amp;col=6&amp;number=3.2&amp;sourceID=14","3.2")</f>
        <v>3.2</v>
      </c>
      <c r="G6" s="4" t="str">
        <f>HYPERLINK("http://141.218.60.56/~jnz1568/getInfo.php?workbook=11_02.xlsx&amp;sheet=U0&amp;row=6&amp;col=7&amp;number=0.0239&amp;sourceID=14","0.0239")</f>
        <v>0.0239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HYPERLINK("http://141.218.60.56/~jnz1568/getInfo.php?workbook=11_02.xlsx&amp;sheet=U0&amp;row=7&amp;col=6&amp;number=3.3&amp;sourceID=14","3.3")</f>
        <v>3.3</v>
      </c>
      <c r="G7" s="4" t="str">
        <f>HYPERLINK("http://141.218.60.56/~jnz1568/getInfo.php?workbook=11_02.xlsx&amp;sheet=U0&amp;row=7&amp;col=7&amp;number=0.0238&amp;sourceID=14","0.0238")</f>
        <v>0.0238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HYPERLINK("http://141.218.60.56/~jnz1568/getInfo.php?workbook=11_02.xlsx&amp;sheet=U0&amp;row=8&amp;col=6&amp;number=3.4&amp;sourceID=14","3.4")</f>
        <v>3.4</v>
      </c>
      <c r="G8" s="4" t="str">
        <f>HYPERLINK("http://141.218.60.56/~jnz1568/getInfo.php?workbook=11_02.xlsx&amp;sheet=U0&amp;row=8&amp;col=7&amp;number=0.0238&amp;sourceID=14","0.0238")</f>
        <v>0.0238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HYPERLINK("http://141.218.60.56/~jnz1568/getInfo.php?workbook=11_02.xlsx&amp;sheet=U0&amp;row=9&amp;col=6&amp;number=3.5&amp;sourceID=14","3.5")</f>
        <v>3.5</v>
      </c>
      <c r="G9" s="4" t="str">
        <f>HYPERLINK("http://141.218.60.56/~jnz1568/getInfo.php?workbook=11_02.xlsx&amp;sheet=U0&amp;row=9&amp;col=7&amp;number=0.0237&amp;sourceID=14","0.0237")</f>
        <v>0.0237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HYPERLINK("http://141.218.60.56/~jnz1568/getInfo.php?workbook=11_02.xlsx&amp;sheet=U0&amp;row=10&amp;col=6&amp;number=3.6&amp;sourceID=14","3.6")</f>
        <v>3.6</v>
      </c>
      <c r="G10" s="4" t="str">
        <f>HYPERLINK("http://141.218.60.56/~jnz1568/getInfo.php?workbook=11_02.xlsx&amp;sheet=U0&amp;row=10&amp;col=7&amp;number=0.0236&amp;sourceID=14","0.0236")</f>
        <v>0.0236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HYPERLINK("http://141.218.60.56/~jnz1568/getInfo.php?workbook=11_02.xlsx&amp;sheet=U0&amp;row=11&amp;col=6&amp;number=3.7&amp;sourceID=14","3.7")</f>
        <v>3.7</v>
      </c>
      <c r="G11" s="4" t="str">
        <f>HYPERLINK("http://141.218.60.56/~jnz1568/getInfo.php?workbook=11_02.xlsx&amp;sheet=U0&amp;row=11&amp;col=7&amp;number=0.0235&amp;sourceID=14","0.0235")</f>
        <v>0.0235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HYPERLINK("http://141.218.60.56/~jnz1568/getInfo.php?workbook=11_02.xlsx&amp;sheet=U0&amp;row=12&amp;col=6&amp;number=3.8&amp;sourceID=14","3.8")</f>
        <v>3.8</v>
      </c>
      <c r="G12" s="4" t="str">
        <f>HYPERLINK("http://141.218.60.56/~jnz1568/getInfo.php?workbook=11_02.xlsx&amp;sheet=U0&amp;row=12&amp;col=7&amp;number=0.0234&amp;sourceID=14","0.0234")</f>
        <v>0.0234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HYPERLINK("http://141.218.60.56/~jnz1568/getInfo.php?workbook=11_02.xlsx&amp;sheet=U0&amp;row=13&amp;col=6&amp;number=3.9&amp;sourceID=14","3.9")</f>
        <v>3.9</v>
      </c>
      <c r="G13" s="4" t="str">
        <f>HYPERLINK("http://141.218.60.56/~jnz1568/getInfo.php?workbook=11_02.xlsx&amp;sheet=U0&amp;row=13&amp;col=7&amp;number=0.0233&amp;sourceID=14","0.0233")</f>
        <v>0.0233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HYPERLINK("http://141.218.60.56/~jnz1568/getInfo.php?workbook=11_02.xlsx&amp;sheet=U0&amp;row=14&amp;col=6&amp;number=4&amp;sourceID=14","4")</f>
        <v>4</v>
      </c>
      <c r="G14" s="4" t="str">
        <f>HYPERLINK("http://141.218.60.56/~jnz1568/getInfo.php?workbook=11_02.xlsx&amp;sheet=U0&amp;row=14&amp;col=7&amp;number=0.0231&amp;sourceID=14","0.0231")</f>
        <v>0.0231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HYPERLINK("http://141.218.60.56/~jnz1568/getInfo.php?workbook=11_02.xlsx&amp;sheet=U0&amp;row=15&amp;col=6&amp;number=4.1&amp;sourceID=14","4.1")</f>
        <v>4.1</v>
      </c>
      <c r="G15" s="4" t="str">
        <f>HYPERLINK("http://141.218.60.56/~jnz1568/getInfo.php?workbook=11_02.xlsx&amp;sheet=U0&amp;row=15&amp;col=7&amp;number=0.0229&amp;sourceID=14","0.0229")</f>
        <v>0.0229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HYPERLINK("http://141.218.60.56/~jnz1568/getInfo.php?workbook=11_02.xlsx&amp;sheet=U0&amp;row=16&amp;col=6&amp;number=4.2&amp;sourceID=14","4.2")</f>
        <v>4.2</v>
      </c>
      <c r="G16" s="4" t="str">
        <f>HYPERLINK("http://141.218.60.56/~jnz1568/getInfo.php?workbook=11_02.xlsx&amp;sheet=U0&amp;row=16&amp;col=7&amp;number=0.0226&amp;sourceID=14","0.0226")</f>
        <v>0.0226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HYPERLINK("http://141.218.60.56/~jnz1568/getInfo.php?workbook=11_02.xlsx&amp;sheet=U0&amp;row=17&amp;col=6&amp;number=4.3&amp;sourceID=14","4.3")</f>
        <v>4.3</v>
      </c>
      <c r="G17" s="4" t="str">
        <f>HYPERLINK("http://141.218.60.56/~jnz1568/getInfo.php?workbook=11_02.xlsx&amp;sheet=U0&amp;row=17&amp;col=7&amp;number=0.0222&amp;sourceID=14","0.0222")</f>
        <v>0.0222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HYPERLINK("http://141.218.60.56/~jnz1568/getInfo.php?workbook=11_02.xlsx&amp;sheet=U0&amp;row=18&amp;col=6&amp;number=4.4&amp;sourceID=14","4.4")</f>
        <v>4.4</v>
      </c>
      <c r="G18" s="4" t="str">
        <f>HYPERLINK("http://141.218.60.56/~jnz1568/getInfo.php?workbook=11_02.xlsx&amp;sheet=U0&amp;row=18&amp;col=7&amp;number=0.0217&amp;sourceID=14","0.0217")</f>
        <v>0.0217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HYPERLINK("http://141.218.60.56/~jnz1568/getInfo.php?workbook=11_02.xlsx&amp;sheet=U0&amp;row=19&amp;col=6&amp;number=4.5&amp;sourceID=14","4.5")</f>
        <v>4.5</v>
      </c>
      <c r="G19" s="4" t="str">
        <f>HYPERLINK("http://141.218.60.56/~jnz1568/getInfo.php?workbook=11_02.xlsx&amp;sheet=U0&amp;row=19&amp;col=7&amp;number=0.0212&amp;sourceID=14","0.0212")</f>
        <v>0.0212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HYPERLINK("http://141.218.60.56/~jnz1568/getInfo.php?workbook=11_02.xlsx&amp;sheet=U0&amp;row=20&amp;col=6&amp;number=4.6&amp;sourceID=14","4.6")</f>
        <v>4.6</v>
      </c>
      <c r="G20" s="4" t="str">
        <f>HYPERLINK("http://141.218.60.56/~jnz1568/getInfo.php?workbook=11_02.xlsx&amp;sheet=U0&amp;row=20&amp;col=7&amp;number=0.0205&amp;sourceID=14","0.0205")</f>
        <v>0.0205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HYPERLINK("http://141.218.60.56/~jnz1568/getInfo.php?workbook=11_02.xlsx&amp;sheet=U0&amp;row=21&amp;col=6&amp;number=4.7&amp;sourceID=14","4.7")</f>
        <v>4.7</v>
      </c>
      <c r="G21" s="4" t="str">
        <f>HYPERLINK("http://141.218.60.56/~jnz1568/getInfo.php?workbook=11_02.xlsx&amp;sheet=U0&amp;row=21&amp;col=7&amp;number=0.0197&amp;sourceID=14","0.0197")</f>
        <v>0.0197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HYPERLINK("http://141.218.60.56/~jnz1568/getInfo.php?workbook=11_02.xlsx&amp;sheet=U0&amp;row=22&amp;col=6&amp;number=4.8&amp;sourceID=14","4.8")</f>
        <v>4.8</v>
      </c>
      <c r="G22" s="4" t="str">
        <f>HYPERLINK("http://141.218.60.56/~jnz1568/getInfo.php?workbook=11_02.xlsx&amp;sheet=U0&amp;row=22&amp;col=7&amp;number=0.0187&amp;sourceID=14","0.0187")</f>
        <v>0.0187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HYPERLINK("http://141.218.60.56/~jnz1568/getInfo.php?workbook=11_02.xlsx&amp;sheet=U0&amp;row=23&amp;col=6&amp;number=4.9&amp;sourceID=14","4.9")</f>
        <v>4.9</v>
      </c>
      <c r="G23" s="4" t="str">
        <f>HYPERLINK("http://141.218.60.56/~jnz1568/getInfo.php?workbook=11_02.xlsx&amp;sheet=U0&amp;row=23&amp;col=7&amp;number=0.0175&amp;sourceID=14","0.0175")</f>
        <v>0.0175</v>
      </c>
    </row>
    <row r="24" spans="1:7">
      <c r="A24" s="3">
        <v>11</v>
      </c>
      <c r="B24" s="3">
        <v>2</v>
      </c>
      <c r="C24" s="3">
        <v>1</v>
      </c>
      <c r="D24" s="3">
        <v>3</v>
      </c>
      <c r="E24" s="3">
        <v>1</v>
      </c>
      <c r="F24" s="4" t="str">
        <f>HYPERLINK("http://141.218.60.56/~jnz1568/getInfo.php?workbook=11_02.xlsx&amp;sheet=U0&amp;row=24&amp;col=6&amp;number=3&amp;sourceID=14","3")</f>
        <v>3</v>
      </c>
      <c r="G24" s="4" t="str">
        <f>HYPERLINK("http://141.218.60.56/~jnz1568/getInfo.php?workbook=11_02.xlsx&amp;sheet=U0&amp;row=24&amp;col=7&amp;number=0.0018&amp;sourceID=14","0.0018")</f>
        <v>0.0018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HYPERLINK("http://141.218.60.56/~jnz1568/getInfo.php?workbook=11_02.xlsx&amp;sheet=U0&amp;row=25&amp;col=6&amp;number=3.1&amp;sourceID=14","3.1")</f>
        <v>3.1</v>
      </c>
      <c r="G25" s="4" t="str">
        <f>HYPERLINK("http://141.218.60.56/~jnz1568/getInfo.php?workbook=11_02.xlsx&amp;sheet=U0&amp;row=25&amp;col=7&amp;number=0.0018&amp;sourceID=14","0.0018")</f>
        <v>0.0018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HYPERLINK("http://141.218.60.56/~jnz1568/getInfo.php?workbook=11_02.xlsx&amp;sheet=U0&amp;row=26&amp;col=6&amp;number=3.2&amp;sourceID=14","3.2")</f>
        <v>3.2</v>
      </c>
      <c r="G26" s="4" t="str">
        <f>HYPERLINK("http://141.218.60.56/~jnz1568/getInfo.php?workbook=11_02.xlsx&amp;sheet=U0&amp;row=26&amp;col=7&amp;number=0.0018&amp;sourceID=14","0.0018")</f>
        <v>0.0018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HYPERLINK("http://141.218.60.56/~jnz1568/getInfo.php?workbook=11_02.xlsx&amp;sheet=U0&amp;row=27&amp;col=6&amp;number=3.3&amp;sourceID=14","3.3")</f>
        <v>3.3</v>
      </c>
      <c r="G27" s="4" t="str">
        <f>HYPERLINK("http://141.218.60.56/~jnz1568/getInfo.php?workbook=11_02.xlsx&amp;sheet=U0&amp;row=27&amp;col=7&amp;number=0.0018&amp;sourceID=14","0.0018")</f>
        <v>0.0018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HYPERLINK("http://141.218.60.56/~jnz1568/getInfo.php?workbook=11_02.xlsx&amp;sheet=U0&amp;row=28&amp;col=6&amp;number=3.4&amp;sourceID=14","3.4")</f>
        <v>3.4</v>
      </c>
      <c r="G28" s="4" t="str">
        <f>HYPERLINK("http://141.218.60.56/~jnz1568/getInfo.php?workbook=11_02.xlsx&amp;sheet=U0&amp;row=28&amp;col=7&amp;number=0.0018&amp;sourceID=14","0.0018")</f>
        <v>0.0018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HYPERLINK("http://141.218.60.56/~jnz1568/getInfo.php?workbook=11_02.xlsx&amp;sheet=U0&amp;row=29&amp;col=6&amp;number=3.5&amp;sourceID=14","3.5")</f>
        <v>3.5</v>
      </c>
      <c r="G29" s="4" t="str">
        <f>HYPERLINK("http://141.218.60.56/~jnz1568/getInfo.php?workbook=11_02.xlsx&amp;sheet=U0&amp;row=29&amp;col=7&amp;number=0.0018&amp;sourceID=14","0.0018")</f>
        <v>0.0018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HYPERLINK("http://141.218.60.56/~jnz1568/getInfo.php?workbook=11_02.xlsx&amp;sheet=U0&amp;row=30&amp;col=6&amp;number=3.6&amp;sourceID=14","3.6")</f>
        <v>3.6</v>
      </c>
      <c r="G30" s="4" t="str">
        <f>HYPERLINK("http://141.218.60.56/~jnz1568/getInfo.php?workbook=11_02.xlsx&amp;sheet=U0&amp;row=30&amp;col=7&amp;number=0.0018&amp;sourceID=14","0.0018")</f>
        <v>0.0018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HYPERLINK("http://141.218.60.56/~jnz1568/getInfo.php?workbook=11_02.xlsx&amp;sheet=U0&amp;row=31&amp;col=6&amp;number=3.7&amp;sourceID=14","3.7")</f>
        <v>3.7</v>
      </c>
      <c r="G31" s="4" t="str">
        <f>HYPERLINK("http://141.218.60.56/~jnz1568/getInfo.php?workbook=11_02.xlsx&amp;sheet=U0&amp;row=31&amp;col=7&amp;number=0.00179&amp;sourceID=14","0.00179")</f>
        <v>0.00179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HYPERLINK("http://141.218.60.56/~jnz1568/getInfo.php?workbook=11_02.xlsx&amp;sheet=U0&amp;row=32&amp;col=6&amp;number=3.8&amp;sourceID=14","3.8")</f>
        <v>3.8</v>
      </c>
      <c r="G32" s="4" t="str">
        <f>HYPERLINK("http://141.218.60.56/~jnz1568/getInfo.php?workbook=11_02.xlsx&amp;sheet=U0&amp;row=32&amp;col=7&amp;number=0.00179&amp;sourceID=14","0.00179")</f>
        <v>0.00179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HYPERLINK("http://141.218.60.56/~jnz1568/getInfo.php?workbook=11_02.xlsx&amp;sheet=U0&amp;row=33&amp;col=6&amp;number=3.9&amp;sourceID=14","3.9")</f>
        <v>3.9</v>
      </c>
      <c r="G33" s="4" t="str">
        <f>HYPERLINK("http://141.218.60.56/~jnz1568/getInfo.php?workbook=11_02.xlsx&amp;sheet=U0&amp;row=33&amp;col=7&amp;number=0.00179&amp;sourceID=14","0.00179")</f>
        <v>0.00179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HYPERLINK("http://141.218.60.56/~jnz1568/getInfo.php?workbook=11_02.xlsx&amp;sheet=U0&amp;row=34&amp;col=6&amp;number=4&amp;sourceID=14","4")</f>
        <v>4</v>
      </c>
      <c r="G34" s="4" t="str">
        <f>HYPERLINK("http://141.218.60.56/~jnz1568/getInfo.php?workbook=11_02.xlsx&amp;sheet=U0&amp;row=34&amp;col=7&amp;number=0.00178&amp;sourceID=14","0.00178")</f>
        <v>0.00178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HYPERLINK("http://141.218.60.56/~jnz1568/getInfo.php?workbook=11_02.xlsx&amp;sheet=U0&amp;row=35&amp;col=6&amp;number=4.1&amp;sourceID=14","4.1")</f>
        <v>4.1</v>
      </c>
      <c r="G35" s="4" t="str">
        <f>HYPERLINK("http://141.218.60.56/~jnz1568/getInfo.php?workbook=11_02.xlsx&amp;sheet=U0&amp;row=35&amp;col=7&amp;number=0.00178&amp;sourceID=14","0.00178")</f>
        <v>0.00178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HYPERLINK("http://141.218.60.56/~jnz1568/getInfo.php?workbook=11_02.xlsx&amp;sheet=U0&amp;row=36&amp;col=6&amp;number=4.2&amp;sourceID=14","4.2")</f>
        <v>4.2</v>
      </c>
      <c r="G36" s="4" t="str">
        <f>HYPERLINK("http://141.218.60.56/~jnz1568/getInfo.php?workbook=11_02.xlsx&amp;sheet=U0&amp;row=36&amp;col=7&amp;number=0.00177&amp;sourceID=14","0.00177")</f>
        <v>0.00177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HYPERLINK("http://141.218.60.56/~jnz1568/getInfo.php?workbook=11_02.xlsx&amp;sheet=U0&amp;row=37&amp;col=6&amp;number=4.3&amp;sourceID=14","4.3")</f>
        <v>4.3</v>
      </c>
      <c r="G37" s="4" t="str">
        <f>HYPERLINK("http://141.218.60.56/~jnz1568/getInfo.php?workbook=11_02.xlsx&amp;sheet=U0&amp;row=37&amp;col=7&amp;number=0.00177&amp;sourceID=14","0.00177")</f>
        <v>0.00177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HYPERLINK("http://141.218.60.56/~jnz1568/getInfo.php?workbook=11_02.xlsx&amp;sheet=U0&amp;row=38&amp;col=6&amp;number=4.4&amp;sourceID=14","4.4")</f>
        <v>4.4</v>
      </c>
      <c r="G38" s="4" t="str">
        <f>HYPERLINK("http://141.218.60.56/~jnz1568/getInfo.php?workbook=11_02.xlsx&amp;sheet=U0&amp;row=38&amp;col=7&amp;number=0.00176&amp;sourceID=14","0.00176")</f>
        <v>0.00176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HYPERLINK("http://141.218.60.56/~jnz1568/getInfo.php?workbook=11_02.xlsx&amp;sheet=U0&amp;row=39&amp;col=6&amp;number=4.5&amp;sourceID=14","4.5")</f>
        <v>4.5</v>
      </c>
      <c r="G39" s="4" t="str">
        <f>HYPERLINK("http://141.218.60.56/~jnz1568/getInfo.php?workbook=11_02.xlsx&amp;sheet=U0&amp;row=39&amp;col=7&amp;number=0.00174&amp;sourceID=14","0.00174")</f>
        <v>0.00174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HYPERLINK("http://141.218.60.56/~jnz1568/getInfo.php?workbook=11_02.xlsx&amp;sheet=U0&amp;row=40&amp;col=6&amp;number=4.6&amp;sourceID=14","4.6")</f>
        <v>4.6</v>
      </c>
      <c r="G40" s="4" t="str">
        <f>HYPERLINK("http://141.218.60.56/~jnz1568/getInfo.php?workbook=11_02.xlsx&amp;sheet=U0&amp;row=40&amp;col=7&amp;number=0.00173&amp;sourceID=14","0.00173")</f>
        <v>0.00173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HYPERLINK("http://141.218.60.56/~jnz1568/getInfo.php?workbook=11_02.xlsx&amp;sheet=U0&amp;row=41&amp;col=6&amp;number=4.7&amp;sourceID=14","4.7")</f>
        <v>4.7</v>
      </c>
      <c r="G41" s="4" t="str">
        <f>HYPERLINK("http://141.218.60.56/~jnz1568/getInfo.php?workbook=11_02.xlsx&amp;sheet=U0&amp;row=41&amp;col=7&amp;number=0.00171&amp;sourceID=14","0.00171")</f>
        <v>0.00171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HYPERLINK("http://141.218.60.56/~jnz1568/getInfo.php?workbook=11_02.xlsx&amp;sheet=U0&amp;row=42&amp;col=6&amp;number=4.8&amp;sourceID=14","4.8")</f>
        <v>4.8</v>
      </c>
      <c r="G42" s="4" t="str">
        <f>HYPERLINK("http://141.218.60.56/~jnz1568/getInfo.php?workbook=11_02.xlsx&amp;sheet=U0&amp;row=42&amp;col=7&amp;number=0.00169&amp;sourceID=14","0.00169")</f>
        <v>0.00169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HYPERLINK("http://141.218.60.56/~jnz1568/getInfo.php?workbook=11_02.xlsx&amp;sheet=U0&amp;row=43&amp;col=6&amp;number=4.9&amp;sourceID=14","4.9")</f>
        <v>4.9</v>
      </c>
      <c r="G43" s="4" t="str">
        <f>HYPERLINK("http://141.218.60.56/~jnz1568/getInfo.php?workbook=11_02.xlsx&amp;sheet=U0&amp;row=43&amp;col=7&amp;number=0.00167&amp;sourceID=14","0.00167")</f>
        <v>0.00167</v>
      </c>
    </row>
    <row r="44" spans="1:7">
      <c r="A44" s="3">
        <v>11</v>
      </c>
      <c r="B44" s="3">
        <v>2</v>
      </c>
      <c r="C44" s="3">
        <v>1</v>
      </c>
      <c r="D44" s="3">
        <v>4</v>
      </c>
      <c r="E44" s="3">
        <v>1</v>
      </c>
      <c r="F44" s="4" t="str">
        <f>HYPERLINK("http://141.218.60.56/~jnz1568/getInfo.php?workbook=11_02.xlsx&amp;sheet=U0&amp;row=44&amp;col=6&amp;number=3&amp;sourceID=14","3")</f>
        <v>3</v>
      </c>
      <c r="G44" s="4" t="str">
        <f>HYPERLINK("http://141.218.60.56/~jnz1568/getInfo.php?workbook=11_02.xlsx&amp;sheet=U0&amp;row=44&amp;col=7&amp;number=0.0048&amp;sourceID=14","0.0048")</f>
        <v>0.0048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HYPERLINK("http://141.218.60.56/~jnz1568/getInfo.php?workbook=11_02.xlsx&amp;sheet=U0&amp;row=45&amp;col=6&amp;number=3.1&amp;sourceID=14","3.1")</f>
        <v>3.1</v>
      </c>
      <c r="G45" s="4" t="str">
        <f>HYPERLINK("http://141.218.60.56/~jnz1568/getInfo.php?workbook=11_02.xlsx&amp;sheet=U0&amp;row=45&amp;col=7&amp;number=0.0048&amp;sourceID=14","0.0048")</f>
        <v>0.0048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HYPERLINK("http://141.218.60.56/~jnz1568/getInfo.php?workbook=11_02.xlsx&amp;sheet=U0&amp;row=46&amp;col=6&amp;number=3.2&amp;sourceID=14","3.2")</f>
        <v>3.2</v>
      </c>
      <c r="G46" s="4" t="str">
        <f>HYPERLINK("http://141.218.60.56/~jnz1568/getInfo.php?workbook=11_02.xlsx&amp;sheet=U0&amp;row=46&amp;col=7&amp;number=0.0048&amp;sourceID=14","0.0048")</f>
        <v>0.0048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HYPERLINK("http://141.218.60.56/~jnz1568/getInfo.php?workbook=11_02.xlsx&amp;sheet=U0&amp;row=47&amp;col=6&amp;number=3.3&amp;sourceID=14","3.3")</f>
        <v>3.3</v>
      </c>
      <c r="G47" s="4" t="str">
        <f>HYPERLINK("http://141.218.60.56/~jnz1568/getInfo.php?workbook=11_02.xlsx&amp;sheet=U0&amp;row=47&amp;col=7&amp;number=0.0048&amp;sourceID=14","0.0048")</f>
        <v>0.0048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HYPERLINK("http://141.218.60.56/~jnz1568/getInfo.php?workbook=11_02.xlsx&amp;sheet=U0&amp;row=48&amp;col=6&amp;number=3.4&amp;sourceID=14","3.4")</f>
        <v>3.4</v>
      </c>
      <c r="G48" s="4" t="str">
        <f>HYPERLINK("http://141.218.60.56/~jnz1568/getInfo.php?workbook=11_02.xlsx&amp;sheet=U0&amp;row=48&amp;col=7&amp;number=0.0048&amp;sourceID=14","0.0048")</f>
        <v>0.0048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HYPERLINK("http://141.218.60.56/~jnz1568/getInfo.php?workbook=11_02.xlsx&amp;sheet=U0&amp;row=49&amp;col=6&amp;number=3.5&amp;sourceID=14","3.5")</f>
        <v>3.5</v>
      </c>
      <c r="G49" s="4" t="str">
        <f>HYPERLINK("http://141.218.60.56/~jnz1568/getInfo.php?workbook=11_02.xlsx&amp;sheet=U0&amp;row=49&amp;col=7&amp;number=0.00479&amp;sourceID=14","0.00479")</f>
        <v>0.00479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HYPERLINK("http://141.218.60.56/~jnz1568/getInfo.php?workbook=11_02.xlsx&amp;sheet=U0&amp;row=50&amp;col=6&amp;number=3.6&amp;sourceID=14","3.6")</f>
        <v>3.6</v>
      </c>
      <c r="G50" s="4" t="str">
        <f>HYPERLINK("http://141.218.60.56/~jnz1568/getInfo.php?workbook=11_02.xlsx&amp;sheet=U0&amp;row=50&amp;col=7&amp;number=0.00479&amp;sourceID=14","0.00479")</f>
        <v>0.00479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HYPERLINK("http://141.218.60.56/~jnz1568/getInfo.php?workbook=11_02.xlsx&amp;sheet=U0&amp;row=51&amp;col=6&amp;number=3.7&amp;sourceID=14","3.7")</f>
        <v>3.7</v>
      </c>
      <c r="G51" s="4" t="str">
        <f>HYPERLINK("http://141.218.60.56/~jnz1568/getInfo.php?workbook=11_02.xlsx&amp;sheet=U0&amp;row=51&amp;col=7&amp;number=0.00479&amp;sourceID=14","0.00479")</f>
        <v>0.00479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HYPERLINK("http://141.218.60.56/~jnz1568/getInfo.php?workbook=11_02.xlsx&amp;sheet=U0&amp;row=52&amp;col=6&amp;number=3.8&amp;sourceID=14","3.8")</f>
        <v>3.8</v>
      </c>
      <c r="G52" s="4" t="str">
        <f>HYPERLINK("http://141.218.60.56/~jnz1568/getInfo.php?workbook=11_02.xlsx&amp;sheet=U0&amp;row=52&amp;col=7&amp;number=0.00479&amp;sourceID=14","0.00479")</f>
        <v>0.00479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HYPERLINK("http://141.218.60.56/~jnz1568/getInfo.php?workbook=11_02.xlsx&amp;sheet=U0&amp;row=53&amp;col=6&amp;number=3.9&amp;sourceID=14","3.9")</f>
        <v>3.9</v>
      </c>
      <c r="G53" s="4" t="str">
        <f>HYPERLINK("http://141.218.60.56/~jnz1568/getInfo.php?workbook=11_02.xlsx&amp;sheet=U0&amp;row=53&amp;col=7&amp;number=0.00478&amp;sourceID=14","0.00478")</f>
        <v>0.00478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HYPERLINK("http://141.218.60.56/~jnz1568/getInfo.php?workbook=11_02.xlsx&amp;sheet=U0&amp;row=54&amp;col=6&amp;number=4&amp;sourceID=14","4")</f>
        <v>4</v>
      </c>
      <c r="G54" s="4" t="str">
        <f>HYPERLINK("http://141.218.60.56/~jnz1568/getInfo.php?workbook=11_02.xlsx&amp;sheet=U0&amp;row=54&amp;col=7&amp;number=0.00478&amp;sourceID=14","0.00478")</f>
        <v>0.00478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HYPERLINK("http://141.218.60.56/~jnz1568/getInfo.php?workbook=11_02.xlsx&amp;sheet=U0&amp;row=55&amp;col=6&amp;number=4.1&amp;sourceID=14","4.1")</f>
        <v>4.1</v>
      </c>
      <c r="G55" s="4" t="str">
        <f>HYPERLINK("http://141.218.60.56/~jnz1568/getInfo.php?workbook=11_02.xlsx&amp;sheet=U0&amp;row=55&amp;col=7&amp;number=0.00477&amp;sourceID=14","0.00477")</f>
        <v>0.00477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HYPERLINK("http://141.218.60.56/~jnz1568/getInfo.php?workbook=11_02.xlsx&amp;sheet=U0&amp;row=56&amp;col=6&amp;number=4.2&amp;sourceID=14","4.2")</f>
        <v>4.2</v>
      </c>
      <c r="G56" s="4" t="str">
        <f>HYPERLINK("http://141.218.60.56/~jnz1568/getInfo.php?workbook=11_02.xlsx&amp;sheet=U0&amp;row=56&amp;col=7&amp;number=0.00476&amp;sourceID=14","0.00476")</f>
        <v>0.00476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HYPERLINK("http://141.218.60.56/~jnz1568/getInfo.php?workbook=11_02.xlsx&amp;sheet=U0&amp;row=57&amp;col=6&amp;number=4.3&amp;sourceID=14","4.3")</f>
        <v>4.3</v>
      </c>
      <c r="G57" s="4" t="str">
        <f>HYPERLINK("http://141.218.60.56/~jnz1568/getInfo.php?workbook=11_02.xlsx&amp;sheet=U0&amp;row=57&amp;col=7&amp;number=0.00475&amp;sourceID=14","0.00475")</f>
        <v>0.00475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HYPERLINK("http://141.218.60.56/~jnz1568/getInfo.php?workbook=11_02.xlsx&amp;sheet=U0&amp;row=58&amp;col=6&amp;number=4.4&amp;sourceID=14","4.4")</f>
        <v>4.4</v>
      </c>
      <c r="G58" s="4" t="str">
        <f>HYPERLINK("http://141.218.60.56/~jnz1568/getInfo.php?workbook=11_02.xlsx&amp;sheet=U0&amp;row=58&amp;col=7&amp;number=0.00474&amp;sourceID=14","0.00474")</f>
        <v>0.00474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HYPERLINK("http://141.218.60.56/~jnz1568/getInfo.php?workbook=11_02.xlsx&amp;sheet=U0&amp;row=59&amp;col=6&amp;number=4.5&amp;sourceID=14","4.5")</f>
        <v>4.5</v>
      </c>
      <c r="G59" s="4" t="str">
        <f>HYPERLINK("http://141.218.60.56/~jnz1568/getInfo.php?workbook=11_02.xlsx&amp;sheet=U0&amp;row=59&amp;col=7&amp;number=0.00472&amp;sourceID=14","0.00472")</f>
        <v>0.00472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HYPERLINK("http://141.218.60.56/~jnz1568/getInfo.php?workbook=11_02.xlsx&amp;sheet=U0&amp;row=60&amp;col=6&amp;number=4.6&amp;sourceID=14","4.6")</f>
        <v>4.6</v>
      </c>
      <c r="G60" s="4" t="str">
        <f>HYPERLINK("http://141.218.60.56/~jnz1568/getInfo.php?workbook=11_02.xlsx&amp;sheet=U0&amp;row=60&amp;col=7&amp;number=0.00471&amp;sourceID=14","0.00471")</f>
        <v>0.00471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HYPERLINK("http://141.218.60.56/~jnz1568/getInfo.php?workbook=11_02.xlsx&amp;sheet=U0&amp;row=61&amp;col=6&amp;number=4.7&amp;sourceID=14","4.7")</f>
        <v>4.7</v>
      </c>
      <c r="G61" s="4" t="str">
        <f>HYPERLINK("http://141.218.60.56/~jnz1568/getInfo.php?workbook=11_02.xlsx&amp;sheet=U0&amp;row=61&amp;col=7&amp;number=0.00468&amp;sourceID=14","0.00468")</f>
        <v>0.00468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HYPERLINK("http://141.218.60.56/~jnz1568/getInfo.php?workbook=11_02.xlsx&amp;sheet=U0&amp;row=62&amp;col=6&amp;number=4.8&amp;sourceID=14","4.8")</f>
        <v>4.8</v>
      </c>
      <c r="G62" s="4" t="str">
        <f>HYPERLINK("http://141.218.60.56/~jnz1568/getInfo.php?workbook=11_02.xlsx&amp;sheet=U0&amp;row=62&amp;col=7&amp;number=0.00465&amp;sourceID=14","0.00465")</f>
        <v>0.00465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HYPERLINK("http://141.218.60.56/~jnz1568/getInfo.php?workbook=11_02.xlsx&amp;sheet=U0&amp;row=63&amp;col=6&amp;number=4.9&amp;sourceID=14","4.9")</f>
        <v>4.9</v>
      </c>
      <c r="G63" s="4" t="str">
        <f>HYPERLINK("http://141.218.60.56/~jnz1568/getInfo.php?workbook=11_02.xlsx&amp;sheet=U0&amp;row=63&amp;col=7&amp;number=0.00462&amp;sourceID=14","0.00462")</f>
        <v>0.00462</v>
      </c>
    </row>
    <row r="64" spans="1:7">
      <c r="A64" s="3">
        <v>11</v>
      </c>
      <c r="B64" s="3">
        <v>2</v>
      </c>
      <c r="C64" s="3">
        <v>1</v>
      </c>
      <c r="D64" s="3">
        <v>5</v>
      </c>
      <c r="E64" s="3">
        <v>1</v>
      </c>
      <c r="F64" s="4" t="str">
        <f>HYPERLINK("http://141.218.60.56/~jnz1568/getInfo.php?workbook=11_02.xlsx&amp;sheet=U0&amp;row=64&amp;col=6&amp;number=3&amp;sourceID=14","3")</f>
        <v>3</v>
      </c>
      <c r="G64" s="4" t="str">
        <f>HYPERLINK("http://141.218.60.56/~jnz1568/getInfo.php?workbook=11_02.xlsx&amp;sheet=U0&amp;row=64&amp;col=7&amp;number=0.0079&amp;sourceID=14","0.0079")</f>
        <v>0.0079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HYPERLINK("http://141.218.60.56/~jnz1568/getInfo.php?workbook=11_02.xlsx&amp;sheet=U0&amp;row=65&amp;col=6&amp;number=3.1&amp;sourceID=14","3.1")</f>
        <v>3.1</v>
      </c>
      <c r="G65" s="4" t="str">
        <f>HYPERLINK("http://141.218.60.56/~jnz1568/getInfo.php?workbook=11_02.xlsx&amp;sheet=U0&amp;row=65&amp;col=7&amp;number=0.0079&amp;sourceID=14","0.0079")</f>
        <v>0.0079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HYPERLINK("http://141.218.60.56/~jnz1568/getInfo.php?workbook=11_02.xlsx&amp;sheet=U0&amp;row=66&amp;col=6&amp;number=3.2&amp;sourceID=14","3.2")</f>
        <v>3.2</v>
      </c>
      <c r="G66" s="4" t="str">
        <f>HYPERLINK("http://141.218.60.56/~jnz1568/getInfo.php?workbook=11_02.xlsx&amp;sheet=U0&amp;row=66&amp;col=7&amp;number=0.00789&amp;sourceID=14","0.00789")</f>
        <v>0.00789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HYPERLINK("http://141.218.60.56/~jnz1568/getInfo.php?workbook=11_02.xlsx&amp;sheet=U0&amp;row=67&amp;col=6&amp;number=3.3&amp;sourceID=14","3.3")</f>
        <v>3.3</v>
      </c>
      <c r="G67" s="4" t="str">
        <f>HYPERLINK("http://141.218.60.56/~jnz1568/getInfo.php?workbook=11_02.xlsx&amp;sheet=U0&amp;row=67&amp;col=7&amp;number=0.00789&amp;sourceID=14","0.00789")</f>
        <v>0.00789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HYPERLINK("http://141.218.60.56/~jnz1568/getInfo.php?workbook=11_02.xlsx&amp;sheet=U0&amp;row=68&amp;col=6&amp;number=3.4&amp;sourceID=14","3.4")</f>
        <v>3.4</v>
      </c>
      <c r="G68" s="4" t="str">
        <f>HYPERLINK("http://141.218.60.56/~jnz1568/getInfo.php?workbook=11_02.xlsx&amp;sheet=U0&amp;row=68&amp;col=7&amp;number=0.00789&amp;sourceID=14","0.00789")</f>
        <v>0.00789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HYPERLINK("http://141.218.60.56/~jnz1568/getInfo.php?workbook=11_02.xlsx&amp;sheet=U0&amp;row=69&amp;col=6&amp;number=3.5&amp;sourceID=14","3.5")</f>
        <v>3.5</v>
      </c>
      <c r="G69" s="4" t="str">
        <f>HYPERLINK("http://141.218.60.56/~jnz1568/getInfo.php?workbook=11_02.xlsx&amp;sheet=U0&amp;row=69&amp;col=7&amp;number=0.00789&amp;sourceID=14","0.00789")</f>
        <v>0.00789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HYPERLINK("http://141.218.60.56/~jnz1568/getInfo.php?workbook=11_02.xlsx&amp;sheet=U0&amp;row=70&amp;col=6&amp;number=3.6&amp;sourceID=14","3.6")</f>
        <v>3.6</v>
      </c>
      <c r="G70" s="4" t="str">
        <f>HYPERLINK("http://141.218.60.56/~jnz1568/getInfo.php?workbook=11_02.xlsx&amp;sheet=U0&amp;row=70&amp;col=7&amp;number=0.00789&amp;sourceID=14","0.00789")</f>
        <v>0.00789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HYPERLINK("http://141.218.60.56/~jnz1568/getInfo.php?workbook=11_02.xlsx&amp;sheet=U0&amp;row=71&amp;col=6&amp;number=3.7&amp;sourceID=14","3.7")</f>
        <v>3.7</v>
      </c>
      <c r="G71" s="4" t="str">
        <f>HYPERLINK("http://141.218.60.56/~jnz1568/getInfo.php?workbook=11_02.xlsx&amp;sheet=U0&amp;row=71&amp;col=7&amp;number=0.00788&amp;sourceID=14","0.00788")</f>
        <v>0.00788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HYPERLINK("http://141.218.60.56/~jnz1568/getInfo.php?workbook=11_02.xlsx&amp;sheet=U0&amp;row=72&amp;col=6&amp;number=3.8&amp;sourceID=14","3.8")</f>
        <v>3.8</v>
      </c>
      <c r="G72" s="4" t="str">
        <f>HYPERLINK("http://141.218.60.56/~jnz1568/getInfo.php?workbook=11_02.xlsx&amp;sheet=U0&amp;row=72&amp;col=7&amp;number=0.00788&amp;sourceID=14","0.00788")</f>
        <v>0.00788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HYPERLINK("http://141.218.60.56/~jnz1568/getInfo.php?workbook=11_02.xlsx&amp;sheet=U0&amp;row=73&amp;col=6&amp;number=3.9&amp;sourceID=14","3.9")</f>
        <v>3.9</v>
      </c>
      <c r="G73" s="4" t="str">
        <f>HYPERLINK("http://141.218.60.56/~jnz1568/getInfo.php?workbook=11_02.xlsx&amp;sheet=U0&amp;row=73&amp;col=7&amp;number=0.00787&amp;sourceID=14","0.00787")</f>
        <v>0.00787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HYPERLINK("http://141.218.60.56/~jnz1568/getInfo.php?workbook=11_02.xlsx&amp;sheet=U0&amp;row=74&amp;col=6&amp;number=4&amp;sourceID=14","4")</f>
        <v>4</v>
      </c>
      <c r="G74" s="4" t="str">
        <f>HYPERLINK("http://141.218.60.56/~jnz1568/getInfo.php?workbook=11_02.xlsx&amp;sheet=U0&amp;row=74&amp;col=7&amp;number=0.00786&amp;sourceID=14","0.00786")</f>
        <v>0.00786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HYPERLINK("http://141.218.60.56/~jnz1568/getInfo.php?workbook=11_02.xlsx&amp;sheet=U0&amp;row=75&amp;col=6&amp;number=4.1&amp;sourceID=14","4.1")</f>
        <v>4.1</v>
      </c>
      <c r="G75" s="4" t="str">
        <f>HYPERLINK("http://141.218.60.56/~jnz1568/getInfo.php?workbook=11_02.xlsx&amp;sheet=U0&amp;row=75&amp;col=7&amp;number=0.00785&amp;sourceID=14","0.00785")</f>
        <v>0.00785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HYPERLINK("http://141.218.60.56/~jnz1568/getInfo.php?workbook=11_02.xlsx&amp;sheet=U0&amp;row=76&amp;col=6&amp;number=4.2&amp;sourceID=14","4.2")</f>
        <v>4.2</v>
      </c>
      <c r="G76" s="4" t="str">
        <f>HYPERLINK("http://141.218.60.56/~jnz1568/getInfo.php?workbook=11_02.xlsx&amp;sheet=U0&amp;row=76&amp;col=7&amp;number=0.00784&amp;sourceID=14","0.00784")</f>
        <v>0.00784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HYPERLINK("http://141.218.60.56/~jnz1568/getInfo.php?workbook=11_02.xlsx&amp;sheet=U0&amp;row=77&amp;col=6&amp;number=4.3&amp;sourceID=14","4.3")</f>
        <v>4.3</v>
      </c>
      <c r="G77" s="4" t="str">
        <f>HYPERLINK("http://141.218.60.56/~jnz1568/getInfo.php?workbook=11_02.xlsx&amp;sheet=U0&amp;row=77&amp;col=7&amp;number=0.00783&amp;sourceID=14","0.00783")</f>
        <v>0.00783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HYPERLINK("http://141.218.60.56/~jnz1568/getInfo.php?workbook=11_02.xlsx&amp;sheet=U0&amp;row=78&amp;col=6&amp;number=4.4&amp;sourceID=14","4.4")</f>
        <v>4.4</v>
      </c>
      <c r="G78" s="4" t="str">
        <f>HYPERLINK("http://141.218.60.56/~jnz1568/getInfo.php?workbook=11_02.xlsx&amp;sheet=U0&amp;row=78&amp;col=7&amp;number=0.00781&amp;sourceID=14","0.00781")</f>
        <v>0.00781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HYPERLINK("http://141.218.60.56/~jnz1568/getInfo.php?workbook=11_02.xlsx&amp;sheet=U0&amp;row=79&amp;col=6&amp;number=4.5&amp;sourceID=14","4.5")</f>
        <v>4.5</v>
      </c>
      <c r="G79" s="4" t="str">
        <f>HYPERLINK("http://141.218.60.56/~jnz1568/getInfo.php?workbook=11_02.xlsx&amp;sheet=U0&amp;row=79&amp;col=7&amp;number=0.00779&amp;sourceID=14","0.00779")</f>
        <v>0.00779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HYPERLINK("http://141.218.60.56/~jnz1568/getInfo.php?workbook=11_02.xlsx&amp;sheet=U0&amp;row=80&amp;col=6&amp;number=4.6&amp;sourceID=14","4.6")</f>
        <v>4.6</v>
      </c>
      <c r="G80" s="4" t="str">
        <f>HYPERLINK("http://141.218.60.56/~jnz1568/getInfo.php?workbook=11_02.xlsx&amp;sheet=U0&amp;row=80&amp;col=7&amp;number=0.00776&amp;sourceID=14","0.00776")</f>
        <v>0.00776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HYPERLINK("http://141.218.60.56/~jnz1568/getInfo.php?workbook=11_02.xlsx&amp;sheet=U0&amp;row=81&amp;col=6&amp;number=4.7&amp;sourceID=14","4.7")</f>
        <v>4.7</v>
      </c>
      <c r="G81" s="4" t="str">
        <f>HYPERLINK("http://141.218.60.56/~jnz1568/getInfo.php?workbook=11_02.xlsx&amp;sheet=U0&amp;row=81&amp;col=7&amp;number=0.00772&amp;sourceID=14","0.00772")</f>
        <v>0.00772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HYPERLINK("http://141.218.60.56/~jnz1568/getInfo.php?workbook=11_02.xlsx&amp;sheet=U0&amp;row=82&amp;col=6&amp;number=4.8&amp;sourceID=14","4.8")</f>
        <v>4.8</v>
      </c>
      <c r="G82" s="4" t="str">
        <f>HYPERLINK("http://141.218.60.56/~jnz1568/getInfo.php?workbook=11_02.xlsx&amp;sheet=U0&amp;row=82&amp;col=7&amp;number=0.00768&amp;sourceID=14","0.00768")</f>
        <v>0.00768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HYPERLINK("http://141.218.60.56/~jnz1568/getInfo.php?workbook=11_02.xlsx&amp;sheet=U0&amp;row=83&amp;col=6&amp;number=4.9&amp;sourceID=14","4.9")</f>
        <v>4.9</v>
      </c>
      <c r="G83" s="4" t="str">
        <f>HYPERLINK("http://141.218.60.56/~jnz1568/getInfo.php?workbook=11_02.xlsx&amp;sheet=U0&amp;row=83&amp;col=7&amp;number=0.00762&amp;sourceID=14","0.00762")</f>
        <v>0.00762</v>
      </c>
    </row>
    <row r="84" spans="1:7">
      <c r="A84" s="3">
        <v>11</v>
      </c>
      <c r="B84" s="3">
        <v>2</v>
      </c>
      <c r="C84" s="3">
        <v>1</v>
      </c>
      <c r="D84" s="3">
        <v>6</v>
      </c>
      <c r="E84" s="3">
        <v>1</v>
      </c>
      <c r="F84" s="4" t="str">
        <f>HYPERLINK("http://141.218.60.56/~jnz1568/getInfo.php?workbook=11_02.xlsx&amp;sheet=U0&amp;row=84&amp;col=6&amp;number=3&amp;sourceID=14","3")</f>
        <v>3</v>
      </c>
      <c r="G84" s="4" t="str">
        <f>HYPERLINK("http://141.218.60.56/~jnz1568/getInfo.php?workbook=11_02.xlsx&amp;sheet=U0&amp;row=84&amp;col=7&amp;number=0.0072&amp;sourceID=14","0.0072")</f>
        <v>0.0072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HYPERLINK("http://141.218.60.56/~jnz1568/getInfo.php?workbook=11_02.xlsx&amp;sheet=U0&amp;row=85&amp;col=6&amp;number=3.1&amp;sourceID=14","3.1")</f>
        <v>3.1</v>
      </c>
      <c r="G85" s="4" t="str">
        <f>HYPERLINK("http://141.218.60.56/~jnz1568/getInfo.php?workbook=11_02.xlsx&amp;sheet=U0&amp;row=85&amp;col=7&amp;number=0.0072&amp;sourceID=14","0.0072")</f>
        <v>0.0072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HYPERLINK("http://141.218.60.56/~jnz1568/getInfo.php?workbook=11_02.xlsx&amp;sheet=U0&amp;row=86&amp;col=6&amp;number=3.2&amp;sourceID=14","3.2")</f>
        <v>3.2</v>
      </c>
      <c r="G86" s="4" t="str">
        <f>HYPERLINK("http://141.218.60.56/~jnz1568/getInfo.php?workbook=11_02.xlsx&amp;sheet=U0&amp;row=86&amp;col=7&amp;number=0.00719&amp;sourceID=14","0.00719")</f>
        <v>0.00719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HYPERLINK("http://141.218.60.56/~jnz1568/getInfo.php?workbook=11_02.xlsx&amp;sheet=U0&amp;row=87&amp;col=6&amp;number=3.3&amp;sourceID=14","3.3")</f>
        <v>3.3</v>
      </c>
      <c r="G87" s="4" t="str">
        <f>HYPERLINK("http://141.218.60.56/~jnz1568/getInfo.php?workbook=11_02.xlsx&amp;sheet=U0&amp;row=87&amp;col=7&amp;number=0.00719&amp;sourceID=14","0.00719")</f>
        <v>0.00719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HYPERLINK("http://141.218.60.56/~jnz1568/getInfo.php?workbook=11_02.xlsx&amp;sheet=U0&amp;row=88&amp;col=6&amp;number=3.4&amp;sourceID=14","3.4")</f>
        <v>3.4</v>
      </c>
      <c r="G88" s="4" t="str">
        <f>HYPERLINK("http://141.218.60.56/~jnz1568/getInfo.php?workbook=11_02.xlsx&amp;sheet=U0&amp;row=88&amp;col=7&amp;number=0.00718&amp;sourceID=14","0.00718")</f>
        <v>0.00718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HYPERLINK("http://141.218.60.56/~jnz1568/getInfo.php?workbook=11_02.xlsx&amp;sheet=U0&amp;row=89&amp;col=6&amp;number=3.5&amp;sourceID=14","3.5")</f>
        <v>3.5</v>
      </c>
      <c r="G89" s="4" t="str">
        <f>HYPERLINK("http://141.218.60.56/~jnz1568/getInfo.php?workbook=11_02.xlsx&amp;sheet=U0&amp;row=89&amp;col=7&amp;number=0.00717&amp;sourceID=14","0.00717")</f>
        <v>0.00717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HYPERLINK("http://141.218.60.56/~jnz1568/getInfo.php?workbook=11_02.xlsx&amp;sheet=U0&amp;row=90&amp;col=6&amp;number=3.6&amp;sourceID=14","3.6")</f>
        <v>3.6</v>
      </c>
      <c r="G90" s="4" t="str">
        <f>HYPERLINK("http://141.218.60.56/~jnz1568/getInfo.php?workbook=11_02.xlsx&amp;sheet=U0&amp;row=90&amp;col=7&amp;number=0.00716&amp;sourceID=14","0.00716")</f>
        <v>0.00716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HYPERLINK("http://141.218.60.56/~jnz1568/getInfo.php?workbook=11_02.xlsx&amp;sheet=U0&amp;row=91&amp;col=6&amp;number=3.7&amp;sourceID=14","3.7")</f>
        <v>3.7</v>
      </c>
      <c r="G91" s="4" t="str">
        <f>HYPERLINK("http://141.218.60.56/~jnz1568/getInfo.php?workbook=11_02.xlsx&amp;sheet=U0&amp;row=91&amp;col=7&amp;number=0.00714&amp;sourceID=14","0.00714")</f>
        <v>0.00714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HYPERLINK("http://141.218.60.56/~jnz1568/getInfo.php?workbook=11_02.xlsx&amp;sheet=U0&amp;row=92&amp;col=6&amp;number=3.8&amp;sourceID=14","3.8")</f>
        <v>3.8</v>
      </c>
      <c r="G92" s="4" t="str">
        <f>HYPERLINK("http://141.218.60.56/~jnz1568/getInfo.php?workbook=11_02.xlsx&amp;sheet=U0&amp;row=92&amp;col=7&amp;number=0.00712&amp;sourceID=14","0.00712")</f>
        <v>0.00712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HYPERLINK("http://141.218.60.56/~jnz1568/getInfo.php?workbook=11_02.xlsx&amp;sheet=U0&amp;row=93&amp;col=6&amp;number=3.9&amp;sourceID=14","3.9")</f>
        <v>3.9</v>
      </c>
      <c r="G93" s="4" t="str">
        <f>HYPERLINK("http://141.218.60.56/~jnz1568/getInfo.php?workbook=11_02.xlsx&amp;sheet=U0&amp;row=93&amp;col=7&amp;number=0.0071&amp;sourceID=14","0.0071")</f>
        <v>0.0071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HYPERLINK("http://141.218.60.56/~jnz1568/getInfo.php?workbook=11_02.xlsx&amp;sheet=U0&amp;row=94&amp;col=6&amp;number=4&amp;sourceID=14","4")</f>
        <v>4</v>
      </c>
      <c r="G94" s="4" t="str">
        <f>HYPERLINK("http://141.218.60.56/~jnz1568/getInfo.php?workbook=11_02.xlsx&amp;sheet=U0&amp;row=94&amp;col=7&amp;number=0.00707&amp;sourceID=14","0.00707")</f>
        <v>0.00707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HYPERLINK("http://141.218.60.56/~jnz1568/getInfo.php?workbook=11_02.xlsx&amp;sheet=U0&amp;row=95&amp;col=6&amp;number=4.1&amp;sourceID=14","4.1")</f>
        <v>4.1</v>
      </c>
      <c r="G95" s="4" t="str">
        <f>HYPERLINK("http://141.218.60.56/~jnz1568/getInfo.php?workbook=11_02.xlsx&amp;sheet=U0&amp;row=95&amp;col=7&amp;number=0.00703&amp;sourceID=14","0.00703")</f>
        <v>0.00703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HYPERLINK("http://141.218.60.56/~jnz1568/getInfo.php?workbook=11_02.xlsx&amp;sheet=U0&amp;row=96&amp;col=6&amp;number=4.2&amp;sourceID=14","4.2")</f>
        <v>4.2</v>
      </c>
      <c r="G96" s="4" t="str">
        <f>HYPERLINK("http://141.218.60.56/~jnz1568/getInfo.php?workbook=11_02.xlsx&amp;sheet=U0&amp;row=96&amp;col=7&amp;number=0.00698&amp;sourceID=14","0.00698")</f>
        <v>0.00698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HYPERLINK("http://141.218.60.56/~jnz1568/getInfo.php?workbook=11_02.xlsx&amp;sheet=U0&amp;row=97&amp;col=6&amp;number=4.3&amp;sourceID=14","4.3")</f>
        <v>4.3</v>
      </c>
      <c r="G97" s="4" t="str">
        <f>HYPERLINK("http://141.218.60.56/~jnz1568/getInfo.php?workbook=11_02.xlsx&amp;sheet=U0&amp;row=97&amp;col=7&amp;number=0.00692&amp;sourceID=14","0.00692")</f>
        <v>0.00692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HYPERLINK("http://141.218.60.56/~jnz1568/getInfo.php?workbook=11_02.xlsx&amp;sheet=U0&amp;row=98&amp;col=6&amp;number=4.4&amp;sourceID=14","4.4")</f>
        <v>4.4</v>
      </c>
      <c r="G98" s="4" t="str">
        <f>HYPERLINK("http://141.218.60.56/~jnz1568/getInfo.php?workbook=11_02.xlsx&amp;sheet=U0&amp;row=98&amp;col=7&amp;number=0.00685&amp;sourceID=14","0.00685")</f>
        <v>0.00685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HYPERLINK("http://141.218.60.56/~jnz1568/getInfo.php?workbook=11_02.xlsx&amp;sheet=U0&amp;row=99&amp;col=6&amp;number=4.5&amp;sourceID=14","4.5")</f>
        <v>4.5</v>
      </c>
      <c r="G99" s="4" t="str">
        <f>HYPERLINK("http://141.218.60.56/~jnz1568/getInfo.php?workbook=11_02.xlsx&amp;sheet=U0&amp;row=99&amp;col=7&amp;number=0.00676&amp;sourceID=14","0.00676")</f>
        <v>0.00676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HYPERLINK("http://141.218.60.56/~jnz1568/getInfo.php?workbook=11_02.xlsx&amp;sheet=U0&amp;row=100&amp;col=6&amp;number=4.6&amp;sourceID=14","4.6")</f>
        <v>4.6</v>
      </c>
      <c r="G100" s="4" t="str">
        <f>HYPERLINK("http://141.218.60.56/~jnz1568/getInfo.php?workbook=11_02.xlsx&amp;sheet=U0&amp;row=100&amp;col=7&amp;number=0.00665&amp;sourceID=14","0.00665")</f>
        <v>0.00665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HYPERLINK("http://141.218.60.56/~jnz1568/getInfo.php?workbook=11_02.xlsx&amp;sheet=U0&amp;row=101&amp;col=6&amp;number=4.7&amp;sourceID=14","4.7")</f>
        <v>4.7</v>
      </c>
      <c r="G101" s="4" t="str">
        <f>HYPERLINK("http://141.218.60.56/~jnz1568/getInfo.php?workbook=11_02.xlsx&amp;sheet=U0&amp;row=101&amp;col=7&amp;number=0.00652&amp;sourceID=14","0.00652")</f>
        <v>0.00652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HYPERLINK("http://141.218.60.56/~jnz1568/getInfo.php?workbook=11_02.xlsx&amp;sheet=U0&amp;row=102&amp;col=6&amp;number=4.8&amp;sourceID=14","4.8")</f>
        <v>4.8</v>
      </c>
      <c r="G102" s="4" t="str">
        <f>HYPERLINK("http://141.218.60.56/~jnz1568/getInfo.php?workbook=11_02.xlsx&amp;sheet=U0&amp;row=102&amp;col=7&amp;number=0.00636&amp;sourceID=14","0.00636")</f>
        <v>0.00636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HYPERLINK("http://141.218.60.56/~jnz1568/getInfo.php?workbook=11_02.xlsx&amp;sheet=U0&amp;row=103&amp;col=6&amp;number=4.9&amp;sourceID=14","4.9")</f>
        <v>4.9</v>
      </c>
      <c r="G103" s="4" t="str">
        <f>HYPERLINK("http://141.218.60.56/~jnz1568/getInfo.php?workbook=11_02.xlsx&amp;sheet=U0&amp;row=103&amp;col=7&amp;number=0.00618&amp;sourceID=14","0.00618")</f>
        <v>0.00618</v>
      </c>
    </row>
    <row r="104" spans="1:7">
      <c r="A104" s="3">
        <v>11</v>
      </c>
      <c r="B104" s="3">
        <v>2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HYPERLINK("http://141.218.60.56/~jnz1568/getInfo.php?workbook=11_02.xlsx&amp;sheet=U0&amp;row=104&amp;col=6&amp;number=3&amp;sourceID=14","3")</f>
        <v>3</v>
      </c>
      <c r="G104" s="4" t="str">
        <f>HYPERLINK("http://141.218.60.56/~jnz1568/getInfo.php?workbook=11_02.xlsx&amp;sheet=U0&amp;row=104&amp;col=7&amp;number=0.0107&amp;sourceID=14","0.0107")</f>
        <v>0.0107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HYPERLINK("http://141.218.60.56/~jnz1568/getInfo.php?workbook=11_02.xlsx&amp;sheet=U0&amp;row=105&amp;col=6&amp;number=3.1&amp;sourceID=14","3.1")</f>
        <v>3.1</v>
      </c>
      <c r="G105" s="4" t="str">
        <f>HYPERLINK("http://141.218.60.56/~jnz1568/getInfo.php?workbook=11_02.xlsx&amp;sheet=U0&amp;row=105&amp;col=7&amp;number=0.0107&amp;sourceID=14","0.0107")</f>
        <v>0.0107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HYPERLINK("http://141.218.60.56/~jnz1568/getInfo.php?workbook=11_02.xlsx&amp;sheet=U0&amp;row=106&amp;col=6&amp;number=3.2&amp;sourceID=14","3.2")</f>
        <v>3.2</v>
      </c>
      <c r="G106" s="4" t="str">
        <f>HYPERLINK("http://141.218.60.56/~jnz1568/getInfo.php?workbook=11_02.xlsx&amp;sheet=U0&amp;row=106&amp;col=7&amp;number=0.0107&amp;sourceID=14","0.0107")</f>
        <v>0.0107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HYPERLINK("http://141.218.60.56/~jnz1568/getInfo.php?workbook=11_02.xlsx&amp;sheet=U0&amp;row=107&amp;col=6&amp;number=3.3&amp;sourceID=14","3.3")</f>
        <v>3.3</v>
      </c>
      <c r="G107" s="4" t="str">
        <f>HYPERLINK("http://141.218.60.56/~jnz1568/getInfo.php?workbook=11_02.xlsx&amp;sheet=U0&amp;row=107&amp;col=7&amp;number=0.0107&amp;sourceID=14","0.0107")</f>
        <v>0.0107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HYPERLINK("http://141.218.60.56/~jnz1568/getInfo.php?workbook=11_02.xlsx&amp;sheet=U0&amp;row=108&amp;col=6&amp;number=3.4&amp;sourceID=14","3.4")</f>
        <v>3.4</v>
      </c>
      <c r="G108" s="4" t="str">
        <f>HYPERLINK("http://141.218.60.56/~jnz1568/getInfo.php?workbook=11_02.xlsx&amp;sheet=U0&amp;row=108&amp;col=7&amp;number=0.0107&amp;sourceID=14","0.0107")</f>
        <v>0.0107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HYPERLINK("http://141.218.60.56/~jnz1568/getInfo.php?workbook=11_02.xlsx&amp;sheet=U0&amp;row=109&amp;col=6&amp;number=3.5&amp;sourceID=14","3.5")</f>
        <v>3.5</v>
      </c>
      <c r="G109" s="4" t="str">
        <f>HYPERLINK("http://141.218.60.56/~jnz1568/getInfo.php?workbook=11_02.xlsx&amp;sheet=U0&amp;row=109&amp;col=7&amp;number=0.0107&amp;sourceID=14","0.0107")</f>
        <v>0.0107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HYPERLINK("http://141.218.60.56/~jnz1568/getInfo.php?workbook=11_02.xlsx&amp;sheet=U0&amp;row=110&amp;col=6&amp;number=3.6&amp;sourceID=14","3.6")</f>
        <v>3.6</v>
      </c>
      <c r="G110" s="4" t="str">
        <f>HYPERLINK("http://141.218.60.56/~jnz1568/getInfo.php?workbook=11_02.xlsx&amp;sheet=U0&amp;row=110&amp;col=7&amp;number=0.0107&amp;sourceID=14","0.0107")</f>
        <v>0.0107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HYPERLINK("http://141.218.60.56/~jnz1568/getInfo.php?workbook=11_02.xlsx&amp;sheet=U0&amp;row=111&amp;col=6&amp;number=3.7&amp;sourceID=14","3.7")</f>
        <v>3.7</v>
      </c>
      <c r="G111" s="4" t="str">
        <f>HYPERLINK("http://141.218.60.56/~jnz1568/getInfo.php?workbook=11_02.xlsx&amp;sheet=U0&amp;row=111&amp;col=7&amp;number=0.0107&amp;sourceID=14","0.0107")</f>
        <v>0.0107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HYPERLINK("http://141.218.60.56/~jnz1568/getInfo.php?workbook=11_02.xlsx&amp;sheet=U0&amp;row=112&amp;col=6&amp;number=3.8&amp;sourceID=14","3.8")</f>
        <v>3.8</v>
      </c>
      <c r="G112" s="4" t="str">
        <f>HYPERLINK("http://141.218.60.56/~jnz1568/getInfo.php?workbook=11_02.xlsx&amp;sheet=U0&amp;row=112&amp;col=7&amp;number=0.0107&amp;sourceID=14","0.0107")</f>
        <v>0.0107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HYPERLINK("http://141.218.60.56/~jnz1568/getInfo.php?workbook=11_02.xlsx&amp;sheet=U0&amp;row=113&amp;col=6&amp;number=3.9&amp;sourceID=14","3.9")</f>
        <v>3.9</v>
      </c>
      <c r="G113" s="4" t="str">
        <f>HYPERLINK("http://141.218.60.56/~jnz1568/getInfo.php?workbook=11_02.xlsx&amp;sheet=U0&amp;row=113&amp;col=7&amp;number=0.0107&amp;sourceID=14","0.0107")</f>
        <v>0.0107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HYPERLINK("http://141.218.60.56/~jnz1568/getInfo.php?workbook=11_02.xlsx&amp;sheet=U0&amp;row=114&amp;col=6&amp;number=4&amp;sourceID=14","4")</f>
        <v>4</v>
      </c>
      <c r="G114" s="4" t="str">
        <f>HYPERLINK("http://141.218.60.56/~jnz1568/getInfo.php?workbook=11_02.xlsx&amp;sheet=U0&amp;row=114&amp;col=7&amp;number=0.0107&amp;sourceID=14","0.0107")</f>
        <v>0.0107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HYPERLINK("http://141.218.60.56/~jnz1568/getInfo.php?workbook=11_02.xlsx&amp;sheet=U0&amp;row=115&amp;col=6&amp;number=4.1&amp;sourceID=14","4.1")</f>
        <v>4.1</v>
      </c>
      <c r="G115" s="4" t="str">
        <f>HYPERLINK("http://141.218.60.56/~jnz1568/getInfo.php?workbook=11_02.xlsx&amp;sheet=U0&amp;row=115&amp;col=7&amp;number=0.0107&amp;sourceID=14","0.0107")</f>
        <v>0.0107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HYPERLINK("http://141.218.60.56/~jnz1568/getInfo.php?workbook=11_02.xlsx&amp;sheet=U0&amp;row=116&amp;col=6&amp;number=4.2&amp;sourceID=14","4.2")</f>
        <v>4.2</v>
      </c>
      <c r="G116" s="4" t="str">
        <f>HYPERLINK("http://141.218.60.56/~jnz1568/getInfo.php?workbook=11_02.xlsx&amp;sheet=U0&amp;row=116&amp;col=7&amp;number=0.0107&amp;sourceID=14","0.0107")</f>
        <v>0.0107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HYPERLINK("http://141.218.60.56/~jnz1568/getInfo.php?workbook=11_02.xlsx&amp;sheet=U0&amp;row=117&amp;col=6&amp;number=4.3&amp;sourceID=14","4.3")</f>
        <v>4.3</v>
      </c>
      <c r="G117" s="4" t="str">
        <f>HYPERLINK("http://141.218.60.56/~jnz1568/getInfo.php?workbook=11_02.xlsx&amp;sheet=U0&amp;row=117&amp;col=7&amp;number=0.0107&amp;sourceID=14","0.0107")</f>
        <v>0.0107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HYPERLINK("http://141.218.60.56/~jnz1568/getInfo.php?workbook=11_02.xlsx&amp;sheet=U0&amp;row=118&amp;col=6&amp;number=4.4&amp;sourceID=14","4.4")</f>
        <v>4.4</v>
      </c>
      <c r="G118" s="4" t="str">
        <f>HYPERLINK("http://141.218.60.56/~jnz1568/getInfo.php?workbook=11_02.xlsx&amp;sheet=U0&amp;row=118&amp;col=7&amp;number=0.0108&amp;sourceID=14","0.0108")</f>
        <v>0.0108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HYPERLINK("http://141.218.60.56/~jnz1568/getInfo.php?workbook=11_02.xlsx&amp;sheet=U0&amp;row=119&amp;col=6&amp;number=4.5&amp;sourceID=14","4.5")</f>
        <v>4.5</v>
      </c>
      <c r="G119" s="4" t="str">
        <f>HYPERLINK("http://141.218.60.56/~jnz1568/getInfo.php?workbook=11_02.xlsx&amp;sheet=U0&amp;row=119&amp;col=7&amp;number=0.0108&amp;sourceID=14","0.0108")</f>
        <v>0.0108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HYPERLINK("http://141.218.60.56/~jnz1568/getInfo.php?workbook=11_02.xlsx&amp;sheet=U0&amp;row=120&amp;col=6&amp;number=4.6&amp;sourceID=14","4.6")</f>
        <v>4.6</v>
      </c>
      <c r="G120" s="4" t="str">
        <f>HYPERLINK("http://141.218.60.56/~jnz1568/getInfo.php?workbook=11_02.xlsx&amp;sheet=U0&amp;row=120&amp;col=7&amp;number=0.0108&amp;sourceID=14","0.0108")</f>
        <v>0.0108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HYPERLINK("http://141.218.60.56/~jnz1568/getInfo.php?workbook=11_02.xlsx&amp;sheet=U0&amp;row=121&amp;col=6&amp;number=4.7&amp;sourceID=14","4.7")</f>
        <v>4.7</v>
      </c>
      <c r="G121" s="4" t="str">
        <f>HYPERLINK("http://141.218.60.56/~jnz1568/getInfo.php?workbook=11_02.xlsx&amp;sheet=U0&amp;row=121&amp;col=7&amp;number=0.0108&amp;sourceID=14","0.0108")</f>
        <v>0.0108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HYPERLINK("http://141.218.60.56/~jnz1568/getInfo.php?workbook=11_02.xlsx&amp;sheet=U0&amp;row=122&amp;col=6&amp;number=4.8&amp;sourceID=14","4.8")</f>
        <v>4.8</v>
      </c>
      <c r="G122" s="4" t="str">
        <f>HYPERLINK("http://141.218.60.56/~jnz1568/getInfo.php?workbook=11_02.xlsx&amp;sheet=U0&amp;row=122&amp;col=7&amp;number=0.0109&amp;sourceID=14","0.0109")</f>
        <v>0.0109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HYPERLINK("http://141.218.60.56/~jnz1568/getInfo.php?workbook=11_02.xlsx&amp;sheet=U0&amp;row=123&amp;col=6&amp;number=4.9&amp;sourceID=14","4.9")</f>
        <v>4.9</v>
      </c>
      <c r="G123" s="4" t="str">
        <f>HYPERLINK("http://141.218.60.56/~jnz1568/getInfo.php?workbook=11_02.xlsx&amp;sheet=U0&amp;row=123&amp;col=7&amp;number=0.0109&amp;sourceID=14","0.0109")</f>
        <v>0.0109</v>
      </c>
    </row>
    <row r="124" spans="1:7">
      <c r="A124" s="3">
        <v>11</v>
      </c>
      <c r="B124" s="3">
        <v>2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HYPERLINK("http://141.218.60.56/~jnz1568/getInfo.php?workbook=11_02.xlsx&amp;sheet=U0&amp;row=124&amp;col=6&amp;number=3&amp;sourceID=14","3")</f>
        <v>3</v>
      </c>
      <c r="G124" s="4" t="str">
        <f>HYPERLINK("http://141.218.60.56/~jnz1568/getInfo.php?workbook=11_02.xlsx&amp;sheet=U0&amp;row=124&amp;col=7&amp;number=0.00299&amp;sourceID=14","0.00299")</f>
        <v>0.00299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HYPERLINK("http://141.218.60.56/~jnz1568/getInfo.php?workbook=11_02.xlsx&amp;sheet=U0&amp;row=125&amp;col=6&amp;number=3.1&amp;sourceID=14","3.1")</f>
        <v>3.1</v>
      </c>
      <c r="G125" s="4" t="str">
        <f>HYPERLINK("http://141.218.60.56/~jnz1568/getInfo.php?workbook=11_02.xlsx&amp;sheet=U0&amp;row=125&amp;col=7&amp;number=0.00299&amp;sourceID=14","0.00299")</f>
        <v>0.00299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HYPERLINK("http://141.218.60.56/~jnz1568/getInfo.php?workbook=11_02.xlsx&amp;sheet=U0&amp;row=126&amp;col=6&amp;number=3.2&amp;sourceID=14","3.2")</f>
        <v>3.2</v>
      </c>
      <c r="G126" s="4" t="str">
        <f>HYPERLINK("http://141.218.60.56/~jnz1568/getInfo.php?workbook=11_02.xlsx&amp;sheet=U0&amp;row=126&amp;col=7&amp;number=0.00299&amp;sourceID=14","0.00299")</f>
        <v>0.00299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HYPERLINK("http://141.218.60.56/~jnz1568/getInfo.php?workbook=11_02.xlsx&amp;sheet=U0&amp;row=127&amp;col=6&amp;number=3.3&amp;sourceID=14","3.3")</f>
        <v>3.3</v>
      </c>
      <c r="G127" s="4" t="str">
        <f>HYPERLINK("http://141.218.60.56/~jnz1568/getInfo.php?workbook=11_02.xlsx&amp;sheet=U0&amp;row=127&amp;col=7&amp;number=0.00298&amp;sourceID=14","0.00298")</f>
        <v>0.00298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HYPERLINK("http://141.218.60.56/~jnz1568/getInfo.php?workbook=11_02.xlsx&amp;sheet=U0&amp;row=128&amp;col=6&amp;number=3.4&amp;sourceID=14","3.4")</f>
        <v>3.4</v>
      </c>
      <c r="G128" s="4" t="str">
        <f>HYPERLINK("http://141.218.60.56/~jnz1568/getInfo.php?workbook=11_02.xlsx&amp;sheet=U0&amp;row=128&amp;col=7&amp;number=0.00298&amp;sourceID=14","0.00298")</f>
        <v>0.00298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HYPERLINK("http://141.218.60.56/~jnz1568/getInfo.php?workbook=11_02.xlsx&amp;sheet=U0&amp;row=129&amp;col=6&amp;number=3.5&amp;sourceID=14","3.5")</f>
        <v>3.5</v>
      </c>
      <c r="G129" s="4" t="str">
        <f>HYPERLINK("http://141.218.60.56/~jnz1568/getInfo.php?workbook=11_02.xlsx&amp;sheet=U0&amp;row=129&amp;col=7&amp;number=0.00297&amp;sourceID=14","0.00297")</f>
        <v>0.00297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HYPERLINK("http://141.218.60.56/~jnz1568/getInfo.php?workbook=11_02.xlsx&amp;sheet=U0&amp;row=130&amp;col=6&amp;number=3.6&amp;sourceID=14","3.6")</f>
        <v>3.6</v>
      </c>
      <c r="G130" s="4" t="str">
        <f>HYPERLINK("http://141.218.60.56/~jnz1568/getInfo.php?workbook=11_02.xlsx&amp;sheet=U0&amp;row=130&amp;col=7&amp;number=0.00297&amp;sourceID=14","0.00297")</f>
        <v>0.00297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HYPERLINK("http://141.218.60.56/~jnz1568/getInfo.php?workbook=11_02.xlsx&amp;sheet=U0&amp;row=131&amp;col=6&amp;number=3.7&amp;sourceID=14","3.7")</f>
        <v>3.7</v>
      </c>
      <c r="G131" s="4" t="str">
        <f>HYPERLINK("http://141.218.60.56/~jnz1568/getInfo.php?workbook=11_02.xlsx&amp;sheet=U0&amp;row=131&amp;col=7&amp;number=0.00296&amp;sourceID=14","0.00296")</f>
        <v>0.00296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HYPERLINK("http://141.218.60.56/~jnz1568/getInfo.php?workbook=11_02.xlsx&amp;sheet=U0&amp;row=132&amp;col=6&amp;number=3.8&amp;sourceID=14","3.8")</f>
        <v>3.8</v>
      </c>
      <c r="G132" s="4" t="str">
        <f>HYPERLINK("http://141.218.60.56/~jnz1568/getInfo.php?workbook=11_02.xlsx&amp;sheet=U0&amp;row=132&amp;col=7&amp;number=0.00294&amp;sourceID=14","0.00294")</f>
        <v>0.00294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HYPERLINK("http://141.218.60.56/~jnz1568/getInfo.php?workbook=11_02.xlsx&amp;sheet=U0&amp;row=133&amp;col=6&amp;number=3.9&amp;sourceID=14","3.9")</f>
        <v>3.9</v>
      </c>
      <c r="G133" s="4" t="str">
        <f>HYPERLINK("http://141.218.60.56/~jnz1568/getInfo.php?workbook=11_02.xlsx&amp;sheet=U0&amp;row=133&amp;col=7&amp;number=0.00293&amp;sourceID=14","0.00293")</f>
        <v>0.00293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HYPERLINK("http://141.218.60.56/~jnz1568/getInfo.php?workbook=11_02.xlsx&amp;sheet=U0&amp;row=134&amp;col=6&amp;number=4&amp;sourceID=14","4")</f>
        <v>4</v>
      </c>
      <c r="G134" s="4" t="str">
        <f>HYPERLINK("http://141.218.60.56/~jnz1568/getInfo.php?workbook=11_02.xlsx&amp;sheet=U0&amp;row=134&amp;col=7&amp;number=0.00291&amp;sourceID=14","0.00291")</f>
        <v>0.00291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HYPERLINK("http://141.218.60.56/~jnz1568/getInfo.php?workbook=11_02.xlsx&amp;sheet=U0&amp;row=135&amp;col=6&amp;number=4.1&amp;sourceID=14","4.1")</f>
        <v>4.1</v>
      </c>
      <c r="G135" s="4" t="str">
        <f>HYPERLINK("http://141.218.60.56/~jnz1568/getInfo.php?workbook=11_02.xlsx&amp;sheet=U0&amp;row=135&amp;col=7&amp;number=0.00289&amp;sourceID=14","0.00289")</f>
        <v>0.00289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HYPERLINK("http://141.218.60.56/~jnz1568/getInfo.php?workbook=11_02.xlsx&amp;sheet=U0&amp;row=136&amp;col=6&amp;number=4.2&amp;sourceID=14","4.2")</f>
        <v>4.2</v>
      </c>
      <c r="G136" s="4" t="str">
        <f>HYPERLINK("http://141.218.60.56/~jnz1568/getInfo.php?workbook=11_02.xlsx&amp;sheet=U0&amp;row=136&amp;col=7&amp;number=0.00286&amp;sourceID=14","0.00286")</f>
        <v>0.00286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HYPERLINK("http://141.218.60.56/~jnz1568/getInfo.php?workbook=11_02.xlsx&amp;sheet=U0&amp;row=137&amp;col=6&amp;number=4.3&amp;sourceID=14","4.3")</f>
        <v>4.3</v>
      </c>
      <c r="G137" s="4" t="str">
        <f>HYPERLINK("http://141.218.60.56/~jnz1568/getInfo.php?workbook=11_02.xlsx&amp;sheet=U0&amp;row=137&amp;col=7&amp;number=0.00282&amp;sourceID=14","0.00282")</f>
        <v>0.00282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HYPERLINK("http://141.218.60.56/~jnz1568/getInfo.php?workbook=11_02.xlsx&amp;sheet=U0&amp;row=138&amp;col=6&amp;number=4.4&amp;sourceID=14","4.4")</f>
        <v>4.4</v>
      </c>
      <c r="G138" s="4" t="str">
        <f>HYPERLINK("http://141.218.60.56/~jnz1568/getInfo.php?workbook=11_02.xlsx&amp;sheet=U0&amp;row=138&amp;col=7&amp;number=0.00278&amp;sourceID=14","0.00278")</f>
        <v>0.00278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HYPERLINK("http://141.218.60.56/~jnz1568/getInfo.php?workbook=11_02.xlsx&amp;sheet=U0&amp;row=139&amp;col=6&amp;number=4.5&amp;sourceID=14","4.5")</f>
        <v>4.5</v>
      </c>
      <c r="G139" s="4" t="str">
        <f>HYPERLINK("http://141.218.60.56/~jnz1568/getInfo.php?workbook=11_02.xlsx&amp;sheet=U0&amp;row=139&amp;col=7&amp;number=0.00272&amp;sourceID=14","0.00272")</f>
        <v>0.00272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HYPERLINK("http://141.218.60.56/~jnz1568/getInfo.php?workbook=11_02.xlsx&amp;sheet=U0&amp;row=140&amp;col=6&amp;number=4.6&amp;sourceID=14","4.6")</f>
        <v>4.6</v>
      </c>
      <c r="G140" s="4" t="str">
        <f>HYPERLINK("http://141.218.60.56/~jnz1568/getInfo.php?workbook=11_02.xlsx&amp;sheet=U0&amp;row=140&amp;col=7&amp;number=0.00265&amp;sourceID=14","0.00265")</f>
        <v>0.00265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HYPERLINK("http://141.218.60.56/~jnz1568/getInfo.php?workbook=11_02.xlsx&amp;sheet=U0&amp;row=141&amp;col=6&amp;number=4.7&amp;sourceID=14","4.7")</f>
        <v>4.7</v>
      </c>
      <c r="G141" s="4" t="str">
        <f>HYPERLINK("http://141.218.60.56/~jnz1568/getInfo.php?workbook=11_02.xlsx&amp;sheet=U0&amp;row=141&amp;col=7&amp;number=0.00257&amp;sourceID=14","0.00257")</f>
        <v>0.00257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HYPERLINK("http://141.218.60.56/~jnz1568/getInfo.php?workbook=11_02.xlsx&amp;sheet=U0&amp;row=142&amp;col=6&amp;number=4.8&amp;sourceID=14","4.8")</f>
        <v>4.8</v>
      </c>
      <c r="G142" s="4" t="str">
        <f>HYPERLINK("http://141.218.60.56/~jnz1568/getInfo.php?workbook=11_02.xlsx&amp;sheet=U0&amp;row=142&amp;col=7&amp;number=0.00247&amp;sourceID=14","0.00247")</f>
        <v>0.00247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HYPERLINK("http://141.218.60.56/~jnz1568/getInfo.php?workbook=11_02.xlsx&amp;sheet=U0&amp;row=143&amp;col=6&amp;number=4.9&amp;sourceID=14","4.9")</f>
        <v>4.9</v>
      </c>
      <c r="G143" s="4" t="str">
        <f>HYPERLINK("http://141.218.60.56/~jnz1568/getInfo.php?workbook=11_02.xlsx&amp;sheet=U0&amp;row=143&amp;col=7&amp;number=0.00235&amp;sourceID=14","0.00235")</f>
        <v>0.00235</v>
      </c>
    </row>
    <row r="144" spans="1:7">
      <c r="A144" s="3">
        <v>11</v>
      </c>
      <c r="B144" s="3">
        <v>2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HYPERLINK("http://141.218.60.56/~jnz1568/getInfo.php?workbook=11_02.xlsx&amp;sheet=U0&amp;row=144&amp;col=6&amp;number=3&amp;sourceID=14","3")</f>
        <v>3</v>
      </c>
      <c r="G144" s="4" t="str">
        <f>HYPERLINK("http://141.218.60.56/~jnz1568/getInfo.php?workbook=11_02.xlsx&amp;sheet=U0&amp;row=144&amp;col=7&amp;number=0.00035&amp;sourceID=14","0.00035")</f>
        <v>0.00035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HYPERLINK("http://141.218.60.56/~jnz1568/getInfo.php?workbook=11_02.xlsx&amp;sheet=U0&amp;row=145&amp;col=6&amp;number=3.1&amp;sourceID=14","3.1")</f>
        <v>3.1</v>
      </c>
      <c r="G145" s="4" t="str">
        <f>HYPERLINK("http://141.218.60.56/~jnz1568/getInfo.php?workbook=11_02.xlsx&amp;sheet=U0&amp;row=145&amp;col=7&amp;number=0.00035&amp;sourceID=14","0.00035")</f>
        <v>0.00035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HYPERLINK("http://141.218.60.56/~jnz1568/getInfo.php?workbook=11_02.xlsx&amp;sheet=U0&amp;row=146&amp;col=6&amp;number=3.2&amp;sourceID=14","3.2")</f>
        <v>3.2</v>
      </c>
      <c r="G146" s="4" t="str">
        <f>HYPERLINK("http://141.218.60.56/~jnz1568/getInfo.php?workbook=11_02.xlsx&amp;sheet=U0&amp;row=146&amp;col=7&amp;number=0.00035&amp;sourceID=14","0.00035")</f>
        <v>0.00035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HYPERLINK("http://141.218.60.56/~jnz1568/getInfo.php?workbook=11_02.xlsx&amp;sheet=U0&amp;row=147&amp;col=6&amp;number=3.3&amp;sourceID=14","3.3")</f>
        <v>3.3</v>
      </c>
      <c r="G147" s="4" t="str">
        <f>HYPERLINK("http://141.218.60.56/~jnz1568/getInfo.php?workbook=11_02.xlsx&amp;sheet=U0&amp;row=147&amp;col=7&amp;number=0.00035&amp;sourceID=14","0.00035")</f>
        <v>0.00035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HYPERLINK("http://141.218.60.56/~jnz1568/getInfo.php?workbook=11_02.xlsx&amp;sheet=U0&amp;row=148&amp;col=6&amp;number=3.4&amp;sourceID=14","3.4")</f>
        <v>3.4</v>
      </c>
      <c r="G148" s="4" t="str">
        <f>HYPERLINK("http://141.218.60.56/~jnz1568/getInfo.php?workbook=11_02.xlsx&amp;sheet=U0&amp;row=148&amp;col=7&amp;number=0.00035&amp;sourceID=14","0.00035")</f>
        <v>0.00035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HYPERLINK("http://141.218.60.56/~jnz1568/getInfo.php?workbook=11_02.xlsx&amp;sheet=U0&amp;row=149&amp;col=6&amp;number=3.5&amp;sourceID=14","3.5")</f>
        <v>3.5</v>
      </c>
      <c r="G149" s="4" t="str">
        <f>HYPERLINK("http://141.218.60.56/~jnz1568/getInfo.php?workbook=11_02.xlsx&amp;sheet=U0&amp;row=149&amp;col=7&amp;number=0.00035&amp;sourceID=14","0.00035")</f>
        <v>0.00035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HYPERLINK("http://141.218.60.56/~jnz1568/getInfo.php?workbook=11_02.xlsx&amp;sheet=U0&amp;row=150&amp;col=6&amp;number=3.6&amp;sourceID=14","3.6")</f>
        <v>3.6</v>
      </c>
      <c r="G150" s="4" t="str">
        <f>HYPERLINK("http://141.218.60.56/~jnz1568/getInfo.php?workbook=11_02.xlsx&amp;sheet=U0&amp;row=150&amp;col=7&amp;number=0.00035&amp;sourceID=14","0.00035")</f>
        <v>0.00035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HYPERLINK("http://141.218.60.56/~jnz1568/getInfo.php?workbook=11_02.xlsx&amp;sheet=U0&amp;row=151&amp;col=6&amp;number=3.7&amp;sourceID=14","3.7")</f>
        <v>3.7</v>
      </c>
      <c r="G151" s="4" t="str">
        <f>HYPERLINK("http://141.218.60.56/~jnz1568/getInfo.php?workbook=11_02.xlsx&amp;sheet=U0&amp;row=151&amp;col=7&amp;number=0.00035&amp;sourceID=14","0.00035")</f>
        <v>0.00035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HYPERLINK("http://141.218.60.56/~jnz1568/getInfo.php?workbook=11_02.xlsx&amp;sheet=U0&amp;row=152&amp;col=6&amp;number=3.8&amp;sourceID=14","3.8")</f>
        <v>3.8</v>
      </c>
      <c r="G152" s="4" t="str">
        <f>HYPERLINK("http://141.218.60.56/~jnz1568/getInfo.php?workbook=11_02.xlsx&amp;sheet=U0&amp;row=152&amp;col=7&amp;number=0.00035&amp;sourceID=14","0.00035")</f>
        <v>0.00035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HYPERLINK("http://141.218.60.56/~jnz1568/getInfo.php?workbook=11_02.xlsx&amp;sheet=U0&amp;row=153&amp;col=6&amp;number=3.9&amp;sourceID=14","3.9")</f>
        <v>3.9</v>
      </c>
      <c r="G153" s="4" t="str">
        <f>HYPERLINK("http://141.218.60.56/~jnz1568/getInfo.php?workbook=11_02.xlsx&amp;sheet=U0&amp;row=153&amp;col=7&amp;number=0.00035&amp;sourceID=14","0.00035")</f>
        <v>0.00035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HYPERLINK("http://141.218.60.56/~jnz1568/getInfo.php?workbook=11_02.xlsx&amp;sheet=U0&amp;row=154&amp;col=6&amp;number=4&amp;sourceID=14","4")</f>
        <v>4</v>
      </c>
      <c r="G154" s="4" t="str">
        <f>HYPERLINK("http://141.218.60.56/~jnz1568/getInfo.php?workbook=11_02.xlsx&amp;sheet=U0&amp;row=154&amp;col=7&amp;number=0.00035&amp;sourceID=14","0.00035")</f>
        <v>0.00035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HYPERLINK("http://141.218.60.56/~jnz1568/getInfo.php?workbook=11_02.xlsx&amp;sheet=U0&amp;row=155&amp;col=6&amp;number=4.1&amp;sourceID=14","4.1")</f>
        <v>4.1</v>
      </c>
      <c r="G155" s="4" t="str">
        <f>HYPERLINK("http://141.218.60.56/~jnz1568/getInfo.php?workbook=11_02.xlsx&amp;sheet=U0&amp;row=155&amp;col=7&amp;number=0.00035&amp;sourceID=14","0.00035")</f>
        <v>0.00035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HYPERLINK("http://141.218.60.56/~jnz1568/getInfo.php?workbook=11_02.xlsx&amp;sheet=U0&amp;row=156&amp;col=6&amp;number=4.2&amp;sourceID=14","4.2")</f>
        <v>4.2</v>
      </c>
      <c r="G156" s="4" t="str">
        <f>HYPERLINK("http://141.218.60.56/~jnz1568/getInfo.php?workbook=11_02.xlsx&amp;sheet=U0&amp;row=156&amp;col=7&amp;number=0.00035&amp;sourceID=14","0.00035")</f>
        <v>0.00035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HYPERLINK("http://141.218.60.56/~jnz1568/getInfo.php?workbook=11_02.xlsx&amp;sheet=U0&amp;row=157&amp;col=6&amp;number=4.3&amp;sourceID=14","4.3")</f>
        <v>4.3</v>
      </c>
      <c r="G157" s="4" t="str">
        <f>HYPERLINK("http://141.218.60.56/~jnz1568/getInfo.php?workbook=11_02.xlsx&amp;sheet=U0&amp;row=157&amp;col=7&amp;number=0.000351&amp;sourceID=14","0.000351")</f>
        <v>0.000351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HYPERLINK("http://141.218.60.56/~jnz1568/getInfo.php?workbook=11_02.xlsx&amp;sheet=U0&amp;row=158&amp;col=6&amp;number=4.4&amp;sourceID=14","4.4")</f>
        <v>4.4</v>
      </c>
      <c r="G158" s="4" t="str">
        <f>HYPERLINK("http://141.218.60.56/~jnz1568/getInfo.php?workbook=11_02.xlsx&amp;sheet=U0&amp;row=158&amp;col=7&amp;number=0.000351&amp;sourceID=14","0.000351")</f>
        <v>0.000351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HYPERLINK("http://141.218.60.56/~jnz1568/getInfo.php?workbook=11_02.xlsx&amp;sheet=U0&amp;row=159&amp;col=6&amp;number=4.5&amp;sourceID=14","4.5")</f>
        <v>4.5</v>
      </c>
      <c r="G159" s="4" t="str">
        <f>HYPERLINK("http://141.218.60.56/~jnz1568/getInfo.php?workbook=11_02.xlsx&amp;sheet=U0&amp;row=159&amp;col=7&amp;number=0.000351&amp;sourceID=14","0.000351")</f>
        <v>0.000351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HYPERLINK("http://141.218.60.56/~jnz1568/getInfo.php?workbook=11_02.xlsx&amp;sheet=U0&amp;row=160&amp;col=6&amp;number=4.6&amp;sourceID=14","4.6")</f>
        <v>4.6</v>
      </c>
      <c r="G160" s="4" t="str">
        <f>HYPERLINK("http://141.218.60.56/~jnz1568/getInfo.php?workbook=11_02.xlsx&amp;sheet=U0&amp;row=160&amp;col=7&amp;number=0.000352&amp;sourceID=14","0.000352")</f>
        <v>0.000352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HYPERLINK("http://141.218.60.56/~jnz1568/getInfo.php?workbook=11_02.xlsx&amp;sheet=U0&amp;row=161&amp;col=6&amp;number=4.7&amp;sourceID=14","4.7")</f>
        <v>4.7</v>
      </c>
      <c r="G161" s="4" t="str">
        <f>HYPERLINK("http://141.218.60.56/~jnz1568/getInfo.php?workbook=11_02.xlsx&amp;sheet=U0&amp;row=161&amp;col=7&amp;number=0.000352&amp;sourceID=14","0.000352")</f>
        <v>0.000352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HYPERLINK("http://141.218.60.56/~jnz1568/getInfo.php?workbook=11_02.xlsx&amp;sheet=U0&amp;row=162&amp;col=6&amp;number=4.8&amp;sourceID=14","4.8")</f>
        <v>4.8</v>
      </c>
      <c r="G162" s="4" t="str">
        <f>HYPERLINK("http://141.218.60.56/~jnz1568/getInfo.php?workbook=11_02.xlsx&amp;sheet=U0&amp;row=162&amp;col=7&amp;number=0.000353&amp;sourceID=14","0.000353")</f>
        <v>0.000353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HYPERLINK("http://141.218.60.56/~jnz1568/getInfo.php?workbook=11_02.xlsx&amp;sheet=U0&amp;row=163&amp;col=6&amp;number=4.9&amp;sourceID=14","4.9")</f>
        <v>4.9</v>
      </c>
      <c r="G163" s="4" t="str">
        <f>HYPERLINK("http://141.218.60.56/~jnz1568/getInfo.php?workbook=11_02.xlsx&amp;sheet=U0&amp;row=163&amp;col=7&amp;number=0.000354&amp;sourceID=14","0.000354")</f>
        <v>0.000354</v>
      </c>
    </row>
    <row r="164" spans="1:7">
      <c r="A164" s="3">
        <v>11</v>
      </c>
      <c r="B164" s="3">
        <v>2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HYPERLINK("http://141.218.60.56/~jnz1568/getInfo.php?workbook=11_02.xlsx&amp;sheet=U0&amp;row=164&amp;col=6&amp;number=3&amp;sourceID=14","3")</f>
        <v>3</v>
      </c>
      <c r="G164" s="4" t="str">
        <f>HYPERLINK("http://141.218.60.56/~jnz1568/getInfo.php?workbook=11_02.xlsx&amp;sheet=U0&amp;row=164&amp;col=7&amp;number=0.00106&amp;sourceID=14","0.00106")</f>
        <v>0.00106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HYPERLINK("http://141.218.60.56/~jnz1568/getInfo.php?workbook=11_02.xlsx&amp;sheet=U0&amp;row=165&amp;col=6&amp;number=3.1&amp;sourceID=14","3.1")</f>
        <v>3.1</v>
      </c>
      <c r="G165" s="4" t="str">
        <f>HYPERLINK("http://141.218.60.56/~jnz1568/getInfo.php?workbook=11_02.xlsx&amp;sheet=U0&amp;row=165&amp;col=7&amp;number=0.00106&amp;sourceID=14","0.00106")</f>
        <v>0.00106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HYPERLINK("http://141.218.60.56/~jnz1568/getInfo.php?workbook=11_02.xlsx&amp;sheet=U0&amp;row=166&amp;col=6&amp;number=3.2&amp;sourceID=14","3.2")</f>
        <v>3.2</v>
      </c>
      <c r="G166" s="4" t="str">
        <f>HYPERLINK("http://141.218.60.56/~jnz1568/getInfo.php?workbook=11_02.xlsx&amp;sheet=U0&amp;row=166&amp;col=7&amp;number=0.00106&amp;sourceID=14","0.00106")</f>
        <v>0.00106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HYPERLINK("http://141.218.60.56/~jnz1568/getInfo.php?workbook=11_02.xlsx&amp;sheet=U0&amp;row=167&amp;col=6&amp;number=3.3&amp;sourceID=14","3.3")</f>
        <v>3.3</v>
      </c>
      <c r="G167" s="4" t="str">
        <f>HYPERLINK("http://141.218.60.56/~jnz1568/getInfo.php?workbook=11_02.xlsx&amp;sheet=U0&amp;row=167&amp;col=7&amp;number=0.00106&amp;sourceID=14","0.00106")</f>
        <v>0.00106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HYPERLINK("http://141.218.60.56/~jnz1568/getInfo.php?workbook=11_02.xlsx&amp;sheet=U0&amp;row=168&amp;col=6&amp;number=3.4&amp;sourceID=14","3.4")</f>
        <v>3.4</v>
      </c>
      <c r="G168" s="4" t="str">
        <f>HYPERLINK("http://141.218.60.56/~jnz1568/getInfo.php?workbook=11_02.xlsx&amp;sheet=U0&amp;row=168&amp;col=7&amp;number=0.00106&amp;sourceID=14","0.00106")</f>
        <v>0.00106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HYPERLINK("http://141.218.60.56/~jnz1568/getInfo.php?workbook=11_02.xlsx&amp;sheet=U0&amp;row=169&amp;col=6&amp;number=3.5&amp;sourceID=14","3.5")</f>
        <v>3.5</v>
      </c>
      <c r="G169" s="4" t="str">
        <f>HYPERLINK("http://141.218.60.56/~jnz1568/getInfo.php?workbook=11_02.xlsx&amp;sheet=U0&amp;row=169&amp;col=7&amp;number=0.00106&amp;sourceID=14","0.00106")</f>
        <v>0.00106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HYPERLINK("http://141.218.60.56/~jnz1568/getInfo.php?workbook=11_02.xlsx&amp;sheet=U0&amp;row=170&amp;col=6&amp;number=3.6&amp;sourceID=14","3.6")</f>
        <v>3.6</v>
      </c>
      <c r="G170" s="4" t="str">
        <f>HYPERLINK("http://141.218.60.56/~jnz1568/getInfo.php?workbook=11_02.xlsx&amp;sheet=U0&amp;row=170&amp;col=7&amp;number=0.00106&amp;sourceID=14","0.00106")</f>
        <v>0.00106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HYPERLINK("http://141.218.60.56/~jnz1568/getInfo.php?workbook=11_02.xlsx&amp;sheet=U0&amp;row=171&amp;col=6&amp;number=3.7&amp;sourceID=14","3.7")</f>
        <v>3.7</v>
      </c>
      <c r="G171" s="4" t="str">
        <f>HYPERLINK("http://141.218.60.56/~jnz1568/getInfo.php?workbook=11_02.xlsx&amp;sheet=U0&amp;row=171&amp;col=7&amp;number=0.00106&amp;sourceID=14","0.00106")</f>
        <v>0.00106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HYPERLINK("http://141.218.60.56/~jnz1568/getInfo.php?workbook=11_02.xlsx&amp;sheet=U0&amp;row=172&amp;col=6&amp;number=3.8&amp;sourceID=14","3.8")</f>
        <v>3.8</v>
      </c>
      <c r="G172" s="4" t="str">
        <f>HYPERLINK("http://141.218.60.56/~jnz1568/getInfo.php?workbook=11_02.xlsx&amp;sheet=U0&amp;row=172&amp;col=7&amp;number=0.00106&amp;sourceID=14","0.00106")</f>
        <v>0.00106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HYPERLINK("http://141.218.60.56/~jnz1568/getInfo.php?workbook=11_02.xlsx&amp;sheet=U0&amp;row=173&amp;col=6&amp;number=3.9&amp;sourceID=14","3.9")</f>
        <v>3.9</v>
      </c>
      <c r="G173" s="4" t="str">
        <f>HYPERLINK("http://141.218.60.56/~jnz1568/getInfo.php?workbook=11_02.xlsx&amp;sheet=U0&amp;row=173&amp;col=7&amp;number=0.00106&amp;sourceID=14","0.00106")</f>
        <v>0.00106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HYPERLINK("http://141.218.60.56/~jnz1568/getInfo.php?workbook=11_02.xlsx&amp;sheet=U0&amp;row=174&amp;col=6&amp;number=4&amp;sourceID=14","4")</f>
        <v>4</v>
      </c>
      <c r="G174" s="4" t="str">
        <f>HYPERLINK("http://141.218.60.56/~jnz1568/getInfo.php?workbook=11_02.xlsx&amp;sheet=U0&amp;row=174&amp;col=7&amp;number=0.00106&amp;sourceID=14","0.00106")</f>
        <v>0.00106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HYPERLINK("http://141.218.60.56/~jnz1568/getInfo.php?workbook=11_02.xlsx&amp;sheet=U0&amp;row=175&amp;col=6&amp;number=4.1&amp;sourceID=14","4.1")</f>
        <v>4.1</v>
      </c>
      <c r="G175" s="4" t="str">
        <f>HYPERLINK("http://141.218.60.56/~jnz1568/getInfo.php?workbook=11_02.xlsx&amp;sheet=U0&amp;row=175&amp;col=7&amp;number=0.00106&amp;sourceID=14","0.00106")</f>
        <v>0.00106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HYPERLINK("http://141.218.60.56/~jnz1568/getInfo.php?workbook=11_02.xlsx&amp;sheet=U0&amp;row=176&amp;col=6&amp;number=4.2&amp;sourceID=14","4.2")</f>
        <v>4.2</v>
      </c>
      <c r="G176" s="4" t="str">
        <f>HYPERLINK("http://141.218.60.56/~jnz1568/getInfo.php?workbook=11_02.xlsx&amp;sheet=U0&amp;row=176&amp;col=7&amp;number=0.00106&amp;sourceID=14","0.00106")</f>
        <v>0.00106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HYPERLINK("http://141.218.60.56/~jnz1568/getInfo.php?workbook=11_02.xlsx&amp;sheet=U0&amp;row=177&amp;col=6&amp;number=4.3&amp;sourceID=14","4.3")</f>
        <v>4.3</v>
      </c>
      <c r="G177" s="4" t="str">
        <f>HYPERLINK("http://141.218.60.56/~jnz1568/getInfo.php?workbook=11_02.xlsx&amp;sheet=U0&amp;row=177&amp;col=7&amp;number=0.00106&amp;sourceID=14","0.00106")</f>
        <v>0.00106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HYPERLINK("http://141.218.60.56/~jnz1568/getInfo.php?workbook=11_02.xlsx&amp;sheet=U0&amp;row=178&amp;col=6&amp;number=4.4&amp;sourceID=14","4.4")</f>
        <v>4.4</v>
      </c>
      <c r="G178" s="4" t="str">
        <f>HYPERLINK("http://141.218.60.56/~jnz1568/getInfo.php?workbook=11_02.xlsx&amp;sheet=U0&amp;row=178&amp;col=7&amp;number=0.00106&amp;sourceID=14","0.00106")</f>
        <v>0.00106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HYPERLINK("http://141.218.60.56/~jnz1568/getInfo.php?workbook=11_02.xlsx&amp;sheet=U0&amp;row=179&amp;col=6&amp;number=4.5&amp;sourceID=14","4.5")</f>
        <v>4.5</v>
      </c>
      <c r="G179" s="4" t="str">
        <f>HYPERLINK("http://141.218.60.56/~jnz1568/getInfo.php?workbook=11_02.xlsx&amp;sheet=U0&amp;row=179&amp;col=7&amp;number=0.00106&amp;sourceID=14","0.00106")</f>
        <v>0.00106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HYPERLINK("http://141.218.60.56/~jnz1568/getInfo.php?workbook=11_02.xlsx&amp;sheet=U0&amp;row=180&amp;col=6&amp;number=4.6&amp;sourceID=14","4.6")</f>
        <v>4.6</v>
      </c>
      <c r="G180" s="4" t="str">
        <f>HYPERLINK("http://141.218.60.56/~jnz1568/getInfo.php?workbook=11_02.xlsx&amp;sheet=U0&amp;row=180&amp;col=7&amp;number=0.00106&amp;sourceID=14","0.00106")</f>
        <v>0.00106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HYPERLINK("http://141.218.60.56/~jnz1568/getInfo.php?workbook=11_02.xlsx&amp;sheet=U0&amp;row=181&amp;col=6&amp;number=4.7&amp;sourceID=14","4.7")</f>
        <v>4.7</v>
      </c>
      <c r="G181" s="4" t="str">
        <f>HYPERLINK("http://141.218.60.56/~jnz1568/getInfo.php?workbook=11_02.xlsx&amp;sheet=U0&amp;row=181&amp;col=7&amp;number=0.00106&amp;sourceID=14","0.00106")</f>
        <v>0.00106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HYPERLINK("http://141.218.60.56/~jnz1568/getInfo.php?workbook=11_02.xlsx&amp;sheet=U0&amp;row=182&amp;col=6&amp;number=4.8&amp;sourceID=14","4.8")</f>
        <v>4.8</v>
      </c>
      <c r="G182" s="4" t="str">
        <f>HYPERLINK("http://141.218.60.56/~jnz1568/getInfo.php?workbook=11_02.xlsx&amp;sheet=U0&amp;row=182&amp;col=7&amp;number=0.00106&amp;sourceID=14","0.00106")</f>
        <v>0.00106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HYPERLINK("http://141.218.60.56/~jnz1568/getInfo.php?workbook=11_02.xlsx&amp;sheet=U0&amp;row=183&amp;col=6&amp;number=4.9&amp;sourceID=14","4.9")</f>
        <v>4.9</v>
      </c>
      <c r="G183" s="4" t="str">
        <f>HYPERLINK("http://141.218.60.56/~jnz1568/getInfo.php?workbook=11_02.xlsx&amp;sheet=U0&amp;row=183&amp;col=7&amp;number=0.00107&amp;sourceID=14","0.00107")</f>
        <v>0.00107</v>
      </c>
    </row>
    <row r="184" spans="1:7">
      <c r="A184" s="3">
        <v>11</v>
      </c>
      <c r="B184" s="3">
        <v>2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HYPERLINK("http://141.218.60.56/~jnz1568/getInfo.php?workbook=11_02.xlsx&amp;sheet=U0&amp;row=184&amp;col=6&amp;number=3&amp;sourceID=14","3")</f>
        <v>3</v>
      </c>
      <c r="G184" s="4" t="str">
        <f>HYPERLINK("http://141.218.60.56/~jnz1568/getInfo.php?workbook=11_02.xlsx&amp;sheet=U0&amp;row=184&amp;col=7&amp;number=0.0017&amp;sourceID=14","0.0017")</f>
        <v>0.0017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HYPERLINK("http://141.218.60.56/~jnz1568/getInfo.php?workbook=11_02.xlsx&amp;sheet=U0&amp;row=185&amp;col=6&amp;number=3.1&amp;sourceID=14","3.1")</f>
        <v>3.1</v>
      </c>
      <c r="G185" s="4" t="str">
        <f>HYPERLINK("http://141.218.60.56/~jnz1568/getInfo.php?workbook=11_02.xlsx&amp;sheet=U0&amp;row=185&amp;col=7&amp;number=0.0017&amp;sourceID=14","0.0017")</f>
        <v>0.0017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HYPERLINK("http://141.218.60.56/~jnz1568/getInfo.php?workbook=11_02.xlsx&amp;sheet=U0&amp;row=186&amp;col=6&amp;number=3.2&amp;sourceID=14","3.2")</f>
        <v>3.2</v>
      </c>
      <c r="G186" s="4" t="str">
        <f>HYPERLINK("http://141.218.60.56/~jnz1568/getInfo.php?workbook=11_02.xlsx&amp;sheet=U0&amp;row=186&amp;col=7&amp;number=0.0017&amp;sourceID=14","0.0017")</f>
        <v>0.0017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HYPERLINK("http://141.218.60.56/~jnz1568/getInfo.php?workbook=11_02.xlsx&amp;sheet=U0&amp;row=187&amp;col=6&amp;number=3.3&amp;sourceID=14","3.3")</f>
        <v>3.3</v>
      </c>
      <c r="G187" s="4" t="str">
        <f>HYPERLINK("http://141.218.60.56/~jnz1568/getInfo.php?workbook=11_02.xlsx&amp;sheet=U0&amp;row=187&amp;col=7&amp;number=0.0017&amp;sourceID=14","0.0017")</f>
        <v>0.0017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HYPERLINK("http://141.218.60.56/~jnz1568/getInfo.php?workbook=11_02.xlsx&amp;sheet=U0&amp;row=188&amp;col=6&amp;number=3.4&amp;sourceID=14","3.4")</f>
        <v>3.4</v>
      </c>
      <c r="G188" s="4" t="str">
        <f>HYPERLINK("http://141.218.60.56/~jnz1568/getInfo.php?workbook=11_02.xlsx&amp;sheet=U0&amp;row=188&amp;col=7&amp;number=0.0017&amp;sourceID=14","0.0017")</f>
        <v>0.0017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HYPERLINK("http://141.218.60.56/~jnz1568/getInfo.php?workbook=11_02.xlsx&amp;sheet=U0&amp;row=189&amp;col=6&amp;number=3.5&amp;sourceID=14","3.5")</f>
        <v>3.5</v>
      </c>
      <c r="G189" s="4" t="str">
        <f>HYPERLINK("http://141.218.60.56/~jnz1568/getInfo.php?workbook=11_02.xlsx&amp;sheet=U0&amp;row=189&amp;col=7&amp;number=0.0017&amp;sourceID=14","0.0017")</f>
        <v>0.0017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HYPERLINK("http://141.218.60.56/~jnz1568/getInfo.php?workbook=11_02.xlsx&amp;sheet=U0&amp;row=190&amp;col=6&amp;number=3.6&amp;sourceID=14","3.6")</f>
        <v>3.6</v>
      </c>
      <c r="G190" s="4" t="str">
        <f>HYPERLINK("http://141.218.60.56/~jnz1568/getInfo.php?workbook=11_02.xlsx&amp;sheet=U0&amp;row=190&amp;col=7&amp;number=0.0017&amp;sourceID=14","0.0017")</f>
        <v>0.0017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HYPERLINK("http://141.218.60.56/~jnz1568/getInfo.php?workbook=11_02.xlsx&amp;sheet=U0&amp;row=191&amp;col=6&amp;number=3.7&amp;sourceID=14","3.7")</f>
        <v>3.7</v>
      </c>
      <c r="G191" s="4" t="str">
        <f>HYPERLINK("http://141.218.60.56/~jnz1568/getInfo.php?workbook=11_02.xlsx&amp;sheet=U0&amp;row=191&amp;col=7&amp;number=0.0017&amp;sourceID=14","0.0017")</f>
        <v>0.0017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HYPERLINK("http://141.218.60.56/~jnz1568/getInfo.php?workbook=11_02.xlsx&amp;sheet=U0&amp;row=192&amp;col=6&amp;number=3.8&amp;sourceID=14","3.8")</f>
        <v>3.8</v>
      </c>
      <c r="G192" s="4" t="str">
        <f>HYPERLINK("http://141.218.60.56/~jnz1568/getInfo.php?workbook=11_02.xlsx&amp;sheet=U0&amp;row=192&amp;col=7&amp;number=0.0017&amp;sourceID=14","0.0017")</f>
        <v>0.0017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HYPERLINK("http://141.218.60.56/~jnz1568/getInfo.php?workbook=11_02.xlsx&amp;sheet=U0&amp;row=193&amp;col=6&amp;number=3.9&amp;sourceID=14","3.9")</f>
        <v>3.9</v>
      </c>
      <c r="G193" s="4" t="str">
        <f>HYPERLINK("http://141.218.60.56/~jnz1568/getInfo.php?workbook=11_02.xlsx&amp;sheet=U0&amp;row=193&amp;col=7&amp;number=0.0017&amp;sourceID=14","0.0017")</f>
        <v>0.0017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HYPERLINK("http://141.218.60.56/~jnz1568/getInfo.php?workbook=11_02.xlsx&amp;sheet=U0&amp;row=194&amp;col=6&amp;number=4&amp;sourceID=14","4")</f>
        <v>4</v>
      </c>
      <c r="G194" s="4" t="str">
        <f>HYPERLINK("http://141.218.60.56/~jnz1568/getInfo.php?workbook=11_02.xlsx&amp;sheet=U0&amp;row=194&amp;col=7&amp;number=0.00171&amp;sourceID=14","0.00171")</f>
        <v>0.00171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HYPERLINK("http://141.218.60.56/~jnz1568/getInfo.php?workbook=11_02.xlsx&amp;sheet=U0&amp;row=195&amp;col=6&amp;number=4.1&amp;sourceID=14","4.1")</f>
        <v>4.1</v>
      </c>
      <c r="G195" s="4" t="str">
        <f>HYPERLINK("http://141.218.60.56/~jnz1568/getInfo.php?workbook=11_02.xlsx&amp;sheet=U0&amp;row=195&amp;col=7&amp;number=0.00171&amp;sourceID=14","0.00171")</f>
        <v>0.00171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HYPERLINK("http://141.218.60.56/~jnz1568/getInfo.php?workbook=11_02.xlsx&amp;sheet=U0&amp;row=196&amp;col=6&amp;number=4.2&amp;sourceID=14","4.2")</f>
        <v>4.2</v>
      </c>
      <c r="G196" s="4" t="str">
        <f>HYPERLINK("http://141.218.60.56/~jnz1568/getInfo.php?workbook=11_02.xlsx&amp;sheet=U0&amp;row=196&amp;col=7&amp;number=0.00171&amp;sourceID=14","0.00171")</f>
        <v>0.00171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HYPERLINK("http://141.218.60.56/~jnz1568/getInfo.php?workbook=11_02.xlsx&amp;sheet=U0&amp;row=197&amp;col=6&amp;number=4.3&amp;sourceID=14","4.3")</f>
        <v>4.3</v>
      </c>
      <c r="G197" s="4" t="str">
        <f>HYPERLINK("http://141.218.60.56/~jnz1568/getInfo.php?workbook=11_02.xlsx&amp;sheet=U0&amp;row=197&amp;col=7&amp;number=0.00171&amp;sourceID=14","0.00171")</f>
        <v>0.00171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HYPERLINK("http://141.218.60.56/~jnz1568/getInfo.php?workbook=11_02.xlsx&amp;sheet=U0&amp;row=198&amp;col=6&amp;number=4.4&amp;sourceID=14","4.4")</f>
        <v>4.4</v>
      </c>
      <c r="G198" s="4" t="str">
        <f>HYPERLINK("http://141.218.60.56/~jnz1568/getInfo.php?workbook=11_02.xlsx&amp;sheet=U0&amp;row=198&amp;col=7&amp;number=0.00171&amp;sourceID=14","0.00171")</f>
        <v>0.00171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HYPERLINK("http://141.218.60.56/~jnz1568/getInfo.php?workbook=11_02.xlsx&amp;sheet=U0&amp;row=199&amp;col=6&amp;number=4.5&amp;sourceID=14","4.5")</f>
        <v>4.5</v>
      </c>
      <c r="G199" s="4" t="str">
        <f>HYPERLINK("http://141.218.60.56/~jnz1568/getInfo.php?workbook=11_02.xlsx&amp;sheet=U0&amp;row=199&amp;col=7&amp;number=0.00171&amp;sourceID=14","0.00171")</f>
        <v>0.00171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HYPERLINK("http://141.218.60.56/~jnz1568/getInfo.php?workbook=11_02.xlsx&amp;sheet=U0&amp;row=200&amp;col=6&amp;number=4.6&amp;sourceID=14","4.6")</f>
        <v>4.6</v>
      </c>
      <c r="G200" s="4" t="str">
        <f>HYPERLINK("http://141.218.60.56/~jnz1568/getInfo.php?workbook=11_02.xlsx&amp;sheet=U0&amp;row=200&amp;col=7&amp;number=0.00171&amp;sourceID=14","0.00171")</f>
        <v>0.00171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HYPERLINK("http://141.218.60.56/~jnz1568/getInfo.php?workbook=11_02.xlsx&amp;sheet=U0&amp;row=201&amp;col=6&amp;number=4.7&amp;sourceID=14","4.7")</f>
        <v>4.7</v>
      </c>
      <c r="G201" s="4" t="str">
        <f>HYPERLINK("http://141.218.60.56/~jnz1568/getInfo.php?workbook=11_02.xlsx&amp;sheet=U0&amp;row=201&amp;col=7&amp;number=0.00171&amp;sourceID=14","0.00171")</f>
        <v>0.00171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HYPERLINK("http://141.218.60.56/~jnz1568/getInfo.php?workbook=11_02.xlsx&amp;sheet=U0&amp;row=202&amp;col=6&amp;number=4.8&amp;sourceID=14","4.8")</f>
        <v>4.8</v>
      </c>
      <c r="G202" s="4" t="str">
        <f>HYPERLINK("http://141.218.60.56/~jnz1568/getInfo.php?workbook=11_02.xlsx&amp;sheet=U0&amp;row=202&amp;col=7&amp;number=0.00172&amp;sourceID=14","0.00172")</f>
        <v>0.00172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HYPERLINK("http://141.218.60.56/~jnz1568/getInfo.php?workbook=11_02.xlsx&amp;sheet=U0&amp;row=203&amp;col=6&amp;number=4.9&amp;sourceID=14","4.9")</f>
        <v>4.9</v>
      </c>
      <c r="G203" s="4" t="str">
        <f>HYPERLINK("http://141.218.60.56/~jnz1568/getInfo.php?workbook=11_02.xlsx&amp;sheet=U0&amp;row=203&amp;col=7&amp;number=0.00172&amp;sourceID=14","0.00172")</f>
        <v>0.00172</v>
      </c>
    </row>
    <row r="204" spans="1:7">
      <c r="A204" s="3">
        <v>11</v>
      </c>
      <c r="B204" s="3">
        <v>2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HYPERLINK("http://141.218.60.56/~jnz1568/getInfo.php?workbook=11_02.xlsx&amp;sheet=U0&amp;row=204&amp;col=6&amp;number=3&amp;sourceID=14","3")</f>
        <v>3</v>
      </c>
      <c r="G204" s="4" t="str">
        <f>HYPERLINK("http://141.218.60.56/~jnz1568/getInfo.php?workbook=11_02.xlsx&amp;sheet=U0&amp;row=204&amp;col=7&amp;number=0.00109&amp;sourceID=14","0.00109")</f>
        <v>0.00109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HYPERLINK("http://141.218.60.56/~jnz1568/getInfo.php?workbook=11_02.xlsx&amp;sheet=U0&amp;row=205&amp;col=6&amp;number=3.1&amp;sourceID=14","3.1")</f>
        <v>3.1</v>
      </c>
      <c r="G205" s="4" t="str">
        <f>HYPERLINK("http://141.218.60.56/~jnz1568/getInfo.php?workbook=11_02.xlsx&amp;sheet=U0&amp;row=205&amp;col=7&amp;number=0.00109&amp;sourceID=14","0.00109")</f>
        <v>0.00109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HYPERLINK("http://141.218.60.56/~jnz1568/getInfo.php?workbook=11_02.xlsx&amp;sheet=U0&amp;row=206&amp;col=6&amp;number=3.2&amp;sourceID=14","3.2")</f>
        <v>3.2</v>
      </c>
      <c r="G206" s="4" t="str">
        <f>HYPERLINK("http://141.218.60.56/~jnz1568/getInfo.php?workbook=11_02.xlsx&amp;sheet=U0&amp;row=206&amp;col=7&amp;number=0.00109&amp;sourceID=14","0.00109")</f>
        <v>0.00109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HYPERLINK("http://141.218.60.56/~jnz1568/getInfo.php?workbook=11_02.xlsx&amp;sheet=U0&amp;row=207&amp;col=6&amp;number=3.3&amp;sourceID=14","3.3")</f>
        <v>3.3</v>
      </c>
      <c r="G207" s="4" t="str">
        <f>HYPERLINK("http://141.218.60.56/~jnz1568/getInfo.php?workbook=11_02.xlsx&amp;sheet=U0&amp;row=207&amp;col=7&amp;number=0.00109&amp;sourceID=14","0.00109")</f>
        <v>0.00109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HYPERLINK("http://141.218.60.56/~jnz1568/getInfo.php?workbook=11_02.xlsx&amp;sheet=U0&amp;row=208&amp;col=6&amp;number=3.4&amp;sourceID=14","3.4")</f>
        <v>3.4</v>
      </c>
      <c r="G208" s="4" t="str">
        <f>HYPERLINK("http://141.218.60.56/~jnz1568/getInfo.php?workbook=11_02.xlsx&amp;sheet=U0&amp;row=208&amp;col=7&amp;number=0.00109&amp;sourceID=14","0.00109")</f>
        <v>0.00109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HYPERLINK("http://141.218.60.56/~jnz1568/getInfo.php?workbook=11_02.xlsx&amp;sheet=U0&amp;row=209&amp;col=6&amp;number=3.5&amp;sourceID=14","3.5")</f>
        <v>3.5</v>
      </c>
      <c r="G209" s="4" t="str">
        <f>HYPERLINK("http://141.218.60.56/~jnz1568/getInfo.php?workbook=11_02.xlsx&amp;sheet=U0&amp;row=209&amp;col=7&amp;number=0.00109&amp;sourceID=14","0.00109")</f>
        <v>0.00109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HYPERLINK("http://141.218.60.56/~jnz1568/getInfo.php?workbook=11_02.xlsx&amp;sheet=U0&amp;row=210&amp;col=6&amp;number=3.6&amp;sourceID=14","3.6")</f>
        <v>3.6</v>
      </c>
      <c r="G210" s="4" t="str">
        <f>HYPERLINK("http://141.218.60.56/~jnz1568/getInfo.php?workbook=11_02.xlsx&amp;sheet=U0&amp;row=210&amp;col=7&amp;number=0.00108&amp;sourceID=14","0.00108")</f>
        <v>0.00108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HYPERLINK("http://141.218.60.56/~jnz1568/getInfo.php?workbook=11_02.xlsx&amp;sheet=U0&amp;row=211&amp;col=6&amp;number=3.7&amp;sourceID=14","3.7")</f>
        <v>3.7</v>
      </c>
      <c r="G211" s="4" t="str">
        <f>HYPERLINK("http://141.218.60.56/~jnz1568/getInfo.php?workbook=11_02.xlsx&amp;sheet=U0&amp;row=211&amp;col=7&amp;number=0.00108&amp;sourceID=14","0.00108")</f>
        <v>0.00108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HYPERLINK("http://141.218.60.56/~jnz1568/getInfo.php?workbook=11_02.xlsx&amp;sheet=U0&amp;row=212&amp;col=6&amp;number=3.8&amp;sourceID=14","3.8")</f>
        <v>3.8</v>
      </c>
      <c r="G212" s="4" t="str">
        <f>HYPERLINK("http://141.218.60.56/~jnz1568/getInfo.php?workbook=11_02.xlsx&amp;sheet=U0&amp;row=212&amp;col=7&amp;number=0.00108&amp;sourceID=14","0.00108")</f>
        <v>0.00108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HYPERLINK("http://141.218.60.56/~jnz1568/getInfo.php?workbook=11_02.xlsx&amp;sheet=U0&amp;row=213&amp;col=6&amp;number=3.9&amp;sourceID=14","3.9")</f>
        <v>3.9</v>
      </c>
      <c r="G213" s="4" t="str">
        <f>HYPERLINK("http://141.218.60.56/~jnz1568/getInfo.php?workbook=11_02.xlsx&amp;sheet=U0&amp;row=213&amp;col=7&amp;number=0.00108&amp;sourceID=14","0.00108")</f>
        <v>0.00108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HYPERLINK("http://141.218.60.56/~jnz1568/getInfo.php?workbook=11_02.xlsx&amp;sheet=U0&amp;row=214&amp;col=6&amp;number=4&amp;sourceID=14","4")</f>
        <v>4</v>
      </c>
      <c r="G214" s="4" t="str">
        <f>HYPERLINK("http://141.218.60.56/~jnz1568/getInfo.php?workbook=11_02.xlsx&amp;sheet=U0&amp;row=214&amp;col=7&amp;number=0.00108&amp;sourceID=14","0.00108")</f>
        <v>0.00108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HYPERLINK("http://141.218.60.56/~jnz1568/getInfo.php?workbook=11_02.xlsx&amp;sheet=U0&amp;row=215&amp;col=6&amp;number=4.1&amp;sourceID=14","4.1")</f>
        <v>4.1</v>
      </c>
      <c r="G215" s="4" t="str">
        <f>HYPERLINK("http://141.218.60.56/~jnz1568/getInfo.php?workbook=11_02.xlsx&amp;sheet=U0&amp;row=215&amp;col=7&amp;number=0.00108&amp;sourceID=14","0.00108")</f>
        <v>0.00108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HYPERLINK("http://141.218.60.56/~jnz1568/getInfo.php?workbook=11_02.xlsx&amp;sheet=U0&amp;row=216&amp;col=6&amp;number=4.2&amp;sourceID=14","4.2")</f>
        <v>4.2</v>
      </c>
      <c r="G216" s="4" t="str">
        <f>HYPERLINK("http://141.218.60.56/~jnz1568/getInfo.php?workbook=11_02.xlsx&amp;sheet=U0&amp;row=216&amp;col=7&amp;number=0.00108&amp;sourceID=14","0.00108")</f>
        <v>0.00108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HYPERLINK("http://141.218.60.56/~jnz1568/getInfo.php?workbook=11_02.xlsx&amp;sheet=U0&amp;row=217&amp;col=6&amp;number=4.3&amp;sourceID=14","4.3")</f>
        <v>4.3</v>
      </c>
      <c r="G217" s="4" t="str">
        <f>HYPERLINK("http://141.218.60.56/~jnz1568/getInfo.php?workbook=11_02.xlsx&amp;sheet=U0&amp;row=217&amp;col=7&amp;number=0.00108&amp;sourceID=14","0.00108")</f>
        <v>0.00108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HYPERLINK("http://141.218.60.56/~jnz1568/getInfo.php?workbook=11_02.xlsx&amp;sheet=U0&amp;row=218&amp;col=6&amp;number=4.4&amp;sourceID=14","4.4")</f>
        <v>4.4</v>
      </c>
      <c r="G218" s="4" t="str">
        <f>HYPERLINK("http://141.218.60.56/~jnz1568/getInfo.php?workbook=11_02.xlsx&amp;sheet=U0&amp;row=218&amp;col=7&amp;number=0.00108&amp;sourceID=14","0.00108")</f>
        <v>0.00108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HYPERLINK("http://141.218.60.56/~jnz1568/getInfo.php?workbook=11_02.xlsx&amp;sheet=U0&amp;row=219&amp;col=6&amp;number=4.5&amp;sourceID=14","4.5")</f>
        <v>4.5</v>
      </c>
      <c r="G219" s="4" t="str">
        <f>HYPERLINK("http://141.218.60.56/~jnz1568/getInfo.php?workbook=11_02.xlsx&amp;sheet=U0&amp;row=219&amp;col=7&amp;number=0.00108&amp;sourceID=14","0.00108")</f>
        <v>0.00108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HYPERLINK("http://141.218.60.56/~jnz1568/getInfo.php?workbook=11_02.xlsx&amp;sheet=U0&amp;row=220&amp;col=6&amp;number=4.6&amp;sourceID=14","4.6")</f>
        <v>4.6</v>
      </c>
      <c r="G220" s="4" t="str">
        <f>HYPERLINK("http://141.218.60.56/~jnz1568/getInfo.php?workbook=11_02.xlsx&amp;sheet=U0&amp;row=220&amp;col=7&amp;number=0.00107&amp;sourceID=14","0.00107")</f>
        <v>0.00107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HYPERLINK("http://141.218.60.56/~jnz1568/getInfo.php?workbook=11_02.xlsx&amp;sheet=U0&amp;row=221&amp;col=6&amp;number=4.7&amp;sourceID=14","4.7")</f>
        <v>4.7</v>
      </c>
      <c r="G221" s="4" t="str">
        <f>HYPERLINK("http://141.218.60.56/~jnz1568/getInfo.php?workbook=11_02.xlsx&amp;sheet=U0&amp;row=221&amp;col=7&amp;number=0.00107&amp;sourceID=14","0.00107")</f>
        <v>0.00107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HYPERLINK("http://141.218.60.56/~jnz1568/getInfo.php?workbook=11_02.xlsx&amp;sheet=U0&amp;row=222&amp;col=6&amp;number=4.8&amp;sourceID=14","4.8")</f>
        <v>4.8</v>
      </c>
      <c r="G222" s="4" t="str">
        <f>HYPERLINK("http://141.218.60.56/~jnz1568/getInfo.php?workbook=11_02.xlsx&amp;sheet=U0&amp;row=222&amp;col=7&amp;number=0.00107&amp;sourceID=14","0.00107")</f>
        <v>0.00107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HYPERLINK("http://141.218.60.56/~jnz1568/getInfo.php?workbook=11_02.xlsx&amp;sheet=U0&amp;row=223&amp;col=6&amp;number=4.9&amp;sourceID=14","4.9")</f>
        <v>4.9</v>
      </c>
      <c r="G223" s="4" t="str">
        <f>HYPERLINK("http://141.218.60.56/~jnz1568/getInfo.php?workbook=11_02.xlsx&amp;sheet=U0&amp;row=223&amp;col=7&amp;number=0.00106&amp;sourceID=14","0.00106")</f>
        <v>0.00106</v>
      </c>
    </row>
    <row r="224" spans="1:7">
      <c r="A224" s="3">
        <v>11</v>
      </c>
      <c r="B224" s="3">
        <v>2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HYPERLINK("http://141.218.60.56/~jnz1568/getInfo.php?workbook=11_02.xlsx&amp;sheet=U0&amp;row=224&amp;col=6&amp;number=3&amp;sourceID=14","3")</f>
        <v>3</v>
      </c>
      <c r="G224" s="4" t="str">
        <f>HYPERLINK("http://141.218.60.56/~jnz1568/getInfo.php?workbook=11_02.xlsx&amp;sheet=U0&amp;row=224&amp;col=7&amp;number=0.000112&amp;sourceID=14","0.000112")</f>
        <v>0.000112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HYPERLINK("http://141.218.60.56/~jnz1568/getInfo.php?workbook=11_02.xlsx&amp;sheet=U0&amp;row=225&amp;col=6&amp;number=3.1&amp;sourceID=14","3.1")</f>
        <v>3.1</v>
      </c>
      <c r="G225" s="4" t="str">
        <f>HYPERLINK("http://141.218.60.56/~jnz1568/getInfo.php?workbook=11_02.xlsx&amp;sheet=U0&amp;row=225&amp;col=7&amp;number=0.000112&amp;sourceID=14","0.000112")</f>
        <v>0.000112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HYPERLINK("http://141.218.60.56/~jnz1568/getInfo.php?workbook=11_02.xlsx&amp;sheet=U0&amp;row=226&amp;col=6&amp;number=3.2&amp;sourceID=14","3.2")</f>
        <v>3.2</v>
      </c>
      <c r="G226" s="4" t="str">
        <f>HYPERLINK("http://141.218.60.56/~jnz1568/getInfo.php?workbook=11_02.xlsx&amp;sheet=U0&amp;row=226&amp;col=7&amp;number=0.000112&amp;sourceID=14","0.000112")</f>
        <v>0.000112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HYPERLINK("http://141.218.60.56/~jnz1568/getInfo.php?workbook=11_02.xlsx&amp;sheet=U0&amp;row=227&amp;col=6&amp;number=3.3&amp;sourceID=14","3.3")</f>
        <v>3.3</v>
      </c>
      <c r="G227" s="4" t="str">
        <f>HYPERLINK("http://141.218.60.56/~jnz1568/getInfo.php?workbook=11_02.xlsx&amp;sheet=U0&amp;row=227&amp;col=7&amp;number=0.000112&amp;sourceID=14","0.000112")</f>
        <v>0.000112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HYPERLINK("http://141.218.60.56/~jnz1568/getInfo.php?workbook=11_02.xlsx&amp;sheet=U0&amp;row=228&amp;col=6&amp;number=3.4&amp;sourceID=14","3.4")</f>
        <v>3.4</v>
      </c>
      <c r="G228" s="4" t="str">
        <f>HYPERLINK("http://141.218.60.56/~jnz1568/getInfo.php?workbook=11_02.xlsx&amp;sheet=U0&amp;row=228&amp;col=7&amp;number=0.000113&amp;sourceID=14","0.000113")</f>
        <v>0.000113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HYPERLINK("http://141.218.60.56/~jnz1568/getInfo.php?workbook=11_02.xlsx&amp;sheet=U0&amp;row=229&amp;col=6&amp;number=3.5&amp;sourceID=14","3.5")</f>
        <v>3.5</v>
      </c>
      <c r="G229" s="4" t="str">
        <f>HYPERLINK("http://141.218.60.56/~jnz1568/getInfo.php?workbook=11_02.xlsx&amp;sheet=U0&amp;row=229&amp;col=7&amp;number=0.000113&amp;sourceID=14","0.000113")</f>
        <v>0.000113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HYPERLINK("http://141.218.60.56/~jnz1568/getInfo.php?workbook=11_02.xlsx&amp;sheet=U0&amp;row=230&amp;col=6&amp;number=3.6&amp;sourceID=14","3.6")</f>
        <v>3.6</v>
      </c>
      <c r="G230" s="4" t="str">
        <f>HYPERLINK("http://141.218.60.56/~jnz1568/getInfo.php?workbook=11_02.xlsx&amp;sheet=U0&amp;row=230&amp;col=7&amp;number=0.000113&amp;sourceID=14","0.000113")</f>
        <v>0.000113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HYPERLINK("http://141.218.60.56/~jnz1568/getInfo.php?workbook=11_02.xlsx&amp;sheet=U0&amp;row=231&amp;col=6&amp;number=3.7&amp;sourceID=14","3.7")</f>
        <v>3.7</v>
      </c>
      <c r="G231" s="4" t="str">
        <f>HYPERLINK("http://141.218.60.56/~jnz1568/getInfo.php?workbook=11_02.xlsx&amp;sheet=U0&amp;row=231&amp;col=7&amp;number=0.000114&amp;sourceID=14","0.000114")</f>
        <v>0.000114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HYPERLINK("http://141.218.60.56/~jnz1568/getInfo.php?workbook=11_02.xlsx&amp;sheet=U0&amp;row=232&amp;col=6&amp;number=3.8&amp;sourceID=14","3.8")</f>
        <v>3.8</v>
      </c>
      <c r="G232" s="4" t="str">
        <f>HYPERLINK("http://141.218.60.56/~jnz1568/getInfo.php?workbook=11_02.xlsx&amp;sheet=U0&amp;row=232&amp;col=7&amp;number=0.000115&amp;sourceID=14","0.000115")</f>
        <v>0.000115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HYPERLINK("http://141.218.60.56/~jnz1568/getInfo.php?workbook=11_02.xlsx&amp;sheet=U0&amp;row=233&amp;col=6&amp;number=3.9&amp;sourceID=14","3.9")</f>
        <v>3.9</v>
      </c>
      <c r="G233" s="4" t="str">
        <f>HYPERLINK("http://141.218.60.56/~jnz1568/getInfo.php?workbook=11_02.xlsx&amp;sheet=U0&amp;row=233&amp;col=7&amp;number=0.000116&amp;sourceID=14","0.000116")</f>
        <v>0.000116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HYPERLINK("http://141.218.60.56/~jnz1568/getInfo.php?workbook=11_02.xlsx&amp;sheet=U0&amp;row=234&amp;col=6&amp;number=4&amp;sourceID=14","4")</f>
        <v>4</v>
      </c>
      <c r="G234" s="4" t="str">
        <f>HYPERLINK("http://141.218.60.56/~jnz1568/getInfo.php?workbook=11_02.xlsx&amp;sheet=U0&amp;row=234&amp;col=7&amp;number=0.000117&amp;sourceID=14","0.000117")</f>
        <v>0.000117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HYPERLINK("http://141.218.60.56/~jnz1568/getInfo.php?workbook=11_02.xlsx&amp;sheet=U0&amp;row=235&amp;col=6&amp;number=4.1&amp;sourceID=14","4.1")</f>
        <v>4.1</v>
      </c>
      <c r="G235" s="4" t="str">
        <f>HYPERLINK("http://141.218.60.56/~jnz1568/getInfo.php?workbook=11_02.xlsx&amp;sheet=U0&amp;row=235&amp;col=7&amp;number=0.000119&amp;sourceID=14","0.000119")</f>
        <v>0.000119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HYPERLINK("http://141.218.60.56/~jnz1568/getInfo.php?workbook=11_02.xlsx&amp;sheet=U0&amp;row=236&amp;col=6&amp;number=4.2&amp;sourceID=14","4.2")</f>
        <v>4.2</v>
      </c>
      <c r="G236" s="4" t="str">
        <f>HYPERLINK("http://141.218.60.56/~jnz1568/getInfo.php?workbook=11_02.xlsx&amp;sheet=U0&amp;row=236&amp;col=7&amp;number=0.000121&amp;sourceID=14","0.000121")</f>
        <v>0.000121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HYPERLINK("http://141.218.60.56/~jnz1568/getInfo.php?workbook=11_02.xlsx&amp;sheet=U0&amp;row=237&amp;col=6&amp;number=4.3&amp;sourceID=14","4.3")</f>
        <v>4.3</v>
      </c>
      <c r="G237" s="4" t="str">
        <f>HYPERLINK("http://141.218.60.56/~jnz1568/getInfo.php?workbook=11_02.xlsx&amp;sheet=U0&amp;row=237&amp;col=7&amp;number=0.000123&amp;sourceID=14","0.000123")</f>
        <v>0.000123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HYPERLINK("http://141.218.60.56/~jnz1568/getInfo.php?workbook=11_02.xlsx&amp;sheet=U0&amp;row=238&amp;col=6&amp;number=4.4&amp;sourceID=14","4.4")</f>
        <v>4.4</v>
      </c>
      <c r="G238" s="4" t="str">
        <f>HYPERLINK("http://141.218.60.56/~jnz1568/getInfo.php?workbook=11_02.xlsx&amp;sheet=U0&amp;row=238&amp;col=7&amp;number=0.000127&amp;sourceID=14","0.000127")</f>
        <v>0.000127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HYPERLINK("http://141.218.60.56/~jnz1568/getInfo.php?workbook=11_02.xlsx&amp;sheet=U0&amp;row=239&amp;col=6&amp;number=4.5&amp;sourceID=14","4.5")</f>
        <v>4.5</v>
      </c>
      <c r="G239" s="4" t="str">
        <f>HYPERLINK("http://141.218.60.56/~jnz1568/getInfo.php?workbook=11_02.xlsx&amp;sheet=U0&amp;row=239&amp;col=7&amp;number=0.00013&amp;sourceID=14","0.00013")</f>
        <v>0.00013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HYPERLINK("http://141.218.60.56/~jnz1568/getInfo.php?workbook=11_02.xlsx&amp;sheet=U0&amp;row=240&amp;col=6&amp;number=4.6&amp;sourceID=14","4.6")</f>
        <v>4.6</v>
      </c>
      <c r="G240" s="4" t="str">
        <f>HYPERLINK("http://141.218.60.56/~jnz1568/getInfo.php?workbook=11_02.xlsx&amp;sheet=U0&amp;row=240&amp;col=7&amp;number=0.000135&amp;sourceID=14","0.000135")</f>
        <v>0.000135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HYPERLINK("http://141.218.60.56/~jnz1568/getInfo.php?workbook=11_02.xlsx&amp;sheet=U0&amp;row=241&amp;col=6&amp;number=4.7&amp;sourceID=14","4.7")</f>
        <v>4.7</v>
      </c>
      <c r="G241" s="4" t="str">
        <f>HYPERLINK("http://141.218.60.56/~jnz1568/getInfo.php?workbook=11_02.xlsx&amp;sheet=U0&amp;row=241&amp;col=7&amp;number=0.000141&amp;sourceID=14","0.000141")</f>
        <v>0.000141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HYPERLINK("http://141.218.60.56/~jnz1568/getInfo.php?workbook=11_02.xlsx&amp;sheet=U0&amp;row=242&amp;col=6&amp;number=4.8&amp;sourceID=14","4.8")</f>
        <v>4.8</v>
      </c>
      <c r="G242" s="4" t="str">
        <f>HYPERLINK("http://141.218.60.56/~jnz1568/getInfo.php?workbook=11_02.xlsx&amp;sheet=U0&amp;row=242&amp;col=7&amp;number=0.000148&amp;sourceID=14","0.000148")</f>
        <v>0.000148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HYPERLINK("http://141.218.60.56/~jnz1568/getInfo.php?workbook=11_02.xlsx&amp;sheet=U0&amp;row=243&amp;col=6&amp;number=4.9&amp;sourceID=14","4.9")</f>
        <v>4.9</v>
      </c>
      <c r="G243" s="4" t="str">
        <f>HYPERLINK("http://141.218.60.56/~jnz1568/getInfo.php?workbook=11_02.xlsx&amp;sheet=U0&amp;row=243&amp;col=7&amp;number=0.000156&amp;sourceID=14","0.000156")</f>
        <v>0.000156</v>
      </c>
    </row>
    <row r="244" spans="1:7">
      <c r="A244" s="3">
        <v>11</v>
      </c>
      <c r="B244" s="3">
        <v>2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HYPERLINK("http://141.218.60.56/~jnz1568/getInfo.php?workbook=11_02.xlsx&amp;sheet=U0&amp;row=244&amp;col=6&amp;number=3&amp;sourceID=14","3")</f>
        <v>3</v>
      </c>
      <c r="G244" s="4" t="str">
        <f>HYPERLINK("http://141.218.60.56/~jnz1568/getInfo.php?workbook=11_02.xlsx&amp;sheet=U0&amp;row=244&amp;col=7&amp;number=0.000217&amp;sourceID=14","0.000217")</f>
        <v>0.000217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HYPERLINK("http://141.218.60.56/~jnz1568/getInfo.php?workbook=11_02.xlsx&amp;sheet=U0&amp;row=245&amp;col=6&amp;number=3.1&amp;sourceID=14","3.1")</f>
        <v>3.1</v>
      </c>
      <c r="G245" s="4" t="str">
        <f>HYPERLINK("http://141.218.60.56/~jnz1568/getInfo.php?workbook=11_02.xlsx&amp;sheet=U0&amp;row=245&amp;col=7&amp;number=0.000217&amp;sourceID=14","0.000217")</f>
        <v>0.000217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HYPERLINK("http://141.218.60.56/~jnz1568/getInfo.php?workbook=11_02.xlsx&amp;sheet=U0&amp;row=246&amp;col=6&amp;number=3.2&amp;sourceID=14","3.2")</f>
        <v>3.2</v>
      </c>
      <c r="G246" s="4" t="str">
        <f>HYPERLINK("http://141.218.60.56/~jnz1568/getInfo.php?workbook=11_02.xlsx&amp;sheet=U0&amp;row=246&amp;col=7&amp;number=0.000217&amp;sourceID=14","0.000217")</f>
        <v>0.000217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HYPERLINK("http://141.218.60.56/~jnz1568/getInfo.php?workbook=11_02.xlsx&amp;sheet=U0&amp;row=247&amp;col=6&amp;number=3.3&amp;sourceID=14","3.3")</f>
        <v>3.3</v>
      </c>
      <c r="G247" s="4" t="str">
        <f>HYPERLINK("http://141.218.60.56/~jnz1568/getInfo.php?workbook=11_02.xlsx&amp;sheet=U0&amp;row=247&amp;col=7&amp;number=0.000217&amp;sourceID=14","0.000217")</f>
        <v>0.000217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HYPERLINK("http://141.218.60.56/~jnz1568/getInfo.php?workbook=11_02.xlsx&amp;sheet=U0&amp;row=248&amp;col=6&amp;number=3.4&amp;sourceID=14","3.4")</f>
        <v>3.4</v>
      </c>
      <c r="G248" s="4" t="str">
        <f>HYPERLINK("http://141.218.60.56/~jnz1568/getInfo.php?workbook=11_02.xlsx&amp;sheet=U0&amp;row=248&amp;col=7&amp;number=0.000218&amp;sourceID=14","0.000218")</f>
        <v>0.000218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HYPERLINK("http://141.218.60.56/~jnz1568/getInfo.php?workbook=11_02.xlsx&amp;sheet=U0&amp;row=249&amp;col=6&amp;number=3.5&amp;sourceID=14","3.5")</f>
        <v>3.5</v>
      </c>
      <c r="G249" s="4" t="str">
        <f>HYPERLINK("http://141.218.60.56/~jnz1568/getInfo.php?workbook=11_02.xlsx&amp;sheet=U0&amp;row=249&amp;col=7&amp;number=0.000218&amp;sourceID=14","0.000218")</f>
        <v>0.000218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HYPERLINK("http://141.218.60.56/~jnz1568/getInfo.php?workbook=11_02.xlsx&amp;sheet=U0&amp;row=250&amp;col=6&amp;number=3.6&amp;sourceID=14","3.6")</f>
        <v>3.6</v>
      </c>
      <c r="G250" s="4" t="str">
        <f>HYPERLINK("http://141.218.60.56/~jnz1568/getInfo.php?workbook=11_02.xlsx&amp;sheet=U0&amp;row=250&amp;col=7&amp;number=0.000219&amp;sourceID=14","0.000219")</f>
        <v>0.000219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HYPERLINK("http://141.218.60.56/~jnz1568/getInfo.php?workbook=11_02.xlsx&amp;sheet=U0&amp;row=251&amp;col=6&amp;number=3.7&amp;sourceID=14","3.7")</f>
        <v>3.7</v>
      </c>
      <c r="G251" s="4" t="str">
        <f>HYPERLINK("http://141.218.60.56/~jnz1568/getInfo.php?workbook=11_02.xlsx&amp;sheet=U0&amp;row=251&amp;col=7&amp;number=0.00022&amp;sourceID=14","0.00022")</f>
        <v>0.00022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HYPERLINK("http://141.218.60.56/~jnz1568/getInfo.php?workbook=11_02.xlsx&amp;sheet=U0&amp;row=252&amp;col=6&amp;number=3.8&amp;sourceID=14","3.8")</f>
        <v>3.8</v>
      </c>
      <c r="G252" s="4" t="str">
        <f>HYPERLINK("http://141.218.60.56/~jnz1568/getInfo.php?workbook=11_02.xlsx&amp;sheet=U0&amp;row=252&amp;col=7&amp;number=0.00022&amp;sourceID=14","0.00022")</f>
        <v>0.00022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HYPERLINK("http://141.218.60.56/~jnz1568/getInfo.php?workbook=11_02.xlsx&amp;sheet=U0&amp;row=253&amp;col=6&amp;number=3.9&amp;sourceID=14","3.9")</f>
        <v>3.9</v>
      </c>
      <c r="G253" s="4" t="str">
        <f>HYPERLINK("http://141.218.60.56/~jnz1568/getInfo.php?workbook=11_02.xlsx&amp;sheet=U0&amp;row=253&amp;col=7&amp;number=0.000222&amp;sourceID=14","0.000222")</f>
        <v>0.000222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HYPERLINK("http://141.218.60.56/~jnz1568/getInfo.php?workbook=11_02.xlsx&amp;sheet=U0&amp;row=254&amp;col=6&amp;number=4&amp;sourceID=14","4")</f>
        <v>4</v>
      </c>
      <c r="G254" s="4" t="str">
        <f>HYPERLINK("http://141.218.60.56/~jnz1568/getInfo.php?workbook=11_02.xlsx&amp;sheet=U0&amp;row=254&amp;col=7&amp;number=0.000223&amp;sourceID=14","0.000223")</f>
        <v>0.000223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HYPERLINK("http://141.218.60.56/~jnz1568/getInfo.php?workbook=11_02.xlsx&amp;sheet=U0&amp;row=255&amp;col=6&amp;number=4.1&amp;sourceID=14","4.1")</f>
        <v>4.1</v>
      </c>
      <c r="G255" s="4" t="str">
        <f>HYPERLINK("http://141.218.60.56/~jnz1568/getInfo.php?workbook=11_02.xlsx&amp;sheet=U0&amp;row=255&amp;col=7&amp;number=0.000225&amp;sourceID=14","0.000225")</f>
        <v>0.000225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HYPERLINK("http://141.218.60.56/~jnz1568/getInfo.php?workbook=11_02.xlsx&amp;sheet=U0&amp;row=256&amp;col=6&amp;number=4.2&amp;sourceID=14","4.2")</f>
        <v>4.2</v>
      </c>
      <c r="G256" s="4" t="str">
        <f>HYPERLINK("http://141.218.60.56/~jnz1568/getInfo.php?workbook=11_02.xlsx&amp;sheet=U0&amp;row=256&amp;col=7&amp;number=0.000227&amp;sourceID=14","0.000227")</f>
        <v>0.000227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HYPERLINK("http://141.218.60.56/~jnz1568/getInfo.php?workbook=11_02.xlsx&amp;sheet=U0&amp;row=257&amp;col=6&amp;number=4.3&amp;sourceID=14","4.3")</f>
        <v>4.3</v>
      </c>
      <c r="G257" s="4" t="str">
        <f>HYPERLINK("http://141.218.60.56/~jnz1568/getInfo.php?workbook=11_02.xlsx&amp;sheet=U0&amp;row=257&amp;col=7&amp;number=0.00023&amp;sourceID=14","0.00023")</f>
        <v>0.00023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HYPERLINK("http://141.218.60.56/~jnz1568/getInfo.php?workbook=11_02.xlsx&amp;sheet=U0&amp;row=258&amp;col=6&amp;number=4.4&amp;sourceID=14","4.4")</f>
        <v>4.4</v>
      </c>
      <c r="G258" s="4" t="str">
        <f>HYPERLINK("http://141.218.60.56/~jnz1568/getInfo.php?workbook=11_02.xlsx&amp;sheet=U0&amp;row=258&amp;col=7&amp;number=0.000233&amp;sourceID=14","0.000233")</f>
        <v>0.000233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HYPERLINK("http://141.218.60.56/~jnz1568/getInfo.php?workbook=11_02.xlsx&amp;sheet=U0&amp;row=259&amp;col=6&amp;number=4.5&amp;sourceID=14","4.5")</f>
        <v>4.5</v>
      </c>
      <c r="G259" s="4" t="str">
        <f>HYPERLINK("http://141.218.60.56/~jnz1568/getInfo.php?workbook=11_02.xlsx&amp;sheet=U0&amp;row=259&amp;col=7&amp;number=0.000238&amp;sourceID=14","0.000238")</f>
        <v>0.000238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HYPERLINK("http://141.218.60.56/~jnz1568/getInfo.php?workbook=11_02.xlsx&amp;sheet=U0&amp;row=260&amp;col=6&amp;number=4.6&amp;sourceID=14","4.6")</f>
        <v>4.6</v>
      </c>
      <c r="G260" s="4" t="str">
        <f>HYPERLINK("http://141.218.60.56/~jnz1568/getInfo.php?workbook=11_02.xlsx&amp;sheet=U0&amp;row=260&amp;col=7&amp;number=0.000243&amp;sourceID=14","0.000243")</f>
        <v>0.000243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HYPERLINK("http://141.218.60.56/~jnz1568/getInfo.php?workbook=11_02.xlsx&amp;sheet=U0&amp;row=261&amp;col=6&amp;number=4.7&amp;sourceID=14","4.7")</f>
        <v>4.7</v>
      </c>
      <c r="G261" s="4" t="str">
        <f>HYPERLINK("http://141.218.60.56/~jnz1568/getInfo.php?workbook=11_02.xlsx&amp;sheet=U0&amp;row=261&amp;col=7&amp;number=0.00025&amp;sourceID=14","0.00025")</f>
        <v>0.00025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HYPERLINK("http://141.218.60.56/~jnz1568/getInfo.php?workbook=11_02.xlsx&amp;sheet=U0&amp;row=262&amp;col=6&amp;number=4.8&amp;sourceID=14","4.8")</f>
        <v>4.8</v>
      </c>
      <c r="G262" s="4" t="str">
        <f>HYPERLINK("http://141.218.60.56/~jnz1568/getInfo.php?workbook=11_02.xlsx&amp;sheet=U0&amp;row=262&amp;col=7&amp;number=0.000258&amp;sourceID=14","0.000258")</f>
        <v>0.000258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HYPERLINK("http://141.218.60.56/~jnz1568/getInfo.php?workbook=11_02.xlsx&amp;sheet=U0&amp;row=263&amp;col=6&amp;number=4.9&amp;sourceID=14","4.9")</f>
        <v>4.9</v>
      </c>
      <c r="G263" s="4" t="str">
        <f>HYPERLINK("http://141.218.60.56/~jnz1568/getInfo.php?workbook=11_02.xlsx&amp;sheet=U0&amp;row=263&amp;col=7&amp;number=0.000268&amp;sourceID=14","0.000268")</f>
        <v>0.000268</v>
      </c>
    </row>
    <row r="264" spans="1:7">
      <c r="A264" s="3">
        <v>11</v>
      </c>
      <c r="B264" s="3">
        <v>2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HYPERLINK("http://141.218.60.56/~jnz1568/getInfo.php?workbook=11_02.xlsx&amp;sheet=U0&amp;row=264&amp;col=6&amp;number=3&amp;sourceID=14","3")</f>
        <v>3</v>
      </c>
      <c r="G264" s="4" t="str">
        <f>HYPERLINK("http://141.218.60.56/~jnz1568/getInfo.php?workbook=11_02.xlsx&amp;sheet=U0&amp;row=264&amp;col=7&amp;number=0.000281&amp;sourceID=14","0.000281")</f>
        <v>0.000281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HYPERLINK("http://141.218.60.56/~jnz1568/getInfo.php?workbook=11_02.xlsx&amp;sheet=U0&amp;row=265&amp;col=6&amp;number=3.1&amp;sourceID=14","3.1")</f>
        <v>3.1</v>
      </c>
      <c r="G265" s="4" t="str">
        <f>HYPERLINK("http://141.218.60.56/~jnz1568/getInfo.php?workbook=11_02.xlsx&amp;sheet=U0&amp;row=265&amp;col=7&amp;number=0.000282&amp;sourceID=14","0.000282")</f>
        <v>0.000282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HYPERLINK("http://141.218.60.56/~jnz1568/getInfo.php?workbook=11_02.xlsx&amp;sheet=U0&amp;row=266&amp;col=6&amp;number=3.2&amp;sourceID=14","3.2")</f>
        <v>3.2</v>
      </c>
      <c r="G266" s="4" t="str">
        <f>HYPERLINK("http://141.218.60.56/~jnz1568/getInfo.php?workbook=11_02.xlsx&amp;sheet=U0&amp;row=266&amp;col=7&amp;number=0.000282&amp;sourceID=14","0.000282")</f>
        <v>0.000282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HYPERLINK("http://141.218.60.56/~jnz1568/getInfo.php?workbook=11_02.xlsx&amp;sheet=U0&amp;row=267&amp;col=6&amp;number=3.3&amp;sourceID=14","3.3")</f>
        <v>3.3</v>
      </c>
      <c r="G267" s="4" t="str">
        <f>HYPERLINK("http://141.218.60.56/~jnz1568/getInfo.php?workbook=11_02.xlsx&amp;sheet=U0&amp;row=267&amp;col=7&amp;number=0.000283&amp;sourceID=14","0.000283")</f>
        <v>0.000283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HYPERLINK("http://141.218.60.56/~jnz1568/getInfo.php?workbook=11_02.xlsx&amp;sheet=U0&amp;row=268&amp;col=6&amp;number=3.4&amp;sourceID=14","3.4")</f>
        <v>3.4</v>
      </c>
      <c r="G268" s="4" t="str">
        <f>HYPERLINK("http://141.218.60.56/~jnz1568/getInfo.php?workbook=11_02.xlsx&amp;sheet=U0&amp;row=268&amp;col=7&amp;number=0.000283&amp;sourceID=14","0.000283")</f>
        <v>0.000283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HYPERLINK("http://141.218.60.56/~jnz1568/getInfo.php?workbook=11_02.xlsx&amp;sheet=U0&amp;row=269&amp;col=6&amp;number=3.5&amp;sourceID=14","3.5")</f>
        <v>3.5</v>
      </c>
      <c r="G269" s="4" t="str">
        <f>HYPERLINK("http://141.218.60.56/~jnz1568/getInfo.php?workbook=11_02.xlsx&amp;sheet=U0&amp;row=269&amp;col=7&amp;number=0.000284&amp;sourceID=14","0.000284")</f>
        <v>0.000284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HYPERLINK("http://141.218.60.56/~jnz1568/getInfo.php?workbook=11_02.xlsx&amp;sheet=U0&amp;row=270&amp;col=6&amp;number=3.6&amp;sourceID=14","3.6")</f>
        <v>3.6</v>
      </c>
      <c r="G270" s="4" t="str">
        <f>HYPERLINK("http://141.218.60.56/~jnz1568/getInfo.php?workbook=11_02.xlsx&amp;sheet=U0&amp;row=270&amp;col=7&amp;number=0.000285&amp;sourceID=14","0.000285")</f>
        <v>0.000285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HYPERLINK("http://141.218.60.56/~jnz1568/getInfo.php?workbook=11_02.xlsx&amp;sheet=U0&amp;row=271&amp;col=6&amp;number=3.7&amp;sourceID=14","3.7")</f>
        <v>3.7</v>
      </c>
      <c r="G271" s="4" t="str">
        <f>HYPERLINK("http://141.218.60.56/~jnz1568/getInfo.php?workbook=11_02.xlsx&amp;sheet=U0&amp;row=271&amp;col=7&amp;number=0.000286&amp;sourceID=14","0.000286")</f>
        <v>0.000286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HYPERLINK("http://141.218.60.56/~jnz1568/getInfo.php?workbook=11_02.xlsx&amp;sheet=U0&amp;row=272&amp;col=6&amp;number=3.8&amp;sourceID=14","3.8")</f>
        <v>3.8</v>
      </c>
      <c r="G272" s="4" t="str">
        <f>HYPERLINK("http://141.218.60.56/~jnz1568/getInfo.php?workbook=11_02.xlsx&amp;sheet=U0&amp;row=272&amp;col=7&amp;number=0.000288&amp;sourceID=14","0.000288")</f>
        <v>0.000288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HYPERLINK("http://141.218.60.56/~jnz1568/getInfo.php?workbook=11_02.xlsx&amp;sheet=U0&amp;row=273&amp;col=6&amp;number=3.9&amp;sourceID=14","3.9")</f>
        <v>3.9</v>
      </c>
      <c r="G273" s="4" t="str">
        <f>HYPERLINK("http://141.218.60.56/~jnz1568/getInfo.php?workbook=11_02.xlsx&amp;sheet=U0&amp;row=273&amp;col=7&amp;number=0.00029&amp;sourceID=14","0.00029")</f>
        <v>0.00029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HYPERLINK("http://141.218.60.56/~jnz1568/getInfo.php?workbook=11_02.xlsx&amp;sheet=U0&amp;row=274&amp;col=6&amp;number=4&amp;sourceID=14","4")</f>
        <v>4</v>
      </c>
      <c r="G274" s="4" t="str">
        <f>HYPERLINK("http://141.218.60.56/~jnz1568/getInfo.php?workbook=11_02.xlsx&amp;sheet=U0&amp;row=274&amp;col=7&amp;number=0.000292&amp;sourceID=14","0.000292")</f>
        <v>0.000292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HYPERLINK("http://141.218.60.56/~jnz1568/getInfo.php?workbook=11_02.xlsx&amp;sheet=U0&amp;row=275&amp;col=6&amp;number=4.1&amp;sourceID=14","4.1")</f>
        <v>4.1</v>
      </c>
      <c r="G275" s="4" t="str">
        <f>HYPERLINK("http://141.218.60.56/~jnz1568/getInfo.php?workbook=11_02.xlsx&amp;sheet=U0&amp;row=275&amp;col=7&amp;number=0.000295&amp;sourceID=14","0.000295")</f>
        <v>0.000295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HYPERLINK("http://141.218.60.56/~jnz1568/getInfo.php?workbook=11_02.xlsx&amp;sheet=U0&amp;row=276&amp;col=6&amp;number=4.2&amp;sourceID=14","4.2")</f>
        <v>4.2</v>
      </c>
      <c r="G276" s="4" t="str">
        <f>HYPERLINK("http://141.218.60.56/~jnz1568/getInfo.php?workbook=11_02.xlsx&amp;sheet=U0&amp;row=276&amp;col=7&amp;number=0.000299&amp;sourceID=14","0.000299")</f>
        <v>0.000299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HYPERLINK("http://141.218.60.56/~jnz1568/getInfo.php?workbook=11_02.xlsx&amp;sheet=U0&amp;row=277&amp;col=6&amp;number=4.3&amp;sourceID=14","4.3")</f>
        <v>4.3</v>
      </c>
      <c r="G277" s="4" t="str">
        <f>HYPERLINK("http://141.218.60.56/~jnz1568/getInfo.php?workbook=11_02.xlsx&amp;sheet=U0&amp;row=277&amp;col=7&amp;number=0.000304&amp;sourceID=14","0.000304")</f>
        <v>0.000304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HYPERLINK("http://141.218.60.56/~jnz1568/getInfo.php?workbook=11_02.xlsx&amp;sheet=U0&amp;row=278&amp;col=6&amp;number=4.4&amp;sourceID=14","4.4")</f>
        <v>4.4</v>
      </c>
      <c r="G278" s="4" t="str">
        <f>HYPERLINK("http://141.218.60.56/~jnz1568/getInfo.php?workbook=11_02.xlsx&amp;sheet=U0&amp;row=278&amp;col=7&amp;number=0.000309&amp;sourceID=14","0.000309")</f>
        <v>0.000309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HYPERLINK("http://141.218.60.56/~jnz1568/getInfo.php?workbook=11_02.xlsx&amp;sheet=U0&amp;row=279&amp;col=6&amp;number=4.5&amp;sourceID=14","4.5")</f>
        <v>4.5</v>
      </c>
      <c r="G279" s="4" t="str">
        <f>HYPERLINK("http://141.218.60.56/~jnz1568/getInfo.php?workbook=11_02.xlsx&amp;sheet=U0&amp;row=279&amp;col=7&amp;number=0.000317&amp;sourceID=14","0.000317")</f>
        <v>0.000317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HYPERLINK("http://141.218.60.56/~jnz1568/getInfo.php?workbook=11_02.xlsx&amp;sheet=U0&amp;row=280&amp;col=6&amp;number=4.6&amp;sourceID=14","4.6")</f>
        <v>4.6</v>
      </c>
      <c r="G280" s="4" t="str">
        <f>HYPERLINK("http://141.218.60.56/~jnz1568/getInfo.php?workbook=11_02.xlsx&amp;sheet=U0&amp;row=280&amp;col=7&amp;number=0.000326&amp;sourceID=14","0.000326")</f>
        <v>0.000326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HYPERLINK("http://141.218.60.56/~jnz1568/getInfo.php?workbook=11_02.xlsx&amp;sheet=U0&amp;row=281&amp;col=6&amp;number=4.7&amp;sourceID=14","4.7")</f>
        <v>4.7</v>
      </c>
      <c r="G281" s="4" t="str">
        <f>HYPERLINK("http://141.218.60.56/~jnz1568/getInfo.php?workbook=11_02.xlsx&amp;sheet=U0&amp;row=281&amp;col=7&amp;number=0.000336&amp;sourceID=14","0.000336")</f>
        <v>0.000336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HYPERLINK("http://141.218.60.56/~jnz1568/getInfo.php?workbook=11_02.xlsx&amp;sheet=U0&amp;row=282&amp;col=6&amp;number=4.8&amp;sourceID=14","4.8")</f>
        <v>4.8</v>
      </c>
      <c r="G282" s="4" t="str">
        <f>HYPERLINK("http://141.218.60.56/~jnz1568/getInfo.php?workbook=11_02.xlsx&amp;sheet=U0&amp;row=282&amp;col=7&amp;number=0.00035&amp;sourceID=14","0.00035")</f>
        <v>0.00035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HYPERLINK("http://141.218.60.56/~jnz1568/getInfo.php?workbook=11_02.xlsx&amp;sheet=U0&amp;row=283&amp;col=6&amp;number=4.9&amp;sourceID=14","4.9")</f>
        <v>4.9</v>
      </c>
      <c r="G283" s="4" t="str">
        <f>HYPERLINK("http://141.218.60.56/~jnz1568/getInfo.php?workbook=11_02.xlsx&amp;sheet=U0&amp;row=283&amp;col=7&amp;number=0.000365&amp;sourceID=14","0.000365")</f>
        <v>0.000365</v>
      </c>
    </row>
    <row r="284" spans="1:7">
      <c r="A284" s="3">
        <v>11</v>
      </c>
      <c r="B284" s="3">
        <v>2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HYPERLINK("http://141.218.60.56/~jnz1568/getInfo.php?workbook=11_02.xlsx&amp;sheet=U0&amp;row=284&amp;col=6&amp;number=3&amp;sourceID=14","3")</f>
        <v>3</v>
      </c>
      <c r="G284" s="4" t="str">
        <f>HYPERLINK("http://141.218.60.56/~jnz1568/getInfo.php?workbook=11_02.xlsx&amp;sheet=U0&amp;row=284&amp;col=7&amp;number=0.000254&amp;sourceID=14","0.000254")</f>
        <v>0.000254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HYPERLINK("http://141.218.60.56/~jnz1568/getInfo.php?workbook=11_02.xlsx&amp;sheet=U0&amp;row=285&amp;col=6&amp;number=3.1&amp;sourceID=14","3.1")</f>
        <v>3.1</v>
      </c>
      <c r="G285" s="4" t="str">
        <f>HYPERLINK("http://141.218.60.56/~jnz1568/getInfo.php?workbook=11_02.xlsx&amp;sheet=U0&amp;row=285&amp;col=7&amp;number=0.000254&amp;sourceID=14","0.000254")</f>
        <v>0.000254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HYPERLINK("http://141.218.60.56/~jnz1568/getInfo.php?workbook=11_02.xlsx&amp;sheet=U0&amp;row=286&amp;col=6&amp;number=3.2&amp;sourceID=14","3.2")</f>
        <v>3.2</v>
      </c>
      <c r="G286" s="4" t="str">
        <f>HYPERLINK("http://141.218.60.56/~jnz1568/getInfo.php?workbook=11_02.xlsx&amp;sheet=U0&amp;row=286&amp;col=7&amp;number=0.000254&amp;sourceID=14","0.000254")</f>
        <v>0.000254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HYPERLINK("http://141.218.60.56/~jnz1568/getInfo.php?workbook=11_02.xlsx&amp;sheet=U0&amp;row=287&amp;col=6&amp;number=3.3&amp;sourceID=14","3.3")</f>
        <v>3.3</v>
      </c>
      <c r="G287" s="4" t="str">
        <f>HYPERLINK("http://141.218.60.56/~jnz1568/getInfo.php?workbook=11_02.xlsx&amp;sheet=U0&amp;row=287&amp;col=7&amp;number=0.000255&amp;sourceID=14","0.000255")</f>
        <v>0.000255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HYPERLINK("http://141.218.60.56/~jnz1568/getInfo.php?workbook=11_02.xlsx&amp;sheet=U0&amp;row=288&amp;col=6&amp;number=3.4&amp;sourceID=14","3.4")</f>
        <v>3.4</v>
      </c>
      <c r="G288" s="4" t="str">
        <f>HYPERLINK("http://141.218.60.56/~jnz1568/getInfo.php?workbook=11_02.xlsx&amp;sheet=U0&amp;row=288&amp;col=7&amp;number=0.000255&amp;sourceID=14","0.000255")</f>
        <v>0.000255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HYPERLINK("http://141.218.60.56/~jnz1568/getInfo.php?workbook=11_02.xlsx&amp;sheet=U0&amp;row=289&amp;col=6&amp;number=3.5&amp;sourceID=14","3.5")</f>
        <v>3.5</v>
      </c>
      <c r="G289" s="4" t="str">
        <f>HYPERLINK("http://141.218.60.56/~jnz1568/getInfo.php?workbook=11_02.xlsx&amp;sheet=U0&amp;row=289&amp;col=7&amp;number=0.000256&amp;sourceID=14","0.000256")</f>
        <v>0.000256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HYPERLINK("http://141.218.60.56/~jnz1568/getInfo.php?workbook=11_02.xlsx&amp;sheet=U0&amp;row=290&amp;col=6&amp;number=3.6&amp;sourceID=14","3.6")</f>
        <v>3.6</v>
      </c>
      <c r="G290" s="4" t="str">
        <f>HYPERLINK("http://141.218.60.56/~jnz1568/getInfo.php?workbook=11_02.xlsx&amp;sheet=U0&amp;row=290&amp;col=7&amp;number=0.000257&amp;sourceID=14","0.000257")</f>
        <v>0.000257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HYPERLINK("http://141.218.60.56/~jnz1568/getInfo.php?workbook=11_02.xlsx&amp;sheet=U0&amp;row=291&amp;col=6&amp;number=3.7&amp;sourceID=14","3.7")</f>
        <v>3.7</v>
      </c>
      <c r="G291" s="4" t="str">
        <f>HYPERLINK("http://141.218.60.56/~jnz1568/getInfo.php?workbook=11_02.xlsx&amp;sheet=U0&amp;row=291&amp;col=7&amp;number=0.000258&amp;sourceID=14","0.000258")</f>
        <v>0.000258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HYPERLINK("http://141.218.60.56/~jnz1568/getInfo.php?workbook=11_02.xlsx&amp;sheet=U0&amp;row=292&amp;col=6&amp;number=3.8&amp;sourceID=14","3.8")</f>
        <v>3.8</v>
      </c>
      <c r="G292" s="4" t="str">
        <f>HYPERLINK("http://141.218.60.56/~jnz1568/getInfo.php?workbook=11_02.xlsx&amp;sheet=U0&amp;row=292&amp;col=7&amp;number=0.000259&amp;sourceID=14","0.000259")</f>
        <v>0.000259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HYPERLINK("http://141.218.60.56/~jnz1568/getInfo.php?workbook=11_02.xlsx&amp;sheet=U0&amp;row=293&amp;col=6&amp;number=3.9&amp;sourceID=14","3.9")</f>
        <v>3.9</v>
      </c>
      <c r="G293" s="4" t="str">
        <f>HYPERLINK("http://141.218.60.56/~jnz1568/getInfo.php?workbook=11_02.xlsx&amp;sheet=U0&amp;row=293&amp;col=7&amp;number=0.000261&amp;sourceID=14","0.000261")</f>
        <v>0.000261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HYPERLINK("http://141.218.60.56/~jnz1568/getInfo.php?workbook=11_02.xlsx&amp;sheet=U0&amp;row=294&amp;col=6&amp;number=4&amp;sourceID=14","4")</f>
        <v>4</v>
      </c>
      <c r="G294" s="4" t="str">
        <f>HYPERLINK("http://141.218.60.56/~jnz1568/getInfo.php?workbook=11_02.xlsx&amp;sheet=U0&amp;row=294&amp;col=7&amp;number=0.000263&amp;sourceID=14","0.000263")</f>
        <v>0.000263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HYPERLINK("http://141.218.60.56/~jnz1568/getInfo.php?workbook=11_02.xlsx&amp;sheet=U0&amp;row=295&amp;col=6&amp;number=4.1&amp;sourceID=14","4.1")</f>
        <v>4.1</v>
      </c>
      <c r="G295" s="4" t="str">
        <f>HYPERLINK("http://141.218.60.56/~jnz1568/getInfo.php?workbook=11_02.xlsx&amp;sheet=U0&amp;row=295&amp;col=7&amp;number=0.000265&amp;sourceID=14","0.000265")</f>
        <v>0.000265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HYPERLINK("http://141.218.60.56/~jnz1568/getInfo.php?workbook=11_02.xlsx&amp;sheet=U0&amp;row=296&amp;col=6&amp;number=4.2&amp;sourceID=14","4.2")</f>
        <v>4.2</v>
      </c>
      <c r="G296" s="4" t="str">
        <f>HYPERLINK("http://141.218.60.56/~jnz1568/getInfo.php?workbook=11_02.xlsx&amp;sheet=U0&amp;row=296&amp;col=7&amp;number=0.000269&amp;sourceID=14","0.000269")</f>
        <v>0.000269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HYPERLINK("http://141.218.60.56/~jnz1568/getInfo.php?workbook=11_02.xlsx&amp;sheet=U0&amp;row=297&amp;col=6&amp;number=4.3&amp;sourceID=14","4.3")</f>
        <v>4.3</v>
      </c>
      <c r="G297" s="4" t="str">
        <f>HYPERLINK("http://141.218.60.56/~jnz1568/getInfo.php?workbook=11_02.xlsx&amp;sheet=U0&amp;row=297&amp;col=7&amp;number=0.000273&amp;sourceID=14","0.000273")</f>
        <v>0.000273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HYPERLINK("http://141.218.60.56/~jnz1568/getInfo.php?workbook=11_02.xlsx&amp;sheet=U0&amp;row=298&amp;col=6&amp;number=4.4&amp;sourceID=14","4.4")</f>
        <v>4.4</v>
      </c>
      <c r="G298" s="4" t="str">
        <f>HYPERLINK("http://141.218.60.56/~jnz1568/getInfo.php?workbook=11_02.xlsx&amp;sheet=U0&amp;row=298&amp;col=7&amp;number=0.000278&amp;sourceID=14","0.000278")</f>
        <v>0.000278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HYPERLINK("http://141.218.60.56/~jnz1568/getInfo.php?workbook=11_02.xlsx&amp;sheet=U0&amp;row=299&amp;col=6&amp;number=4.5&amp;sourceID=14","4.5")</f>
        <v>4.5</v>
      </c>
      <c r="G299" s="4" t="str">
        <f>HYPERLINK("http://141.218.60.56/~jnz1568/getInfo.php?workbook=11_02.xlsx&amp;sheet=U0&amp;row=299&amp;col=7&amp;number=0.000284&amp;sourceID=14","0.000284")</f>
        <v>0.000284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HYPERLINK("http://141.218.60.56/~jnz1568/getInfo.php?workbook=11_02.xlsx&amp;sheet=U0&amp;row=300&amp;col=6&amp;number=4.6&amp;sourceID=14","4.6")</f>
        <v>4.6</v>
      </c>
      <c r="G300" s="4" t="str">
        <f>HYPERLINK("http://141.218.60.56/~jnz1568/getInfo.php?workbook=11_02.xlsx&amp;sheet=U0&amp;row=300&amp;col=7&amp;number=0.000291&amp;sourceID=14","0.000291")</f>
        <v>0.000291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HYPERLINK("http://141.218.60.56/~jnz1568/getInfo.php?workbook=11_02.xlsx&amp;sheet=U0&amp;row=301&amp;col=6&amp;number=4.7&amp;sourceID=14","4.7")</f>
        <v>4.7</v>
      </c>
      <c r="G301" s="4" t="str">
        <f>HYPERLINK("http://141.218.60.56/~jnz1568/getInfo.php?workbook=11_02.xlsx&amp;sheet=U0&amp;row=301&amp;col=7&amp;number=0.000301&amp;sourceID=14","0.000301")</f>
        <v>0.000301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HYPERLINK("http://141.218.60.56/~jnz1568/getInfo.php?workbook=11_02.xlsx&amp;sheet=U0&amp;row=302&amp;col=6&amp;number=4.8&amp;sourceID=14","4.8")</f>
        <v>4.8</v>
      </c>
      <c r="G302" s="4" t="str">
        <f>HYPERLINK("http://141.218.60.56/~jnz1568/getInfo.php?workbook=11_02.xlsx&amp;sheet=U0&amp;row=302&amp;col=7&amp;number=0.000312&amp;sourceID=14","0.000312")</f>
        <v>0.000312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HYPERLINK("http://141.218.60.56/~jnz1568/getInfo.php?workbook=11_02.xlsx&amp;sheet=U0&amp;row=303&amp;col=6&amp;number=4.9&amp;sourceID=14","4.9")</f>
        <v>4.9</v>
      </c>
      <c r="G303" s="4" t="str">
        <f>HYPERLINK("http://141.218.60.56/~jnz1568/getInfo.php?workbook=11_02.xlsx&amp;sheet=U0&amp;row=303&amp;col=7&amp;number=0.000325&amp;sourceID=14","0.000325")</f>
        <v>0.000325</v>
      </c>
    </row>
    <row r="304" spans="1:7">
      <c r="A304" s="3">
        <v>11</v>
      </c>
      <c r="B304" s="3">
        <v>2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HYPERLINK("http://141.218.60.56/~jnz1568/getInfo.php?workbook=11_02.xlsx&amp;sheet=U0&amp;row=304&amp;col=6&amp;number=3&amp;sourceID=14","3")</f>
        <v>3</v>
      </c>
      <c r="G304" s="4" t="str">
        <f>HYPERLINK("http://141.218.60.56/~jnz1568/getInfo.php?workbook=11_02.xlsx&amp;sheet=U0&amp;row=304&amp;col=7&amp;number=0.00215&amp;sourceID=14","0.00215")</f>
        <v>0.00215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HYPERLINK("http://141.218.60.56/~jnz1568/getInfo.php?workbook=11_02.xlsx&amp;sheet=U0&amp;row=305&amp;col=6&amp;number=3.1&amp;sourceID=14","3.1")</f>
        <v>3.1</v>
      </c>
      <c r="G305" s="4" t="str">
        <f>HYPERLINK("http://141.218.60.56/~jnz1568/getInfo.php?workbook=11_02.xlsx&amp;sheet=U0&amp;row=305&amp;col=7&amp;number=0.00215&amp;sourceID=14","0.00215")</f>
        <v>0.00215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HYPERLINK("http://141.218.60.56/~jnz1568/getInfo.php?workbook=11_02.xlsx&amp;sheet=U0&amp;row=306&amp;col=6&amp;number=3.2&amp;sourceID=14","3.2")</f>
        <v>3.2</v>
      </c>
      <c r="G306" s="4" t="str">
        <f>HYPERLINK("http://141.218.60.56/~jnz1568/getInfo.php?workbook=11_02.xlsx&amp;sheet=U0&amp;row=306&amp;col=7&amp;number=0.00215&amp;sourceID=14","0.00215")</f>
        <v>0.00215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HYPERLINK("http://141.218.60.56/~jnz1568/getInfo.php?workbook=11_02.xlsx&amp;sheet=U0&amp;row=307&amp;col=6&amp;number=3.3&amp;sourceID=14","3.3")</f>
        <v>3.3</v>
      </c>
      <c r="G307" s="4" t="str">
        <f>HYPERLINK("http://141.218.60.56/~jnz1568/getInfo.php?workbook=11_02.xlsx&amp;sheet=U0&amp;row=307&amp;col=7&amp;number=0.00215&amp;sourceID=14","0.00215")</f>
        <v>0.00215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HYPERLINK("http://141.218.60.56/~jnz1568/getInfo.php?workbook=11_02.xlsx&amp;sheet=U0&amp;row=308&amp;col=6&amp;number=3.4&amp;sourceID=14","3.4")</f>
        <v>3.4</v>
      </c>
      <c r="G308" s="4" t="str">
        <f>HYPERLINK("http://141.218.60.56/~jnz1568/getInfo.php?workbook=11_02.xlsx&amp;sheet=U0&amp;row=308&amp;col=7&amp;number=0.00215&amp;sourceID=14","0.00215")</f>
        <v>0.00215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HYPERLINK("http://141.218.60.56/~jnz1568/getInfo.php?workbook=11_02.xlsx&amp;sheet=U0&amp;row=309&amp;col=6&amp;number=3.5&amp;sourceID=14","3.5")</f>
        <v>3.5</v>
      </c>
      <c r="G309" s="4" t="str">
        <f>HYPERLINK("http://141.218.60.56/~jnz1568/getInfo.php?workbook=11_02.xlsx&amp;sheet=U0&amp;row=309&amp;col=7&amp;number=0.00215&amp;sourceID=14","0.00215")</f>
        <v>0.00215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HYPERLINK("http://141.218.60.56/~jnz1568/getInfo.php?workbook=11_02.xlsx&amp;sheet=U0&amp;row=310&amp;col=6&amp;number=3.6&amp;sourceID=14","3.6")</f>
        <v>3.6</v>
      </c>
      <c r="G310" s="4" t="str">
        <f>HYPERLINK("http://141.218.60.56/~jnz1568/getInfo.php?workbook=11_02.xlsx&amp;sheet=U0&amp;row=310&amp;col=7&amp;number=0.00215&amp;sourceID=14","0.00215")</f>
        <v>0.00215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HYPERLINK("http://141.218.60.56/~jnz1568/getInfo.php?workbook=11_02.xlsx&amp;sheet=U0&amp;row=311&amp;col=6&amp;number=3.7&amp;sourceID=14","3.7")</f>
        <v>3.7</v>
      </c>
      <c r="G311" s="4" t="str">
        <f>HYPERLINK("http://141.218.60.56/~jnz1568/getInfo.php?workbook=11_02.xlsx&amp;sheet=U0&amp;row=311&amp;col=7&amp;number=0.00215&amp;sourceID=14","0.00215")</f>
        <v>0.00215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HYPERLINK("http://141.218.60.56/~jnz1568/getInfo.php?workbook=11_02.xlsx&amp;sheet=U0&amp;row=312&amp;col=6&amp;number=3.8&amp;sourceID=14","3.8")</f>
        <v>3.8</v>
      </c>
      <c r="G312" s="4" t="str">
        <f>HYPERLINK("http://141.218.60.56/~jnz1568/getInfo.php?workbook=11_02.xlsx&amp;sheet=U0&amp;row=312&amp;col=7&amp;number=0.00215&amp;sourceID=14","0.00215")</f>
        <v>0.00215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HYPERLINK("http://141.218.60.56/~jnz1568/getInfo.php?workbook=11_02.xlsx&amp;sheet=U0&amp;row=313&amp;col=6&amp;number=3.9&amp;sourceID=14","3.9")</f>
        <v>3.9</v>
      </c>
      <c r="G313" s="4" t="str">
        <f>HYPERLINK("http://141.218.60.56/~jnz1568/getInfo.php?workbook=11_02.xlsx&amp;sheet=U0&amp;row=313&amp;col=7&amp;number=0.00215&amp;sourceID=14","0.00215")</f>
        <v>0.00215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HYPERLINK("http://141.218.60.56/~jnz1568/getInfo.php?workbook=11_02.xlsx&amp;sheet=U0&amp;row=314&amp;col=6&amp;number=4&amp;sourceID=14","4")</f>
        <v>4</v>
      </c>
      <c r="G314" s="4" t="str">
        <f>HYPERLINK("http://141.218.60.56/~jnz1568/getInfo.php?workbook=11_02.xlsx&amp;sheet=U0&amp;row=314&amp;col=7&amp;number=0.00215&amp;sourceID=14","0.00215")</f>
        <v>0.00215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HYPERLINK("http://141.218.60.56/~jnz1568/getInfo.php?workbook=11_02.xlsx&amp;sheet=U0&amp;row=315&amp;col=6&amp;number=4.1&amp;sourceID=14","4.1")</f>
        <v>4.1</v>
      </c>
      <c r="G315" s="4" t="str">
        <f>HYPERLINK("http://141.218.60.56/~jnz1568/getInfo.php?workbook=11_02.xlsx&amp;sheet=U0&amp;row=315&amp;col=7&amp;number=0.00215&amp;sourceID=14","0.00215")</f>
        <v>0.00215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HYPERLINK("http://141.218.60.56/~jnz1568/getInfo.php?workbook=11_02.xlsx&amp;sheet=U0&amp;row=316&amp;col=6&amp;number=4.2&amp;sourceID=14","4.2")</f>
        <v>4.2</v>
      </c>
      <c r="G316" s="4" t="str">
        <f>HYPERLINK("http://141.218.60.56/~jnz1568/getInfo.php?workbook=11_02.xlsx&amp;sheet=U0&amp;row=316&amp;col=7&amp;number=0.00215&amp;sourceID=14","0.00215")</f>
        <v>0.00215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HYPERLINK("http://141.218.60.56/~jnz1568/getInfo.php?workbook=11_02.xlsx&amp;sheet=U0&amp;row=317&amp;col=6&amp;number=4.3&amp;sourceID=14","4.3")</f>
        <v>4.3</v>
      </c>
      <c r="G317" s="4" t="str">
        <f>HYPERLINK("http://141.218.60.56/~jnz1568/getInfo.php?workbook=11_02.xlsx&amp;sheet=U0&amp;row=317&amp;col=7&amp;number=0.00216&amp;sourceID=14","0.00216")</f>
        <v>0.00216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HYPERLINK("http://141.218.60.56/~jnz1568/getInfo.php?workbook=11_02.xlsx&amp;sheet=U0&amp;row=318&amp;col=6&amp;number=4.4&amp;sourceID=14","4.4")</f>
        <v>4.4</v>
      </c>
      <c r="G318" s="4" t="str">
        <f>HYPERLINK("http://141.218.60.56/~jnz1568/getInfo.php?workbook=11_02.xlsx&amp;sheet=U0&amp;row=318&amp;col=7&amp;number=0.00216&amp;sourceID=14","0.00216")</f>
        <v>0.00216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HYPERLINK("http://141.218.60.56/~jnz1568/getInfo.php?workbook=11_02.xlsx&amp;sheet=U0&amp;row=319&amp;col=6&amp;number=4.5&amp;sourceID=14","4.5")</f>
        <v>4.5</v>
      </c>
      <c r="G319" s="4" t="str">
        <f>HYPERLINK("http://141.218.60.56/~jnz1568/getInfo.php?workbook=11_02.xlsx&amp;sheet=U0&amp;row=319&amp;col=7&amp;number=0.00216&amp;sourceID=14","0.00216")</f>
        <v>0.00216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HYPERLINK("http://141.218.60.56/~jnz1568/getInfo.php?workbook=11_02.xlsx&amp;sheet=U0&amp;row=320&amp;col=6&amp;number=4.6&amp;sourceID=14","4.6")</f>
        <v>4.6</v>
      </c>
      <c r="G320" s="4" t="str">
        <f>HYPERLINK("http://141.218.60.56/~jnz1568/getInfo.php?workbook=11_02.xlsx&amp;sheet=U0&amp;row=320&amp;col=7&amp;number=0.00217&amp;sourceID=14","0.00217")</f>
        <v>0.00217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HYPERLINK("http://141.218.60.56/~jnz1568/getInfo.php?workbook=11_02.xlsx&amp;sheet=U0&amp;row=321&amp;col=6&amp;number=4.7&amp;sourceID=14","4.7")</f>
        <v>4.7</v>
      </c>
      <c r="G321" s="4" t="str">
        <f>HYPERLINK("http://141.218.60.56/~jnz1568/getInfo.php?workbook=11_02.xlsx&amp;sheet=U0&amp;row=321&amp;col=7&amp;number=0.00217&amp;sourceID=14","0.00217")</f>
        <v>0.00217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HYPERLINK("http://141.218.60.56/~jnz1568/getInfo.php?workbook=11_02.xlsx&amp;sheet=U0&amp;row=322&amp;col=6&amp;number=4.8&amp;sourceID=14","4.8")</f>
        <v>4.8</v>
      </c>
      <c r="G322" s="4" t="str">
        <f>HYPERLINK("http://141.218.60.56/~jnz1568/getInfo.php?workbook=11_02.xlsx&amp;sheet=U0&amp;row=322&amp;col=7&amp;number=0.00218&amp;sourceID=14","0.00218")</f>
        <v>0.00218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HYPERLINK("http://141.218.60.56/~jnz1568/getInfo.php?workbook=11_02.xlsx&amp;sheet=U0&amp;row=323&amp;col=6&amp;number=4.9&amp;sourceID=14","4.9")</f>
        <v>4.9</v>
      </c>
      <c r="G323" s="4" t="str">
        <f>HYPERLINK("http://141.218.60.56/~jnz1568/getInfo.php?workbook=11_02.xlsx&amp;sheet=U0&amp;row=323&amp;col=7&amp;number=0.00218&amp;sourceID=14","0.00218")</f>
        <v>0.00218</v>
      </c>
    </row>
    <row r="324" spans="1:7">
      <c r="A324" s="3">
        <v>11</v>
      </c>
      <c r="B324" s="3">
        <v>2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HYPERLINK("http://141.218.60.56/~jnz1568/getInfo.php?workbook=11_02.xlsx&amp;sheet=U0&amp;row=324&amp;col=6&amp;number=3&amp;sourceID=14","3")</f>
        <v>3</v>
      </c>
      <c r="G324" s="4" t="str">
        <f>HYPERLINK("http://141.218.60.56/~jnz1568/getInfo.php?workbook=11_02.xlsx&amp;sheet=U0&amp;row=324&amp;col=7&amp;number=0.000729&amp;sourceID=14","0.000729")</f>
        <v>0.000729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HYPERLINK("http://141.218.60.56/~jnz1568/getInfo.php?workbook=11_02.xlsx&amp;sheet=U0&amp;row=325&amp;col=6&amp;number=3.1&amp;sourceID=14","3.1")</f>
        <v>3.1</v>
      </c>
      <c r="G325" s="4" t="str">
        <f>HYPERLINK("http://141.218.60.56/~jnz1568/getInfo.php?workbook=11_02.xlsx&amp;sheet=U0&amp;row=325&amp;col=7&amp;number=0.000729&amp;sourceID=14","0.000729")</f>
        <v>0.000729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HYPERLINK("http://141.218.60.56/~jnz1568/getInfo.php?workbook=11_02.xlsx&amp;sheet=U0&amp;row=326&amp;col=6&amp;number=3.2&amp;sourceID=14","3.2")</f>
        <v>3.2</v>
      </c>
      <c r="G326" s="4" t="str">
        <f>HYPERLINK("http://141.218.60.56/~jnz1568/getInfo.php?workbook=11_02.xlsx&amp;sheet=U0&amp;row=326&amp;col=7&amp;number=0.000728&amp;sourceID=14","0.000728")</f>
        <v>0.000728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HYPERLINK("http://141.218.60.56/~jnz1568/getInfo.php?workbook=11_02.xlsx&amp;sheet=U0&amp;row=327&amp;col=6&amp;number=3.3&amp;sourceID=14","3.3")</f>
        <v>3.3</v>
      </c>
      <c r="G327" s="4" t="str">
        <f>HYPERLINK("http://141.218.60.56/~jnz1568/getInfo.php?workbook=11_02.xlsx&amp;sheet=U0&amp;row=327&amp;col=7&amp;number=0.000728&amp;sourceID=14","0.000728")</f>
        <v>0.000728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HYPERLINK("http://141.218.60.56/~jnz1568/getInfo.php?workbook=11_02.xlsx&amp;sheet=U0&amp;row=328&amp;col=6&amp;number=3.4&amp;sourceID=14","3.4")</f>
        <v>3.4</v>
      </c>
      <c r="G328" s="4" t="str">
        <f>HYPERLINK("http://141.218.60.56/~jnz1568/getInfo.php?workbook=11_02.xlsx&amp;sheet=U0&amp;row=328&amp;col=7&amp;number=0.000727&amp;sourceID=14","0.000727")</f>
        <v>0.000727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HYPERLINK("http://141.218.60.56/~jnz1568/getInfo.php?workbook=11_02.xlsx&amp;sheet=U0&amp;row=329&amp;col=6&amp;number=3.5&amp;sourceID=14","3.5")</f>
        <v>3.5</v>
      </c>
      <c r="G329" s="4" t="str">
        <f>HYPERLINK("http://141.218.60.56/~jnz1568/getInfo.php?workbook=11_02.xlsx&amp;sheet=U0&amp;row=329&amp;col=7&amp;number=0.000726&amp;sourceID=14","0.000726")</f>
        <v>0.000726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HYPERLINK("http://141.218.60.56/~jnz1568/getInfo.php?workbook=11_02.xlsx&amp;sheet=U0&amp;row=330&amp;col=6&amp;number=3.6&amp;sourceID=14","3.6")</f>
        <v>3.6</v>
      </c>
      <c r="G330" s="4" t="str">
        <f>HYPERLINK("http://141.218.60.56/~jnz1568/getInfo.php?workbook=11_02.xlsx&amp;sheet=U0&amp;row=330&amp;col=7&amp;number=0.000725&amp;sourceID=14","0.000725")</f>
        <v>0.000725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HYPERLINK("http://141.218.60.56/~jnz1568/getInfo.php?workbook=11_02.xlsx&amp;sheet=U0&amp;row=331&amp;col=6&amp;number=3.7&amp;sourceID=14","3.7")</f>
        <v>3.7</v>
      </c>
      <c r="G331" s="4" t="str">
        <f>HYPERLINK("http://141.218.60.56/~jnz1568/getInfo.php?workbook=11_02.xlsx&amp;sheet=U0&amp;row=331&amp;col=7&amp;number=0.000724&amp;sourceID=14","0.000724")</f>
        <v>0.000724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HYPERLINK("http://141.218.60.56/~jnz1568/getInfo.php?workbook=11_02.xlsx&amp;sheet=U0&amp;row=332&amp;col=6&amp;number=3.8&amp;sourceID=14","3.8")</f>
        <v>3.8</v>
      </c>
      <c r="G332" s="4" t="str">
        <f>HYPERLINK("http://141.218.60.56/~jnz1568/getInfo.php?workbook=11_02.xlsx&amp;sheet=U0&amp;row=332&amp;col=7&amp;number=0.000722&amp;sourceID=14","0.000722")</f>
        <v>0.000722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HYPERLINK("http://141.218.60.56/~jnz1568/getInfo.php?workbook=11_02.xlsx&amp;sheet=U0&amp;row=333&amp;col=6&amp;number=3.9&amp;sourceID=14","3.9")</f>
        <v>3.9</v>
      </c>
      <c r="G333" s="4" t="str">
        <f>HYPERLINK("http://141.218.60.56/~jnz1568/getInfo.php?workbook=11_02.xlsx&amp;sheet=U0&amp;row=333&amp;col=7&amp;number=0.00072&amp;sourceID=14","0.00072")</f>
        <v>0.00072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HYPERLINK("http://141.218.60.56/~jnz1568/getInfo.php?workbook=11_02.xlsx&amp;sheet=U0&amp;row=334&amp;col=6&amp;number=4&amp;sourceID=14","4")</f>
        <v>4</v>
      </c>
      <c r="G334" s="4" t="str">
        <f>HYPERLINK("http://141.218.60.56/~jnz1568/getInfo.php?workbook=11_02.xlsx&amp;sheet=U0&amp;row=334&amp;col=7&amp;number=0.000717&amp;sourceID=14","0.000717")</f>
        <v>0.000717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HYPERLINK("http://141.218.60.56/~jnz1568/getInfo.php?workbook=11_02.xlsx&amp;sheet=U0&amp;row=335&amp;col=6&amp;number=4.1&amp;sourceID=14","4.1")</f>
        <v>4.1</v>
      </c>
      <c r="G335" s="4" t="str">
        <f>HYPERLINK("http://141.218.60.56/~jnz1568/getInfo.php?workbook=11_02.xlsx&amp;sheet=U0&amp;row=335&amp;col=7&amp;number=0.000714&amp;sourceID=14","0.000714")</f>
        <v>0.000714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HYPERLINK("http://141.218.60.56/~jnz1568/getInfo.php?workbook=11_02.xlsx&amp;sheet=U0&amp;row=336&amp;col=6&amp;number=4.2&amp;sourceID=14","4.2")</f>
        <v>4.2</v>
      </c>
      <c r="G336" s="4" t="str">
        <f>HYPERLINK("http://141.218.60.56/~jnz1568/getInfo.php?workbook=11_02.xlsx&amp;sheet=U0&amp;row=336&amp;col=7&amp;number=0.000709&amp;sourceID=14","0.000709")</f>
        <v>0.000709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HYPERLINK("http://141.218.60.56/~jnz1568/getInfo.php?workbook=11_02.xlsx&amp;sheet=U0&amp;row=337&amp;col=6&amp;number=4.3&amp;sourceID=14","4.3")</f>
        <v>4.3</v>
      </c>
      <c r="G337" s="4" t="str">
        <f>HYPERLINK("http://141.218.60.56/~jnz1568/getInfo.php?workbook=11_02.xlsx&amp;sheet=U0&amp;row=337&amp;col=7&amp;number=0.000704&amp;sourceID=14","0.000704")</f>
        <v>0.000704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HYPERLINK("http://141.218.60.56/~jnz1568/getInfo.php?workbook=11_02.xlsx&amp;sheet=U0&amp;row=338&amp;col=6&amp;number=4.4&amp;sourceID=14","4.4")</f>
        <v>4.4</v>
      </c>
      <c r="G338" s="4" t="str">
        <f>HYPERLINK("http://141.218.60.56/~jnz1568/getInfo.php?workbook=11_02.xlsx&amp;sheet=U0&amp;row=338&amp;col=7&amp;number=0.000697&amp;sourceID=14","0.000697")</f>
        <v>0.000697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HYPERLINK("http://141.218.60.56/~jnz1568/getInfo.php?workbook=11_02.xlsx&amp;sheet=U0&amp;row=339&amp;col=6&amp;number=4.5&amp;sourceID=14","4.5")</f>
        <v>4.5</v>
      </c>
      <c r="G339" s="4" t="str">
        <f>HYPERLINK("http://141.218.60.56/~jnz1568/getInfo.php?workbook=11_02.xlsx&amp;sheet=U0&amp;row=339&amp;col=7&amp;number=0.000689&amp;sourceID=14","0.000689")</f>
        <v>0.000689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HYPERLINK("http://141.218.60.56/~jnz1568/getInfo.php?workbook=11_02.xlsx&amp;sheet=U0&amp;row=340&amp;col=6&amp;number=4.6&amp;sourceID=14","4.6")</f>
        <v>4.6</v>
      </c>
      <c r="G340" s="4" t="str">
        <f>HYPERLINK("http://141.218.60.56/~jnz1568/getInfo.php?workbook=11_02.xlsx&amp;sheet=U0&amp;row=340&amp;col=7&amp;number=0.000679&amp;sourceID=14","0.000679")</f>
        <v>0.000679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HYPERLINK("http://141.218.60.56/~jnz1568/getInfo.php?workbook=11_02.xlsx&amp;sheet=U0&amp;row=341&amp;col=6&amp;number=4.7&amp;sourceID=14","4.7")</f>
        <v>4.7</v>
      </c>
      <c r="G341" s="4" t="str">
        <f>HYPERLINK("http://141.218.60.56/~jnz1568/getInfo.php?workbook=11_02.xlsx&amp;sheet=U0&amp;row=341&amp;col=7&amp;number=0.000667&amp;sourceID=14","0.000667")</f>
        <v>0.000667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HYPERLINK("http://141.218.60.56/~jnz1568/getInfo.php?workbook=11_02.xlsx&amp;sheet=U0&amp;row=342&amp;col=6&amp;number=4.8&amp;sourceID=14","4.8")</f>
        <v>4.8</v>
      </c>
      <c r="G342" s="4" t="str">
        <f>HYPERLINK("http://141.218.60.56/~jnz1568/getInfo.php?workbook=11_02.xlsx&amp;sheet=U0&amp;row=342&amp;col=7&amp;number=0.000652&amp;sourceID=14","0.000652")</f>
        <v>0.000652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HYPERLINK("http://141.218.60.56/~jnz1568/getInfo.php?workbook=11_02.xlsx&amp;sheet=U0&amp;row=343&amp;col=6&amp;number=4.9&amp;sourceID=14","4.9")</f>
        <v>4.9</v>
      </c>
      <c r="G343" s="4" t="str">
        <f>HYPERLINK("http://141.218.60.56/~jnz1568/getInfo.php?workbook=11_02.xlsx&amp;sheet=U0&amp;row=343&amp;col=7&amp;number=0.000633&amp;sourceID=14","0.000633")</f>
        <v>0.000633</v>
      </c>
    </row>
    <row r="344" spans="1:7">
      <c r="A344" s="3">
        <v>11</v>
      </c>
      <c r="B344" s="3">
        <v>2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HYPERLINK("http://141.218.60.56/~jnz1568/getInfo.php?workbook=11_02.xlsx&amp;sheet=U0&amp;row=344&amp;col=6&amp;number=3&amp;sourceID=14","3")</f>
        <v>3</v>
      </c>
      <c r="G344" s="4" t="str">
        <f>HYPERLINK("http://141.218.60.56/~jnz1568/getInfo.php?workbook=11_02.xlsx&amp;sheet=U0&amp;row=344&amp;col=7&amp;number=0.000161&amp;sourceID=14","0.000161")</f>
        <v>0.000161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HYPERLINK("http://141.218.60.56/~jnz1568/getInfo.php?workbook=11_02.xlsx&amp;sheet=U0&amp;row=345&amp;col=6&amp;number=3.1&amp;sourceID=14","3.1")</f>
        <v>3.1</v>
      </c>
      <c r="G345" s="4" t="str">
        <f>HYPERLINK("http://141.218.60.56/~jnz1568/getInfo.php?workbook=11_02.xlsx&amp;sheet=U0&amp;row=345&amp;col=7&amp;number=0.000161&amp;sourceID=14","0.000161")</f>
        <v>0.000161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HYPERLINK("http://141.218.60.56/~jnz1568/getInfo.php?workbook=11_02.xlsx&amp;sheet=U0&amp;row=346&amp;col=6&amp;number=3.2&amp;sourceID=14","3.2")</f>
        <v>3.2</v>
      </c>
      <c r="G346" s="4" t="str">
        <f>HYPERLINK("http://141.218.60.56/~jnz1568/getInfo.php?workbook=11_02.xlsx&amp;sheet=U0&amp;row=346&amp;col=7&amp;number=0.000161&amp;sourceID=14","0.000161")</f>
        <v>0.000161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HYPERLINK("http://141.218.60.56/~jnz1568/getInfo.php?workbook=11_02.xlsx&amp;sheet=U0&amp;row=347&amp;col=6&amp;number=3.3&amp;sourceID=14","3.3")</f>
        <v>3.3</v>
      </c>
      <c r="G347" s="4" t="str">
        <f>HYPERLINK("http://141.218.60.56/~jnz1568/getInfo.php?workbook=11_02.xlsx&amp;sheet=U0&amp;row=347&amp;col=7&amp;number=0.000161&amp;sourceID=14","0.000161")</f>
        <v>0.000161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HYPERLINK("http://141.218.60.56/~jnz1568/getInfo.php?workbook=11_02.xlsx&amp;sheet=U0&amp;row=348&amp;col=6&amp;number=3.4&amp;sourceID=14","3.4")</f>
        <v>3.4</v>
      </c>
      <c r="G348" s="4" t="str">
        <f>HYPERLINK("http://141.218.60.56/~jnz1568/getInfo.php?workbook=11_02.xlsx&amp;sheet=U0&amp;row=348&amp;col=7&amp;number=0.000161&amp;sourceID=14","0.000161")</f>
        <v>0.000161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HYPERLINK("http://141.218.60.56/~jnz1568/getInfo.php?workbook=11_02.xlsx&amp;sheet=U0&amp;row=349&amp;col=6&amp;number=3.5&amp;sourceID=14","3.5")</f>
        <v>3.5</v>
      </c>
      <c r="G349" s="4" t="str">
        <f>HYPERLINK("http://141.218.60.56/~jnz1568/getInfo.php?workbook=11_02.xlsx&amp;sheet=U0&amp;row=349&amp;col=7&amp;number=0.000161&amp;sourceID=14","0.000161")</f>
        <v>0.000161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HYPERLINK("http://141.218.60.56/~jnz1568/getInfo.php?workbook=11_02.xlsx&amp;sheet=U0&amp;row=350&amp;col=6&amp;number=3.6&amp;sourceID=14","3.6")</f>
        <v>3.6</v>
      </c>
      <c r="G350" s="4" t="str">
        <f>HYPERLINK("http://141.218.60.56/~jnz1568/getInfo.php?workbook=11_02.xlsx&amp;sheet=U0&amp;row=350&amp;col=7&amp;number=0.000161&amp;sourceID=14","0.000161")</f>
        <v>0.000161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HYPERLINK("http://141.218.60.56/~jnz1568/getInfo.php?workbook=11_02.xlsx&amp;sheet=U0&amp;row=351&amp;col=6&amp;number=3.7&amp;sourceID=14","3.7")</f>
        <v>3.7</v>
      </c>
      <c r="G351" s="4" t="str">
        <f>HYPERLINK("http://141.218.60.56/~jnz1568/getInfo.php?workbook=11_02.xlsx&amp;sheet=U0&amp;row=351&amp;col=7&amp;number=0.000161&amp;sourceID=14","0.000161")</f>
        <v>0.000161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HYPERLINK("http://141.218.60.56/~jnz1568/getInfo.php?workbook=11_02.xlsx&amp;sheet=U0&amp;row=352&amp;col=6&amp;number=3.8&amp;sourceID=14","3.8")</f>
        <v>3.8</v>
      </c>
      <c r="G352" s="4" t="str">
        <f>HYPERLINK("http://141.218.60.56/~jnz1568/getInfo.php?workbook=11_02.xlsx&amp;sheet=U0&amp;row=352&amp;col=7&amp;number=0.00016&amp;sourceID=14","0.00016")</f>
        <v>0.00016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HYPERLINK("http://141.218.60.56/~jnz1568/getInfo.php?workbook=11_02.xlsx&amp;sheet=U0&amp;row=353&amp;col=6&amp;number=3.9&amp;sourceID=14","3.9")</f>
        <v>3.9</v>
      </c>
      <c r="G353" s="4" t="str">
        <f>HYPERLINK("http://141.218.60.56/~jnz1568/getInfo.php?workbook=11_02.xlsx&amp;sheet=U0&amp;row=353&amp;col=7&amp;number=0.00016&amp;sourceID=14","0.00016")</f>
        <v>0.00016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HYPERLINK("http://141.218.60.56/~jnz1568/getInfo.php?workbook=11_02.xlsx&amp;sheet=U0&amp;row=354&amp;col=6&amp;number=4&amp;sourceID=14","4")</f>
        <v>4</v>
      </c>
      <c r="G354" s="4" t="str">
        <f>HYPERLINK("http://141.218.60.56/~jnz1568/getInfo.php?workbook=11_02.xlsx&amp;sheet=U0&amp;row=354&amp;col=7&amp;number=0.00016&amp;sourceID=14","0.00016")</f>
        <v>0.00016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HYPERLINK("http://141.218.60.56/~jnz1568/getInfo.php?workbook=11_02.xlsx&amp;sheet=U0&amp;row=355&amp;col=6&amp;number=4.1&amp;sourceID=14","4.1")</f>
        <v>4.1</v>
      </c>
      <c r="G355" s="4" t="str">
        <f>HYPERLINK("http://141.218.60.56/~jnz1568/getInfo.php?workbook=11_02.xlsx&amp;sheet=U0&amp;row=355&amp;col=7&amp;number=0.00016&amp;sourceID=14","0.00016")</f>
        <v>0.00016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HYPERLINK("http://141.218.60.56/~jnz1568/getInfo.php?workbook=11_02.xlsx&amp;sheet=U0&amp;row=356&amp;col=6&amp;number=4.2&amp;sourceID=14","4.2")</f>
        <v>4.2</v>
      </c>
      <c r="G356" s="4" t="str">
        <f>HYPERLINK("http://141.218.60.56/~jnz1568/getInfo.php?workbook=11_02.xlsx&amp;sheet=U0&amp;row=356&amp;col=7&amp;number=0.00016&amp;sourceID=14","0.00016")</f>
        <v>0.00016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HYPERLINK("http://141.218.60.56/~jnz1568/getInfo.php?workbook=11_02.xlsx&amp;sheet=U0&amp;row=357&amp;col=6&amp;number=4.3&amp;sourceID=14","4.3")</f>
        <v>4.3</v>
      </c>
      <c r="G357" s="4" t="str">
        <f>HYPERLINK("http://141.218.60.56/~jnz1568/getInfo.php?workbook=11_02.xlsx&amp;sheet=U0&amp;row=357&amp;col=7&amp;number=0.00016&amp;sourceID=14","0.00016")</f>
        <v>0.00016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HYPERLINK("http://141.218.60.56/~jnz1568/getInfo.php?workbook=11_02.xlsx&amp;sheet=U0&amp;row=358&amp;col=6&amp;number=4.4&amp;sourceID=14","4.4")</f>
        <v>4.4</v>
      </c>
      <c r="G358" s="4" t="str">
        <f>HYPERLINK("http://141.218.60.56/~jnz1568/getInfo.php?workbook=11_02.xlsx&amp;sheet=U0&amp;row=358&amp;col=7&amp;number=0.00016&amp;sourceID=14","0.00016")</f>
        <v>0.00016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HYPERLINK("http://141.218.60.56/~jnz1568/getInfo.php?workbook=11_02.xlsx&amp;sheet=U0&amp;row=359&amp;col=6&amp;number=4.5&amp;sourceID=14","4.5")</f>
        <v>4.5</v>
      </c>
      <c r="G359" s="4" t="str">
        <f>HYPERLINK("http://141.218.60.56/~jnz1568/getInfo.php?workbook=11_02.xlsx&amp;sheet=U0&amp;row=359&amp;col=7&amp;number=0.000159&amp;sourceID=14","0.000159")</f>
        <v>0.000159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HYPERLINK("http://141.218.60.56/~jnz1568/getInfo.php?workbook=11_02.xlsx&amp;sheet=U0&amp;row=360&amp;col=6&amp;number=4.6&amp;sourceID=14","4.6")</f>
        <v>4.6</v>
      </c>
      <c r="G360" s="4" t="str">
        <f>HYPERLINK("http://141.218.60.56/~jnz1568/getInfo.php?workbook=11_02.xlsx&amp;sheet=U0&amp;row=360&amp;col=7&amp;number=0.000159&amp;sourceID=14","0.000159")</f>
        <v>0.000159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HYPERLINK("http://141.218.60.56/~jnz1568/getInfo.php?workbook=11_02.xlsx&amp;sheet=U0&amp;row=361&amp;col=6&amp;number=4.7&amp;sourceID=14","4.7")</f>
        <v>4.7</v>
      </c>
      <c r="G361" s="4" t="str">
        <f>HYPERLINK("http://141.218.60.56/~jnz1568/getInfo.php?workbook=11_02.xlsx&amp;sheet=U0&amp;row=361&amp;col=7&amp;number=0.000158&amp;sourceID=14","0.000158")</f>
        <v>0.000158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HYPERLINK("http://141.218.60.56/~jnz1568/getInfo.php?workbook=11_02.xlsx&amp;sheet=U0&amp;row=362&amp;col=6&amp;number=4.8&amp;sourceID=14","4.8")</f>
        <v>4.8</v>
      </c>
      <c r="G362" s="4" t="str">
        <f>HYPERLINK("http://141.218.60.56/~jnz1568/getInfo.php?workbook=11_02.xlsx&amp;sheet=U0&amp;row=362&amp;col=7&amp;number=0.000158&amp;sourceID=14","0.000158")</f>
        <v>0.000158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HYPERLINK("http://141.218.60.56/~jnz1568/getInfo.php?workbook=11_02.xlsx&amp;sheet=U0&amp;row=363&amp;col=6&amp;number=4.9&amp;sourceID=14","4.9")</f>
        <v>4.9</v>
      </c>
      <c r="G363" s="4" t="str">
        <f>HYPERLINK("http://141.218.60.56/~jnz1568/getInfo.php?workbook=11_02.xlsx&amp;sheet=U0&amp;row=363&amp;col=7&amp;number=0.000157&amp;sourceID=14","0.000157")</f>
        <v>0.000157</v>
      </c>
    </row>
    <row r="364" spans="1:7">
      <c r="A364" s="3">
        <v>11</v>
      </c>
      <c r="B364" s="3">
        <v>2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HYPERLINK("http://141.218.60.56/~jnz1568/getInfo.php?workbook=11_02.xlsx&amp;sheet=U0&amp;row=364&amp;col=6&amp;number=3&amp;sourceID=14","3")</f>
        <v>3</v>
      </c>
      <c r="G364" s="4" t="str">
        <f>HYPERLINK("http://141.218.60.56/~jnz1568/getInfo.php?workbook=11_02.xlsx&amp;sheet=U0&amp;row=364&amp;col=7&amp;number=0.000474&amp;sourceID=14","0.000474")</f>
        <v>0.000474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HYPERLINK("http://141.218.60.56/~jnz1568/getInfo.php?workbook=11_02.xlsx&amp;sheet=U0&amp;row=365&amp;col=6&amp;number=3.1&amp;sourceID=14","3.1")</f>
        <v>3.1</v>
      </c>
      <c r="G365" s="4" t="str">
        <f>HYPERLINK("http://141.218.60.56/~jnz1568/getInfo.php?workbook=11_02.xlsx&amp;sheet=U0&amp;row=365&amp;col=7&amp;number=0.000474&amp;sourceID=14","0.000474")</f>
        <v>0.000474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HYPERLINK("http://141.218.60.56/~jnz1568/getInfo.php?workbook=11_02.xlsx&amp;sheet=U0&amp;row=366&amp;col=6&amp;number=3.2&amp;sourceID=14","3.2")</f>
        <v>3.2</v>
      </c>
      <c r="G366" s="4" t="str">
        <f>HYPERLINK("http://141.218.60.56/~jnz1568/getInfo.php?workbook=11_02.xlsx&amp;sheet=U0&amp;row=366&amp;col=7&amp;number=0.000474&amp;sourceID=14","0.000474")</f>
        <v>0.000474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HYPERLINK("http://141.218.60.56/~jnz1568/getInfo.php?workbook=11_02.xlsx&amp;sheet=U0&amp;row=367&amp;col=6&amp;number=3.3&amp;sourceID=14","3.3")</f>
        <v>3.3</v>
      </c>
      <c r="G367" s="4" t="str">
        <f>HYPERLINK("http://141.218.60.56/~jnz1568/getInfo.php?workbook=11_02.xlsx&amp;sheet=U0&amp;row=367&amp;col=7&amp;number=0.000474&amp;sourceID=14","0.000474")</f>
        <v>0.000474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HYPERLINK("http://141.218.60.56/~jnz1568/getInfo.php?workbook=11_02.xlsx&amp;sheet=U0&amp;row=368&amp;col=6&amp;number=3.4&amp;sourceID=14","3.4")</f>
        <v>3.4</v>
      </c>
      <c r="G368" s="4" t="str">
        <f>HYPERLINK("http://141.218.60.56/~jnz1568/getInfo.php?workbook=11_02.xlsx&amp;sheet=U0&amp;row=368&amp;col=7&amp;number=0.000474&amp;sourceID=14","0.000474")</f>
        <v>0.000474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HYPERLINK("http://141.218.60.56/~jnz1568/getInfo.php?workbook=11_02.xlsx&amp;sheet=U0&amp;row=369&amp;col=6&amp;number=3.5&amp;sourceID=14","3.5")</f>
        <v>3.5</v>
      </c>
      <c r="G369" s="4" t="str">
        <f>HYPERLINK("http://141.218.60.56/~jnz1568/getInfo.php?workbook=11_02.xlsx&amp;sheet=U0&amp;row=369&amp;col=7&amp;number=0.000474&amp;sourceID=14","0.000474")</f>
        <v>0.000474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HYPERLINK("http://141.218.60.56/~jnz1568/getInfo.php?workbook=11_02.xlsx&amp;sheet=U0&amp;row=370&amp;col=6&amp;number=3.6&amp;sourceID=14","3.6")</f>
        <v>3.6</v>
      </c>
      <c r="G370" s="4" t="str">
        <f>HYPERLINK("http://141.218.60.56/~jnz1568/getInfo.php?workbook=11_02.xlsx&amp;sheet=U0&amp;row=370&amp;col=7&amp;number=0.000474&amp;sourceID=14","0.000474")</f>
        <v>0.000474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HYPERLINK("http://141.218.60.56/~jnz1568/getInfo.php?workbook=11_02.xlsx&amp;sheet=U0&amp;row=371&amp;col=6&amp;number=3.7&amp;sourceID=14","3.7")</f>
        <v>3.7</v>
      </c>
      <c r="G371" s="4" t="str">
        <f>HYPERLINK("http://141.218.60.56/~jnz1568/getInfo.php?workbook=11_02.xlsx&amp;sheet=U0&amp;row=371&amp;col=7&amp;number=0.000474&amp;sourceID=14","0.000474")</f>
        <v>0.000474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HYPERLINK("http://141.218.60.56/~jnz1568/getInfo.php?workbook=11_02.xlsx&amp;sheet=U0&amp;row=372&amp;col=6&amp;number=3.8&amp;sourceID=14","3.8")</f>
        <v>3.8</v>
      </c>
      <c r="G372" s="4" t="str">
        <f>HYPERLINK("http://141.218.60.56/~jnz1568/getInfo.php?workbook=11_02.xlsx&amp;sheet=U0&amp;row=372&amp;col=7&amp;number=0.000474&amp;sourceID=14","0.000474")</f>
        <v>0.000474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HYPERLINK("http://141.218.60.56/~jnz1568/getInfo.php?workbook=11_02.xlsx&amp;sheet=U0&amp;row=373&amp;col=6&amp;number=3.9&amp;sourceID=14","3.9")</f>
        <v>3.9</v>
      </c>
      <c r="G373" s="4" t="str">
        <f>HYPERLINK("http://141.218.60.56/~jnz1568/getInfo.php?workbook=11_02.xlsx&amp;sheet=U0&amp;row=373&amp;col=7&amp;number=0.000473&amp;sourceID=14","0.000473")</f>
        <v>0.000473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HYPERLINK("http://141.218.60.56/~jnz1568/getInfo.php?workbook=11_02.xlsx&amp;sheet=U0&amp;row=374&amp;col=6&amp;number=4&amp;sourceID=14","4")</f>
        <v>4</v>
      </c>
      <c r="G374" s="4" t="str">
        <f>HYPERLINK("http://141.218.60.56/~jnz1568/getInfo.php?workbook=11_02.xlsx&amp;sheet=U0&amp;row=374&amp;col=7&amp;number=0.000473&amp;sourceID=14","0.000473")</f>
        <v>0.000473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HYPERLINK("http://141.218.60.56/~jnz1568/getInfo.php?workbook=11_02.xlsx&amp;sheet=U0&amp;row=375&amp;col=6&amp;number=4.1&amp;sourceID=14","4.1")</f>
        <v>4.1</v>
      </c>
      <c r="G375" s="4" t="str">
        <f>HYPERLINK("http://141.218.60.56/~jnz1568/getInfo.php?workbook=11_02.xlsx&amp;sheet=U0&amp;row=375&amp;col=7&amp;number=0.000473&amp;sourceID=14","0.000473")</f>
        <v>0.000473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HYPERLINK("http://141.218.60.56/~jnz1568/getInfo.php?workbook=11_02.xlsx&amp;sheet=U0&amp;row=376&amp;col=6&amp;number=4.2&amp;sourceID=14","4.2")</f>
        <v>4.2</v>
      </c>
      <c r="G376" s="4" t="str">
        <f>HYPERLINK("http://141.218.60.56/~jnz1568/getInfo.php?workbook=11_02.xlsx&amp;sheet=U0&amp;row=376&amp;col=7&amp;number=0.000473&amp;sourceID=14","0.000473")</f>
        <v>0.000473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HYPERLINK("http://141.218.60.56/~jnz1568/getInfo.php?workbook=11_02.xlsx&amp;sheet=U0&amp;row=377&amp;col=6&amp;number=4.3&amp;sourceID=14","4.3")</f>
        <v>4.3</v>
      </c>
      <c r="G377" s="4" t="str">
        <f>HYPERLINK("http://141.218.60.56/~jnz1568/getInfo.php?workbook=11_02.xlsx&amp;sheet=U0&amp;row=377&amp;col=7&amp;number=0.000472&amp;sourceID=14","0.000472")</f>
        <v>0.000472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HYPERLINK("http://141.218.60.56/~jnz1568/getInfo.php?workbook=11_02.xlsx&amp;sheet=U0&amp;row=378&amp;col=6&amp;number=4.4&amp;sourceID=14","4.4")</f>
        <v>4.4</v>
      </c>
      <c r="G378" s="4" t="str">
        <f>HYPERLINK("http://141.218.60.56/~jnz1568/getInfo.php?workbook=11_02.xlsx&amp;sheet=U0&amp;row=378&amp;col=7&amp;number=0.000472&amp;sourceID=14","0.000472")</f>
        <v>0.000472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HYPERLINK("http://141.218.60.56/~jnz1568/getInfo.php?workbook=11_02.xlsx&amp;sheet=U0&amp;row=379&amp;col=6&amp;number=4.5&amp;sourceID=14","4.5")</f>
        <v>4.5</v>
      </c>
      <c r="G379" s="4" t="str">
        <f>HYPERLINK("http://141.218.60.56/~jnz1568/getInfo.php?workbook=11_02.xlsx&amp;sheet=U0&amp;row=379&amp;col=7&amp;number=0.000471&amp;sourceID=14","0.000471")</f>
        <v>0.000471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HYPERLINK("http://141.218.60.56/~jnz1568/getInfo.php?workbook=11_02.xlsx&amp;sheet=U0&amp;row=380&amp;col=6&amp;number=4.6&amp;sourceID=14","4.6")</f>
        <v>4.6</v>
      </c>
      <c r="G380" s="4" t="str">
        <f>HYPERLINK("http://141.218.60.56/~jnz1568/getInfo.php?workbook=11_02.xlsx&amp;sheet=U0&amp;row=380&amp;col=7&amp;number=0.00047&amp;sourceID=14","0.00047")</f>
        <v>0.00047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HYPERLINK("http://141.218.60.56/~jnz1568/getInfo.php?workbook=11_02.xlsx&amp;sheet=U0&amp;row=381&amp;col=6&amp;number=4.7&amp;sourceID=14","4.7")</f>
        <v>4.7</v>
      </c>
      <c r="G381" s="4" t="str">
        <f>HYPERLINK("http://141.218.60.56/~jnz1568/getInfo.php?workbook=11_02.xlsx&amp;sheet=U0&amp;row=381&amp;col=7&amp;number=0.000469&amp;sourceID=14","0.000469")</f>
        <v>0.000469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HYPERLINK("http://141.218.60.56/~jnz1568/getInfo.php?workbook=11_02.xlsx&amp;sheet=U0&amp;row=382&amp;col=6&amp;number=4.8&amp;sourceID=14","4.8")</f>
        <v>4.8</v>
      </c>
      <c r="G382" s="4" t="str">
        <f>HYPERLINK("http://141.218.60.56/~jnz1568/getInfo.php?workbook=11_02.xlsx&amp;sheet=U0&amp;row=382&amp;col=7&amp;number=0.000467&amp;sourceID=14","0.000467")</f>
        <v>0.000467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HYPERLINK("http://141.218.60.56/~jnz1568/getInfo.php?workbook=11_02.xlsx&amp;sheet=U0&amp;row=383&amp;col=6&amp;number=4.9&amp;sourceID=14","4.9")</f>
        <v>4.9</v>
      </c>
      <c r="G383" s="4" t="str">
        <f>HYPERLINK("http://141.218.60.56/~jnz1568/getInfo.php?workbook=11_02.xlsx&amp;sheet=U0&amp;row=383&amp;col=7&amp;number=0.000466&amp;sourceID=14","0.000466")</f>
        <v>0.000466</v>
      </c>
    </row>
    <row r="384" spans="1:7">
      <c r="A384" s="3">
        <v>11</v>
      </c>
      <c r="B384" s="3">
        <v>2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HYPERLINK("http://141.218.60.56/~jnz1568/getInfo.php?workbook=11_02.xlsx&amp;sheet=U0&amp;row=384&amp;col=6&amp;number=3&amp;sourceID=14","3")</f>
        <v>3</v>
      </c>
      <c r="G384" s="4" t="str">
        <f>HYPERLINK("http://141.218.60.56/~jnz1568/getInfo.php?workbook=11_02.xlsx&amp;sheet=U0&amp;row=384&amp;col=7&amp;number=0.00079&amp;sourceID=14","0.00079")</f>
        <v>0.00079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HYPERLINK("http://141.218.60.56/~jnz1568/getInfo.php?workbook=11_02.xlsx&amp;sheet=U0&amp;row=385&amp;col=6&amp;number=3.1&amp;sourceID=14","3.1")</f>
        <v>3.1</v>
      </c>
      <c r="G385" s="4" t="str">
        <f>HYPERLINK("http://141.218.60.56/~jnz1568/getInfo.php?workbook=11_02.xlsx&amp;sheet=U0&amp;row=385&amp;col=7&amp;number=0.00079&amp;sourceID=14","0.00079")</f>
        <v>0.00079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HYPERLINK("http://141.218.60.56/~jnz1568/getInfo.php?workbook=11_02.xlsx&amp;sheet=U0&amp;row=386&amp;col=6&amp;number=3.2&amp;sourceID=14","3.2")</f>
        <v>3.2</v>
      </c>
      <c r="G386" s="4" t="str">
        <f>HYPERLINK("http://141.218.60.56/~jnz1568/getInfo.php?workbook=11_02.xlsx&amp;sheet=U0&amp;row=386&amp;col=7&amp;number=0.00079&amp;sourceID=14","0.00079")</f>
        <v>0.00079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HYPERLINK("http://141.218.60.56/~jnz1568/getInfo.php?workbook=11_02.xlsx&amp;sheet=U0&amp;row=387&amp;col=6&amp;number=3.3&amp;sourceID=14","3.3")</f>
        <v>3.3</v>
      </c>
      <c r="G387" s="4" t="str">
        <f>HYPERLINK("http://141.218.60.56/~jnz1568/getInfo.php?workbook=11_02.xlsx&amp;sheet=U0&amp;row=387&amp;col=7&amp;number=0.00079&amp;sourceID=14","0.00079")</f>
        <v>0.00079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HYPERLINK("http://141.218.60.56/~jnz1568/getInfo.php?workbook=11_02.xlsx&amp;sheet=U0&amp;row=388&amp;col=6&amp;number=3.4&amp;sourceID=14","3.4")</f>
        <v>3.4</v>
      </c>
      <c r="G388" s="4" t="str">
        <f>HYPERLINK("http://141.218.60.56/~jnz1568/getInfo.php?workbook=11_02.xlsx&amp;sheet=U0&amp;row=388&amp;col=7&amp;number=0.00079&amp;sourceID=14","0.00079")</f>
        <v>0.00079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HYPERLINK("http://141.218.60.56/~jnz1568/getInfo.php?workbook=11_02.xlsx&amp;sheet=U0&amp;row=389&amp;col=6&amp;number=3.5&amp;sourceID=14","3.5")</f>
        <v>3.5</v>
      </c>
      <c r="G389" s="4" t="str">
        <f>HYPERLINK("http://141.218.60.56/~jnz1568/getInfo.php?workbook=11_02.xlsx&amp;sheet=U0&amp;row=389&amp;col=7&amp;number=0.000789&amp;sourceID=14","0.000789")</f>
        <v>0.000789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HYPERLINK("http://141.218.60.56/~jnz1568/getInfo.php?workbook=11_02.xlsx&amp;sheet=U0&amp;row=390&amp;col=6&amp;number=3.6&amp;sourceID=14","3.6")</f>
        <v>3.6</v>
      </c>
      <c r="G390" s="4" t="str">
        <f>HYPERLINK("http://141.218.60.56/~jnz1568/getInfo.php?workbook=11_02.xlsx&amp;sheet=U0&amp;row=390&amp;col=7&amp;number=0.000789&amp;sourceID=14","0.000789")</f>
        <v>0.000789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HYPERLINK("http://141.218.60.56/~jnz1568/getInfo.php?workbook=11_02.xlsx&amp;sheet=U0&amp;row=391&amp;col=6&amp;number=3.7&amp;sourceID=14","3.7")</f>
        <v>3.7</v>
      </c>
      <c r="G391" s="4" t="str">
        <f>HYPERLINK("http://141.218.60.56/~jnz1568/getInfo.php?workbook=11_02.xlsx&amp;sheet=U0&amp;row=391&amp;col=7&amp;number=0.000789&amp;sourceID=14","0.000789")</f>
        <v>0.000789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HYPERLINK("http://141.218.60.56/~jnz1568/getInfo.php?workbook=11_02.xlsx&amp;sheet=U0&amp;row=392&amp;col=6&amp;number=3.8&amp;sourceID=14","3.8")</f>
        <v>3.8</v>
      </c>
      <c r="G392" s="4" t="str">
        <f>HYPERLINK("http://141.218.60.56/~jnz1568/getInfo.php?workbook=11_02.xlsx&amp;sheet=U0&amp;row=392&amp;col=7&amp;number=0.000789&amp;sourceID=14","0.000789")</f>
        <v>0.000789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HYPERLINK("http://141.218.60.56/~jnz1568/getInfo.php?workbook=11_02.xlsx&amp;sheet=U0&amp;row=393&amp;col=6&amp;number=3.9&amp;sourceID=14","3.9")</f>
        <v>3.9</v>
      </c>
      <c r="G393" s="4" t="str">
        <f>HYPERLINK("http://141.218.60.56/~jnz1568/getInfo.php?workbook=11_02.xlsx&amp;sheet=U0&amp;row=393&amp;col=7&amp;number=0.000788&amp;sourceID=14","0.000788")</f>
        <v>0.000788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HYPERLINK("http://141.218.60.56/~jnz1568/getInfo.php?workbook=11_02.xlsx&amp;sheet=U0&amp;row=394&amp;col=6&amp;number=4&amp;sourceID=14","4")</f>
        <v>4</v>
      </c>
      <c r="G394" s="4" t="str">
        <f>HYPERLINK("http://141.218.60.56/~jnz1568/getInfo.php?workbook=11_02.xlsx&amp;sheet=U0&amp;row=394&amp;col=7&amp;number=0.000788&amp;sourceID=14","0.000788")</f>
        <v>0.000788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HYPERLINK("http://141.218.60.56/~jnz1568/getInfo.php?workbook=11_02.xlsx&amp;sheet=U0&amp;row=395&amp;col=6&amp;number=4.1&amp;sourceID=14","4.1")</f>
        <v>4.1</v>
      </c>
      <c r="G395" s="4" t="str">
        <f>HYPERLINK("http://141.218.60.56/~jnz1568/getInfo.php?workbook=11_02.xlsx&amp;sheet=U0&amp;row=395&amp;col=7&amp;number=0.000788&amp;sourceID=14","0.000788")</f>
        <v>0.000788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HYPERLINK("http://141.218.60.56/~jnz1568/getInfo.php?workbook=11_02.xlsx&amp;sheet=U0&amp;row=396&amp;col=6&amp;number=4.2&amp;sourceID=14","4.2")</f>
        <v>4.2</v>
      </c>
      <c r="G396" s="4" t="str">
        <f>HYPERLINK("http://141.218.60.56/~jnz1568/getInfo.php?workbook=11_02.xlsx&amp;sheet=U0&amp;row=396&amp;col=7&amp;number=0.000787&amp;sourceID=14","0.000787")</f>
        <v>0.000787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HYPERLINK("http://141.218.60.56/~jnz1568/getInfo.php?workbook=11_02.xlsx&amp;sheet=U0&amp;row=397&amp;col=6&amp;number=4.3&amp;sourceID=14","4.3")</f>
        <v>4.3</v>
      </c>
      <c r="G397" s="4" t="str">
        <f>HYPERLINK("http://141.218.60.56/~jnz1568/getInfo.php?workbook=11_02.xlsx&amp;sheet=U0&amp;row=397&amp;col=7&amp;number=0.000786&amp;sourceID=14","0.000786")</f>
        <v>0.000786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HYPERLINK("http://141.218.60.56/~jnz1568/getInfo.php?workbook=11_02.xlsx&amp;sheet=U0&amp;row=398&amp;col=6&amp;number=4.4&amp;sourceID=14","4.4")</f>
        <v>4.4</v>
      </c>
      <c r="G398" s="4" t="str">
        <f>HYPERLINK("http://141.218.60.56/~jnz1568/getInfo.php?workbook=11_02.xlsx&amp;sheet=U0&amp;row=398&amp;col=7&amp;number=0.000785&amp;sourceID=14","0.000785")</f>
        <v>0.000785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HYPERLINK("http://141.218.60.56/~jnz1568/getInfo.php?workbook=11_02.xlsx&amp;sheet=U0&amp;row=399&amp;col=6&amp;number=4.5&amp;sourceID=14","4.5")</f>
        <v>4.5</v>
      </c>
      <c r="G399" s="4" t="str">
        <f>HYPERLINK("http://141.218.60.56/~jnz1568/getInfo.php?workbook=11_02.xlsx&amp;sheet=U0&amp;row=399&amp;col=7&amp;number=0.000784&amp;sourceID=14","0.000784")</f>
        <v>0.000784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HYPERLINK("http://141.218.60.56/~jnz1568/getInfo.php?workbook=11_02.xlsx&amp;sheet=U0&amp;row=400&amp;col=6&amp;number=4.6&amp;sourceID=14","4.6")</f>
        <v>4.6</v>
      </c>
      <c r="G400" s="4" t="str">
        <f>HYPERLINK("http://141.218.60.56/~jnz1568/getInfo.php?workbook=11_02.xlsx&amp;sheet=U0&amp;row=400&amp;col=7&amp;number=0.000782&amp;sourceID=14","0.000782")</f>
        <v>0.000782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HYPERLINK("http://141.218.60.56/~jnz1568/getInfo.php?workbook=11_02.xlsx&amp;sheet=U0&amp;row=401&amp;col=6&amp;number=4.7&amp;sourceID=14","4.7")</f>
        <v>4.7</v>
      </c>
      <c r="G401" s="4" t="str">
        <f>HYPERLINK("http://141.218.60.56/~jnz1568/getInfo.php?workbook=11_02.xlsx&amp;sheet=U0&amp;row=401&amp;col=7&amp;number=0.00078&amp;sourceID=14","0.00078")</f>
        <v>0.00078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HYPERLINK("http://141.218.60.56/~jnz1568/getInfo.php?workbook=11_02.xlsx&amp;sheet=U0&amp;row=402&amp;col=6&amp;number=4.8&amp;sourceID=14","4.8")</f>
        <v>4.8</v>
      </c>
      <c r="G402" s="4" t="str">
        <f>HYPERLINK("http://141.218.60.56/~jnz1568/getInfo.php?workbook=11_02.xlsx&amp;sheet=U0&amp;row=402&amp;col=7&amp;number=0.000777&amp;sourceID=14","0.000777")</f>
        <v>0.000777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HYPERLINK("http://141.218.60.56/~jnz1568/getInfo.php?workbook=11_02.xlsx&amp;sheet=U0&amp;row=403&amp;col=6&amp;number=4.9&amp;sourceID=14","4.9")</f>
        <v>4.9</v>
      </c>
      <c r="G403" s="4" t="str">
        <f>HYPERLINK("http://141.218.60.56/~jnz1568/getInfo.php?workbook=11_02.xlsx&amp;sheet=U0&amp;row=403&amp;col=7&amp;number=0.000774&amp;sourceID=14","0.000774")</f>
        <v>0.000774</v>
      </c>
    </row>
    <row r="404" spans="1:7">
      <c r="A404" s="3">
        <v>11</v>
      </c>
      <c r="B404" s="3">
        <v>2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HYPERLINK("http://141.218.60.56/~jnz1568/getInfo.php?workbook=11_02.xlsx&amp;sheet=U0&amp;row=404&amp;col=6&amp;number=3&amp;sourceID=14","3")</f>
        <v>3</v>
      </c>
      <c r="G404" s="4" t="str">
        <f>HYPERLINK("http://141.218.60.56/~jnz1568/getInfo.php?workbook=11_02.xlsx&amp;sheet=U0&amp;row=404&amp;col=7&amp;number=0.000452&amp;sourceID=14","0.000452")</f>
        <v>0.000452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HYPERLINK("http://141.218.60.56/~jnz1568/getInfo.php?workbook=11_02.xlsx&amp;sheet=U0&amp;row=405&amp;col=6&amp;number=3.1&amp;sourceID=14","3.1")</f>
        <v>3.1</v>
      </c>
      <c r="G405" s="4" t="str">
        <f>HYPERLINK("http://141.218.60.56/~jnz1568/getInfo.php?workbook=11_02.xlsx&amp;sheet=U0&amp;row=405&amp;col=7&amp;number=0.000452&amp;sourceID=14","0.000452")</f>
        <v>0.000452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HYPERLINK("http://141.218.60.56/~jnz1568/getInfo.php?workbook=11_02.xlsx&amp;sheet=U0&amp;row=406&amp;col=6&amp;number=3.2&amp;sourceID=14","3.2")</f>
        <v>3.2</v>
      </c>
      <c r="G406" s="4" t="str">
        <f>HYPERLINK("http://141.218.60.56/~jnz1568/getInfo.php?workbook=11_02.xlsx&amp;sheet=U0&amp;row=406&amp;col=7&amp;number=0.000452&amp;sourceID=14","0.000452")</f>
        <v>0.000452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HYPERLINK("http://141.218.60.56/~jnz1568/getInfo.php?workbook=11_02.xlsx&amp;sheet=U0&amp;row=407&amp;col=6&amp;number=3.3&amp;sourceID=14","3.3")</f>
        <v>3.3</v>
      </c>
      <c r="G407" s="4" t="str">
        <f>HYPERLINK("http://141.218.60.56/~jnz1568/getInfo.php?workbook=11_02.xlsx&amp;sheet=U0&amp;row=407&amp;col=7&amp;number=0.000452&amp;sourceID=14","0.000452")</f>
        <v>0.000452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HYPERLINK("http://141.218.60.56/~jnz1568/getInfo.php?workbook=11_02.xlsx&amp;sheet=U0&amp;row=408&amp;col=6&amp;number=3.4&amp;sourceID=14","3.4")</f>
        <v>3.4</v>
      </c>
      <c r="G408" s="4" t="str">
        <f>HYPERLINK("http://141.218.60.56/~jnz1568/getInfo.php?workbook=11_02.xlsx&amp;sheet=U0&amp;row=408&amp;col=7&amp;number=0.000452&amp;sourceID=14","0.000452")</f>
        <v>0.000452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HYPERLINK("http://141.218.60.56/~jnz1568/getInfo.php?workbook=11_02.xlsx&amp;sheet=U0&amp;row=409&amp;col=6&amp;number=3.5&amp;sourceID=14","3.5")</f>
        <v>3.5</v>
      </c>
      <c r="G409" s="4" t="str">
        <f>HYPERLINK("http://141.218.60.56/~jnz1568/getInfo.php?workbook=11_02.xlsx&amp;sheet=U0&amp;row=409&amp;col=7&amp;number=0.000452&amp;sourceID=14","0.000452")</f>
        <v>0.000452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HYPERLINK("http://141.218.60.56/~jnz1568/getInfo.php?workbook=11_02.xlsx&amp;sheet=U0&amp;row=410&amp;col=6&amp;number=3.6&amp;sourceID=14","3.6")</f>
        <v>3.6</v>
      </c>
      <c r="G410" s="4" t="str">
        <f>HYPERLINK("http://141.218.60.56/~jnz1568/getInfo.php?workbook=11_02.xlsx&amp;sheet=U0&amp;row=410&amp;col=7&amp;number=0.000452&amp;sourceID=14","0.000452")</f>
        <v>0.000452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HYPERLINK("http://141.218.60.56/~jnz1568/getInfo.php?workbook=11_02.xlsx&amp;sheet=U0&amp;row=411&amp;col=6&amp;number=3.7&amp;sourceID=14","3.7")</f>
        <v>3.7</v>
      </c>
      <c r="G411" s="4" t="str">
        <f>HYPERLINK("http://141.218.60.56/~jnz1568/getInfo.php?workbook=11_02.xlsx&amp;sheet=U0&amp;row=411&amp;col=7&amp;number=0.000452&amp;sourceID=14","0.000452")</f>
        <v>0.000452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HYPERLINK("http://141.218.60.56/~jnz1568/getInfo.php?workbook=11_02.xlsx&amp;sheet=U0&amp;row=412&amp;col=6&amp;number=3.8&amp;sourceID=14","3.8")</f>
        <v>3.8</v>
      </c>
      <c r="G412" s="4" t="str">
        <f>HYPERLINK("http://141.218.60.56/~jnz1568/getInfo.php?workbook=11_02.xlsx&amp;sheet=U0&amp;row=412&amp;col=7&amp;number=0.000451&amp;sourceID=14","0.000451")</f>
        <v>0.000451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HYPERLINK("http://141.218.60.56/~jnz1568/getInfo.php?workbook=11_02.xlsx&amp;sheet=U0&amp;row=413&amp;col=6&amp;number=3.9&amp;sourceID=14","3.9")</f>
        <v>3.9</v>
      </c>
      <c r="G413" s="4" t="str">
        <f>HYPERLINK("http://141.218.60.56/~jnz1568/getInfo.php?workbook=11_02.xlsx&amp;sheet=U0&amp;row=413&amp;col=7&amp;number=0.000451&amp;sourceID=14","0.000451")</f>
        <v>0.000451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HYPERLINK("http://141.218.60.56/~jnz1568/getInfo.php?workbook=11_02.xlsx&amp;sheet=U0&amp;row=414&amp;col=6&amp;number=4&amp;sourceID=14","4")</f>
        <v>4</v>
      </c>
      <c r="G414" s="4" t="str">
        <f>HYPERLINK("http://141.218.60.56/~jnz1568/getInfo.php?workbook=11_02.xlsx&amp;sheet=U0&amp;row=414&amp;col=7&amp;number=0.00045&amp;sourceID=14","0.00045")</f>
        <v>0.00045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HYPERLINK("http://141.218.60.56/~jnz1568/getInfo.php?workbook=11_02.xlsx&amp;sheet=U0&amp;row=415&amp;col=6&amp;number=4.1&amp;sourceID=14","4.1")</f>
        <v>4.1</v>
      </c>
      <c r="G415" s="4" t="str">
        <f>HYPERLINK("http://141.218.60.56/~jnz1568/getInfo.php?workbook=11_02.xlsx&amp;sheet=U0&amp;row=415&amp;col=7&amp;number=0.00045&amp;sourceID=14","0.00045")</f>
        <v>0.00045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HYPERLINK("http://141.218.60.56/~jnz1568/getInfo.php?workbook=11_02.xlsx&amp;sheet=U0&amp;row=416&amp;col=6&amp;number=4.2&amp;sourceID=14","4.2")</f>
        <v>4.2</v>
      </c>
      <c r="G416" s="4" t="str">
        <f>HYPERLINK("http://141.218.60.56/~jnz1568/getInfo.php?workbook=11_02.xlsx&amp;sheet=U0&amp;row=416&amp;col=7&amp;number=0.000449&amp;sourceID=14","0.000449")</f>
        <v>0.000449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HYPERLINK("http://141.218.60.56/~jnz1568/getInfo.php?workbook=11_02.xlsx&amp;sheet=U0&amp;row=417&amp;col=6&amp;number=4.3&amp;sourceID=14","4.3")</f>
        <v>4.3</v>
      </c>
      <c r="G417" s="4" t="str">
        <f>HYPERLINK("http://141.218.60.56/~jnz1568/getInfo.php?workbook=11_02.xlsx&amp;sheet=U0&amp;row=417&amp;col=7&amp;number=0.000448&amp;sourceID=14","0.000448")</f>
        <v>0.000448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HYPERLINK("http://141.218.60.56/~jnz1568/getInfo.php?workbook=11_02.xlsx&amp;sheet=U0&amp;row=418&amp;col=6&amp;number=4.4&amp;sourceID=14","4.4")</f>
        <v>4.4</v>
      </c>
      <c r="G418" s="4" t="str">
        <f>HYPERLINK("http://141.218.60.56/~jnz1568/getInfo.php?workbook=11_02.xlsx&amp;sheet=U0&amp;row=418&amp;col=7&amp;number=0.000447&amp;sourceID=14","0.000447")</f>
        <v>0.000447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HYPERLINK("http://141.218.60.56/~jnz1568/getInfo.php?workbook=11_02.xlsx&amp;sheet=U0&amp;row=419&amp;col=6&amp;number=4.5&amp;sourceID=14","4.5")</f>
        <v>4.5</v>
      </c>
      <c r="G419" s="4" t="str">
        <f>HYPERLINK("http://141.218.60.56/~jnz1568/getInfo.php?workbook=11_02.xlsx&amp;sheet=U0&amp;row=419&amp;col=7&amp;number=0.000446&amp;sourceID=14","0.000446")</f>
        <v>0.000446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HYPERLINK("http://141.218.60.56/~jnz1568/getInfo.php?workbook=11_02.xlsx&amp;sheet=U0&amp;row=420&amp;col=6&amp;number=4.6&amp;sourceID=14","4.6")</f>
        <v>4.6</v>
      </c>
      <c r="G420" s="4" t="str">
        <f>HYPERLINK("http://141.218.60.56/~jnz1568/getInfo.php?workbook=11_02.xlsx&amp;sheet=U0&amp;row=420&amp;col=7&amp;number=0.000444&amp;sourceID=14","0.000444")</f>
        <v>0.000444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HYPERLINK("http://141.218.60.56/~jnz1568/getInfo.php?workbook=11_02.xlsx&amp;sheet=U0&amp;row=421&amp;col=6&amp;number=4.7&amp;sourceID=14","4.7")</f>
        <v>4.7</v>
      </c>
      <c r="G421" s="4" t="str">
        <f>HYPERLINK("http://141.218.60.56/~jnz1568/getInfo.php?workbook=11_02.xlsx&amp;sheet=U0&amp;row=421&amp;col=7&amp;number=0.000442&amp;sourceID=14","0.000442")</f>
        <v>0.000442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HYPERLINK("http://141.218.60.56/~jnz1568/getInfo.php?workbook=11_02.xlsx&amp;sheet=U0&amp;row=422&amp;col=6&amp;number=4.8&amp;sourceID=14","4.8")</f>
        <v>4.8</v>
      </c>
      <c r="G422" s="4" t="str">
        <f>HYPERLINK("http://141.218.60.56/~jnz1568/getInfo.php?workbook=11_02.xlsx&amp;sheet=U0&amp;row=422&amp;col=7&amp;number=0.000439&amp;sourceID=14","0.000439")</f>
        <v>0.000439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HYPERLINK("http://141.218.60.56/~jnz1568/getInfo.php?workbook=11_02.xlsx&amp;sheet=U0&amp;row=423&amp;col=6&amp;number=4.9&amp;sourceID=14","4.9")</f>
        <v>4.9</v>
      </c>
      <c r="G423" s="4" t="str">
        <f>HYPERLINK("http://141.218.60.56/~jnz1568/getInfo.php?workbook=11_02.xlsx&amp;sheet=U0&amp;row=423&amp;col=7&amp;number=0.000436&amp;sourceID=14","0.000436")</f>
        <v>0.000436</v>
      </c>
    </row>
    <row r="424" spans="1:7">
      <c r="A424" s="3">
        <v>11</v>
      </c>
      <c r="B424" s="3">
        <v>2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HYPERLINK("http://141.218.60.56/~jnz1568/getInfo.php?workbook=11_02.xlsx&amp;sheet=U0&amp;row=424&amp;col=6&amp;number=3&amp;sourceID=14","3")</f>
        <v>3</v>
      </c>
      <c r="G424" s="4" t="str">
        <f>HYPERLINK("http://141.218.60.56/~jnz1568/getInfo.php?workbook=11_02.xlsx&amp;sheet=U0&amp;row=424&amp;col=7&amp;number=0.000117&amp;sourceID=14","0.000117")</f>
        <v>0.000117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HYPERLINK("http://141.218.60.56/~jnz1568/getInfo.php?workbook=11_02.xlsx&amp;sheet=U0&amp;row=425&amp;col=6&amp;number=3.1&amp;sourceID=14","3.1")</f>
        <v>3.1</v>
      </c>
      <c r="G425" s="4" t="str">
        <f>HYPERLINK("http://141.218.60.56/~jnz1568/getInfo.php?workbook=11_02.xlsx&amp;sheet=U0&amp;row=425&amp;col=7&amp;number=0.000117&amp;sourceID=14","0.000117")</f>
        <v>0.000117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HYPERLINK("http://141.218.60.56/~jnz1568/getInfo.php?workbook=11_02.xlsx&amp;sheet=U0&amp;row=426&amp;col=6&amp;number=3.2&amp;sourceID=14","3.2")</f>
        <v>3.2</v>
      </c>
      <c r="G426" s="4" t="str">
        <f>HYPERLINK("http://141.218.60.56/~jnz1568/getInfo.php?workbook=11_02.xlsx&amp;sheet=U0&amp;row=426&amp;col=7&amp;number=0.000116&amp;sourceID=14","0.000116")</f>
        <v>0.000116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HYPERLINK("http://141.218.60.56/~jnz1568/getInfo.php?workbook=11_02.xlsx&amp;sheet=U0&amp;row=427&amp;col=6&amp;number=3.3&amp;sourceID=14","3.3")</f>
        <v>3.3</v>
      </c>
      <c r="G427" s="4" t="str">
        <f>HYPERLINK("http://141.218.60.56/~jnz1568/getInfo.php?workbook=11_02.xlsx&amp;sheet=U0&amp;row=427&amp;col=7&amp;number=0.000116&amp;sourceID=14","0.000116")</f>
        <v>0.000116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HYPERLINK("http://141.218.60.56/~jnz1568/getInfo.php?workbook=11_02.xlsx&amp;sheet=U0&amp;row=428&amp;col=6&amp;number=3.4&amp;sourceID=14","3.4")</f>
        <v>3.4</v>
      </c>
      <c r="G428" s="4" t="str">
        <f>HYPERLINK("http://141.218.60.56/~jnz1568/getInfo.php?workbook=11_02.xlsx&amp;sheet=U0&amp;row=428&amp;col=7&amp;number=0.000116&amp;sourceID=14","0.000116")</f>
        <v>0.000116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HYPERLINK("http://141.218.60.56/~jnz1568/getInfo.php?workbook=11_02.xlsx&amp;sheet=U0&amp;row=429&amp;col=6&amp;number=3.5&amp;sourceID=14","3.5")</f>
        <v>3.5</v>
      </c>
      <c r="G429" s="4" t="str">
        <f>HYPERLINK("http://141.218.60.56/~jnz1568/getInfo.php?workbook=11_02.xlsx&amp;sheet=U0&amp;row=429&amp;col=7&amp;number=0.000116&amp;sourceID=14","0.000116")</f>
        <v>0.000116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HYPERLINK("http://141.218.60.56/~jnz1568/getInfo.php?workbook=11_02.xlsx&amp;sheet=U0&amp;row=430&amp;col=6&amp;number=3.6&amp;sourceID=14","3.6")</f>
        <v>3.6</v>
      </c>
      <c r="G430" s="4" t="str">
        <f>HYPERLINK("http://141.218.60.56/~jnz1568/getInfo.php?workbook=11_02.xlsx&amp;sheet=U0&amp;row=430&amp;col=7&amp;number=0.000116&amp;sourceID=14","0.000116")</f>
        <v>0.000116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HYPERLINK("http://141.218.60.56/~jnz1568/getInfo.php?workbook=11_02.xlsx&amp;sheet=U0&amp;row=431&amp;col=6&amp;number=3.7&amp;sourceID=14","3.7")</f>
        <v>3.7</v>
      </c>
      <c r="G431" s="4" t="str">
        <f>HYPERLINK("http://141.218.60.56/~jnz1568/getInfo.php?workbook=11_02.xlsx&amp;sheet=U0&amp;row=431&amp;col=7&amp;number=0.000116&amp;sourceID=14","0.000116")</f>
        <v>0.000116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HYPERLINK("http://141.218.60.56/~jnz1568/getInfo.php?workbook=11_02.xlsx&amp;sheet=U0&amp;row=432&amp;col=6&amp;number=3.8&amp;sourceID=14","3.8")</f>
        <v>3.8</v>
      </c>
      <c r="G432" s="4" t="str">
        <f>HYPERLINK("http://141.218.60.56/~jnz1568/getInfo.php?workbook=11_02.xlsx&amp;sheet=U0&amp;row=432&amp;col=7&amp;number=0.000116&amp;sourceID=14","0.000116")</f>
        <v>0.000116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HYPERLINK("http://141.218.60.56/~jnz1568/getInfo.php?workbook=11_02.xlsx&amp;sheet=U0&amp;row=433&amp;col=6&amp;number=3.9&amp;sourceID=14","3.9")</f>
        <v>3.9</v>
      </c>
      <c r="G433" s="4" t="str">
        <f>HYPERLINK("http://141.218.60.56/~jnz1568/getInfo.php?workbook=11_02.xlsx&amp;sheet=U0&amp;row=433&amp;col=7&amp;number=0.000116&amp;sourceID=14","0.000116")</f>
        <v>0.000116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HYPERLINK("http://141.218.60.56/~jnz1568/getInfo.php?workbook=11_02.xlsx&amp;sheet=U0&amp;row=434&amp;col=6&amp;number=4&amp;sourceID=14","4")</f>
        <v>4</v>
      </c>
      <c r="G434" s="4" t="str">
        <f>HYPERLINK("http://141.218.60.56/~jnz1568/getInfo.php?workbook=11_02.xlsx&amp;sheet=U0&amp;row=434&amp;col=7&amp;number=0.000116&amp;sourceID=14","0.000116")</f>
        <v>0.000116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HYPERLINK("http://141.218.60.56/~jnz1568/getInfo.php?workbook=11_02.xlsx&amp;sheet=U0&amp;row=435&amp;col=6&amp;number=4.1&amp;sourceID=14","4.1")</f>
        <v>4.1</v>
      </c>
      <c r="G435" s="4" t="str">
        <f>HYPERLINK("http://141.218.60.56/~jnz1568/getInfo.php?workbook=11_02.xlsx&amp;sheet=U0&amp;row=435&amp;col=7&amp;number=0.000116&amp;sourceID=14","0.000116")</f>
        <v>0.000116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HYPERLINK("http://141.218.60.56/~jnz1568/getInfo.php?workbook=11_02.xlsx&amp;sheet=U0&amp;row=436&amp;col=6&amp;number=4.2&amp;sourceID=14","4.2")</f>
        <v>4.2</v>
      </c>
      <c r="G436" s="4" t="str">
        <f>HYPERLINK("http://141.218.60.56/~jnz1568/getInfo.php?workbook=11_02.xlsx&amp;sheet=U0&amp;row=436&amp;col=7&amp;number=0.000116&amp;sourceID=14","0.000116")</f>
        <v>0.000116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HYPERLINK("http://141.218.60.56/~jnz1568/getInfo.php?workbook=11_02.xlsx&amp;sheet=U0&amp;row=437&amp;col=6&amp;number=4.3&amp;sourceID=14","4.3")</f>
        <v>4.3</v>
      </c>
      <c r="G437" s="4" t="str">
        <f>HYPERLINK("http://141.218.60.56/~jnz1568/getInfo.php?workbook=11_02.xlsx&amp;sheet=U0&amp;row=437&amp;col=7&amp;number=0.000115&amp;sourceID=14","0.000115")</f>
        <v>0.000115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HYPERLINK("http://141.218.60.56/~jnz1568/getInfo.php?workbook=11_02.xlsx&amp;sheet=U0&amp;row=438&amp;col=6&amp;number=4.4&amp;sourceID=14","4.4")</f>
        <v>4.4</v>
      </c>
      <c r="G438" s="4" t="str">
        <f>HYPERLINK("http://141.218.60.56/~jnz1568/getInfo.php?workbook=11_02.xlsx&amp;sheet=U0&amp;row=438&amp;col=7&amp;number=0.000115&amp;sourceID=14","0.000115")</f>
        <v>0.000115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HYPERLINK("http://141.218.60.56/~jnz1568/getInfo.php?workbook=11_02.xlsx&amp;sheet=U0&amp;row=439&amp;col=6&amp;number=4.5&amp;sourceID=14","4.5")</f>
        <v>4.5</v>
      </c>
      <c r="G439" s="4" t="str">
        <f>HYPERLINK("http://141.218.60.56/~jnz1568/getInfo.php?workbook=11_02.xlsx&amp;sheet=U0&amp;row=439&amp;col=7&amp;number=0.000115&amp;sourceID=14","0.000115")</f>
        <v>0.000115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HYPERLINK("http://141.218.60.56/~jnz1568/getInfo.php?workbook=11_02.xlsx&amp;sheet=U0&amp;row=440&amp;col=6&amp;number=4.6&amp;sourceID=14","4.6")</f>
        <v>4.6</v>
      </c>
      <c r="G440" s="4" t="str">
        <f>HYPERLINK("http://141.218.60.56/~jnz1568/getInfo.php?workbook=11_02.xlsx&amp;sheet=U0&amp;row=440&amp;col=7&amp;number=0.000114&amp;sourceID=14","0.000114")</f>
        <v>0.000114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HYPERLINK("http://141.218.60.56/~jnz1568/getInfo.php?workbook=11_02.xlsx&amp;sheet=U0&amp;row=441&amp;col=6&amp;number=4.7&amp;sourceID=14","4.7")</f>
        <v>4.7</v>
      </c>
      <c r="G441" s="4" t="str">
        <f>HYPERLINK("http://141.218.60.56/~jnz1568/getInfo.php?workbook=11_02.xlsx&amp;sheet=U0&amp;row=441&amp;col=7&amp;number=0.000113&amp;sourceID=14","0.000113")</f>
        <v>0.000113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HYPERLINK("http://141.218.60.56/~jnz1568/getInfo.php?workbook=11_02.xlsx&amp;sheet=U0&amp;row=442&amp;col=6&amp;number=4.8&amp;sourceID=14","4.8")</f>
        <v>4.8</v>
      </c>
      <c r="G442" s="4" t="str">
        <f>HYPERLINK("http://141.218.60.56/~jnz1568/getInfo.php?workbook=11_02.xlsx&amp;sheet=U0&amp;row=442&amp;col=7&amp;number=0.000113&amp;sourceID=14","0.000113")</f>
        <v>0.000113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HYPERLINK("http://141.218.60.56/~jnz1568/getInfo.php?workbook=11_02.xlsx&amp;sheet=U0&amp;row=443&amp;col=6&amp;number=4.9&amp;sourceID=14","4.9")</f>
        <v>4.9</v>
      </c>
      <c r="G443" s="4" t="str">
        <f>HYPERLINK("http://141.218.60.56/~jnz1568/getInfo.php?workbook=11_02.xlsx&amp;sheet=U0&amp;row=443&amp;col=7&amp;number=0.000112&amp;sourceID=14","0.000112")</f>
        <v>0.000112</v>
      </c>
    </row>
    <row r="444" spans="1:7">
      <c r="A444" s="3">
        <v>11</v>
      </c>
      <c r="B444" s="3">
        <v>2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HYPERLINK("http://141.218.60.56/~jnz1568/getInfo.php?workbook=11_02.xlsx&amp;sheet=U0&amp;row=444&amp;col=6&amp;number=3&amp;sourceID=14","3")</f>
        <v>3</v>
      </c>
      <c r="G444" s="4" t="str">
        <f>HYPERLINK("http://141.218.60.56/~jnz1568/getInfo.php?workbook=11_02.xlsx&amp;sheet=U0&amp;row=444&amp;col=7&amp;number=0.000197&amp;sourceID=14","0.000197")</f>
        <v>0.000197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HYPERLINK("http://141.218.60.56/~jnz1568/getInfo.php?workbook=11_02.xlsx&amp;sheet=U0&amp;row=445&amp;col=6&amp;number=3.1&amp;sourceID=14","3.1")</f>
        <v>3.1</v>
      </c>
      <c r="G445" s="4" t="str">
        <f>HYPERLINK("http://141.218.60.56/~jnz1568/getInfo.php?workbook=11_02.xlsx&amp;sheet=U0&amp;row=445&amp;col=7&amp;number=0.000197&amp;sourceID=14","0.000197")</f>
        <v>0.000197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HYPERLINK("http://141.218.60.56/~jnz1568/getInfo.php?workbook=11_02.xlsx&amp;sheet=U0&amp;row=446&amp;col=6&amp;number=3.2&amp;sourceID=14","3.2")</f>
        <v>3.2</v>
      </c>
      <c r="G446" s="4" t="str">
        <f>HYPERLINK("http://141.218.60.56/~jnz1568/getInfo.php?workbook=11_02.xlsx&amp;sheet=U0&amp;row=446&amp;col=7&amp;number=0.000197&amp;sourceID=14","0.000197")</f>
        <v>0.000197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HYPERLINK("http://141.218.60.56/~jnz1568/getInfo.php?workbook=11_02.xlsx&amp;sheet=U0&amp;row=447&amp;col=6&amp;number=3.3&amp;sourceID=14","3.3")</f>
        <v>3.3</v>
      </c>
      <c r="G447" s="4" t="str">
        <f>HYPERLINK("http://141.218.60.56/~jnz1568/getInfo.php?workbook=11_02.xlsx&amp;sheet=U0&amp;row=447&amp;col=7&amp;number=0.000197&amp;sourceID=14","0.000197")</f>
        <v>0.000197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HYPERLINK("http://141.218.60.56/~jnz1568/getInfo.php?workbook=11_02.xlsx&amp;sheet=U0&amp;row=448&amp;col=6&amp;number=3.4&amp;sourceID=14","3.4")</f>
        <v>3.4</v>
      </c>
      <c r="G448" s="4" t="str">
        <f>HYPERLINK("http://141.218.60.56/~jnz1568/getInfo.php?workbook=11_02.xlsx&amp;sheet=U0&amp;row=448&amp;col=7&amp;number=0.000197&amp;sourceID=14","0.000197")</f>
        <v>0.000197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HYPERLINK("http://141.218.60.56/~jnz1568/getInfo.php?workbook=11_02.xlsx&amp;sheet=U0&amp;row=449&amp;col=6&amp;number=3.5&amp;sourceID=14","3.5")</f>
        <v>3.5</v>
      </c>
      <c r="G449" s="4" t="str">
        <f>HYPERLINK("http://141.218.60.56/~jnz1568/getInfo.php?workbook=11_02.xlsx&amp;sheet=U0&amp;row=449&amp;col=7&amp;number=0.000197&amp;sourceID=14","0.000197")</f>
        <v>0.000197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HYPERLINK("http://141.218.60.56/~jnz1568/getInfo.php?workbook=11_02.xlsx&amp;sheet=U0&amp;row=450&amp;col=6&amp;number=3.6&amp;sourceID=14","3.6")</f>
        <v>3.6</v>
      </c>
      <c r="G450" s="4" t="str">
        <f>HYPERLINK("http://141.218.60.56/~jnz1568/getInfo.php?workbook=11_02.xlsx&amp;sheet=U0&amp;row=450&amp;col=7&amp;number=0.000197&amp;sourceID=14","0.000197")</f>
        <v>0.000197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HYPERLINK("http://141.218.60.56/~jnz1568/getInfo.php?workbook=11_02.xlsx&amp;sheet=U0&amp;row=451&amp;col=6&amp;number=3.7&amp;sourceID=14","3.7")</f>
        <v>3.7</v>
      </c>
      <c r="G451" s="4" t="str">
        <f>HYPERLINK("http://141.218.60.56/~jnz1568/getInfo.php?workbook=11_02.xlsx&amp;sheet=U0&amp;row=451&amp;col=7&amp;number=0.000197&amp;sourceID=14","0.000197")</f>
        <v>0.000197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HYPERLINK("http://141.218.60.56/~jnz1568/getInfo.php?workbook=11_02.xlsx&amp;sheet=U0&amp;row=452&amp;col=6&amp;number=3.8&amp;sourceID=14","3.8")</f>
        <v>3.8</v>
      </c>
      <c r="G452" s="4" t="str">
        <f>HYPERLINK("http://141.218.60.56/~jnz1568/getInfo.php?workbook=11_02.xlsx&amp;sheet=U0&amp;row=452&amp;col=7&amp;number=0.000197&amp;sourceID=14","0.000197")</f>
        <v>0.000197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HYPERLINK("http://141.218.60.56/~jnz1568/getInfo.php?workbook=11_02.xlsx&amp;sheet=U0&amp;row=453&amp;col=6&amp;number=3.9&amp;sourceID=14","3.9")</f>
        <v>3.9</v>
      </c>
      <c r="G453" s="4" t="str">
        <f>HYPERLINK("http://141.218.60.56/~jnz1568/getInfo.php?workbook=11_02.xlsx&amp;sheet=U0&amp;row=453&amp;col=7&amp;number=0.000197&amp;sourceID=14","0.000197")</f>
        <v>0.000197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HYPERLINK("http://141.218.60.56/~jnz1568/getInfo.php?workbook=11_02.xlsx&amp;sheet=U0&amp;row=454&amp;col=6&amp;number=4&amp;sourceID=14","4")</f>
        <v>4</v>
      </c>
      <c r="G454" s="4" t="str">
        <f>HYPERLINK("http://141.218.60.56/~jnz1568/getInfo.php?workbook=11_02.xlsx&amp;sheet=U0&amp;row=454&amp;col=7&amp;number=0.000196&amp;sourceID=14","0.000196")</f>
        <v>0.000196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HYPERLINK("http://141.218.60.56/~jnz1568/getInfo.php?workbook=11_02.xlsx&amp;sheet=U0&amp;row=455&amp;col=6&amp;number=4.1&amp;sourceID=14","4.1")</f>
        <v>4.1</v>
      </c>
      <c r="G455" s="4" t="str">
        <f>HYPERLINK("http://141.218.60.56/~jnz1568/getInfo.php?workbook=11_02.xlsx&amp;sheet=U0&amp;row=455&amp;col=7&amp;number=0.000196&amp;sourceID=14","0.000196")</f>
        <v>0.000196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HYPERLINK("http://141.218.60.56/~jnz1568/getInfo.php?workbook=11_02.xlsx&amp;sheet=U0&amp;row=456&amp;col=6&amp;number=4.2&amp;sourceID=14","4.2")</f>
        <v>4.2</v>
      </c>
      <c r="G456" s="4" t="str">
        <f>HYPERLINK("http://141.218.60.56/~jnz1568/getInfo.php?workbook=11_02.xlsx&amp;sheet=U0&amp;row=456&amp;col=7&amp;number=0.000196&amp;sourceID=14","0.000196")</f>
        <v>0.000196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HYPERLINK("http://141.218.60.56/~jnz1568/getInfo.php?workbook=11_02.xlsx&amp;sheet=U0&amp;row=457&amp;col=6&amp;number=4.3&amp;sourceID=14","4.3")</f>
        <v>4.3</v>
      </c>
      <c r="G457" s="4" t="str">
        <f>HYPERLINK("http://141.218.60.56/~jnz1568/getInfo.php?workbook=11_02.xlsx&amp;sheet=U0&amp;row=457&amp;col=7&amp;number=0.000195&amp;sourceID=14","0.000195")</f>
        <v>0.000195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HYPERLINK("http://141.218.60.56/~jnz1568/getInfo.php?workbook=11_02.xlsx&amp;sheet=U0&amp;row=458&amp;col=6&amp;number=4.4&amp;sourceID=14","4.4")</f>
        <v>4.4</v>
      </c>
      <c r="G458" s="4" t="str">
        <f>HYPERLINK("http://141.218.60.56/~jnz1568/getInfo.php?workbook=11_02.xlsx&amp;sheet=U0&amp;row=458&amp;col=7&amp;number=0.000195&amp;sourceID=14","0.000195")</f>
        <v>0.000195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HYPERLINK("http://141.218.60.56/~jnz1568/getInfo.php?workbook=11_02.xlsx&amp;sheet=U0&amp;row=459&amp;col=6&amp;number=4.5&amp;sourceID=14","4.5")</f>
        <v>4.5</v>
      </c>
      <c r="G459" s="4" t="str">
        <f>HYPERLINK("http://141.218.60.56/~jnz1568/getInfo.php?workbook=11_02.xlsx&amp;sheet=U0&amp;row=459&amp;col=7&amp;number=0.000194&amp;sourceID=14","0.000194")</f>
        <v>0.000194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HYPERLINK("http://141.218.60.56/~jnz1568/getInfo.php?workbook=11_02.xlsx&amp;sheet=U0&amp;row=460&amp;col=6&amp;number=4.6&amp;sourceID=14","4.6")</f>
        <v>4.6</v>
      </c>
      <c r="G460" s="4" t="str">
        <f>HYPERLINK("http://141.218.60.56/~jnz1568/getInfo.php?workbook=11_02.xlsx&amp;sheet=U0&amp;row=460&amp;col=7&amp;number=0.000193&amp;sourceID=14","0.000193")</f>
        <v>0.000193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HYPERLINK("http://141.218.60.56/~jnz1568/getInfo.php?workbook=11_02.xlsx&amp;sheet=U0&amp;row=461&amp;col=6&amp;number=4.7&amp;sourceID=14","4.7")</f>
        <v>4.7</v>
      </c>
      <c r="G461" s="4" t="str">
        <f>HYPERLINK("http://141.218.60.56/~jnz1568/getInfo.php?workbook=11_02.xlsx&amp;sheet=U0&amp;row=461&amp;col=7&amp;number=0.000192&amp;sourceID=14","0.000192")</f>
        <v>0.000192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HYPERLINK("http://141.218.60.56/~jnz1568/getInfo.php?workbook=11_02.xlsx&amp;sheet=U0&amp;row=462&amp;col=6&amp;number=4.8&amp;sourceID=14","4.8")</f>
        <v>4.8</v>
      </c>
      <c r="G462" s="4" t="str">
        <f>HYPERLINK("http://141.218.60.56/~jnz1568/getInfo.php?workbook=11_02.xlsx&amp;sheet=U0&amp;row=462&amp;col=7&amp;number=0.000191&amp;sourceID=14","0.000191")</f>
        <v>0.000191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HYPERLINK("http://141.218.60.56/~jnz1568/getInfo.php?workbook=11_02.xlsx&amp;sheet=U0&amp;row=463&amp;col=6&amp;number=4.9&amp;sourceID=14","4.9")</f>
        <v>4.9</v>
      </c>
      <c r="G463" s="4" t="str">
        <f>HYPERLINK("http://141.218.60.56/~jnz1568/getInfo.php?workbook=11_02.xlsx&amp;sheet=U0&amp;row=463&amp;col=7&amp;number=0.000189&amp;sourceID=14","0.000189")</f>
        <v>0.000189</v>
      </c>
    </row>
    <row r="464" spans="1:7">
      <c r="A464" s="3">
        <v>11</v>
      </c>
      <c r="B464" s="3">
        <v>2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HYPERLINK("http://141.218.60.56/~jnz1568/getInfo.php?workbook=11_02.xlsx&amp;sheet=U0&amp;row=464&amp;col=6&amp;number=3&amp;sourceID=14","3")</f>
        <v>3</v>
      </c>
      <c r="G464" s="4" t="str">
        <f>HYPERLINK("http://141.218.60.56/~jnz1568/getInfo.php?workbook=11_02.xlsx&amp;sheet=U0&amp;row=464&amp;col=7&amp;number=0.000271&amp;sourceID=14","0.000271")</f>
        <v>0.000271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HYPERLINK("http://141.218.60.56/~jnz1568/getInfo.php?workbook=11_02.xlsx&amp;sheet=U0&amp;row=465&amp;col=6&amp;number=3.1&amp;sourceID=14","3.1")</f>
        <v>3.1</v>
      </c>
      <c r="G465" s="4" t="str">
        <f>HYPERLINK("http://141.218.60.56/~jnz1568/getInfo.php?workbook=11_02.xlsx&amp;sheet=U0&amp;row=465&amp;col=7&amp;number=0.000271&amp;sourceID=14","0.000271")</f>
        <v>0.000271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HYPERLINK("http://141.218.60.56/~jnz1568/getInfo.php?workbook=11_02.xlsx&amp;sheet=U0&amp;row=466&amp;col=6&amp;number=3.2&amp;sourceID=14","3.2")</f>
        <v>3.2</v>
      </c>
      <c r="G466" s="4" t="str">
        <f>HYPERLINK("http://141.218.60.56/~jnz1568/getInfo.php?workbook=11_02.xlsx&amp;sheet=U0&amp;row=466&amp;col=7&amp;number=0.000271&amp;sourceID=14","0.000271")</f>
        <v>0.000271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HYPERLINK("http://141.218.60.56/~jnz1568/getInfo.php?workbook=11_02.xlsx&amp;sheet=U0&amp;row=467&amp;col=6&amp;number=3.3&amp;sourceID=14","3.3")</f>
        <v>3.3</v>
      </c>
      <c r="G467" s="4" t="str">
        <f>HYPERLINK("http://141.218.60.56/~jnz1568/getInfo.php?workbook=11_02.xlsx&amp;sheet=U0&amp;row=467&amp;col=7&amp;number=0.000271&amp;sourceID=14","0.000271")</f>
        <v>0.000271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HYPERLINK("http://141.218.60.56/~jnz1568/getInfo.php?workbook=11_02.xlsx&amp;sheet=U0&amp;row=468&amp;col=6&amp;number=3.4&amp;sourceID=14","3.4")</f>
        <v>3.4</v>
      </c>
      <c r="G468" s="4" t="str">
        <f>HYPERLINK("http://141.218.60.56/~jnz1568/getInfo.php?workbook=11_02.xlsx&amp;sheet=U0&amp;row=468&amp;col=7&amp;number=0.000271&amp;sourceID=14","0.000271")</f>
        <v>0.000271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HYPERLINK("http://141.218.60.56/~jnz1568/getInfo.php?workbook=11_02.xlsx&amp;sheet=U0&amp;row=469&amp;col=6&amp;number=3.5&amp;sourceID=14","3.5")</f>
        <v>3.5</v>
      </c>
      <c r="G469" s="4" t="str">
        <f>HYPERLINK("http://141.218.60.56/~jnz1568/getInfo.php?workbook=11_02.xlsx&amp;sheet=U0&amp;row=469&amp;col=7&amp;number=0.000271&amp;sourceID=14","0.000271")</f>
        <v>0.000271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HYPERLINK("http://141.218.60.56/~jnz1568/getInfo.php?workbook=11_02.xlsx&amp;sheet=U0&amp;row=470&amp;col=6&amp;number=3.6&amp;sourceID=14","3.6")</f>
        <v>3.6</v>
      </c>
      <c r="G470" s="4" t="str">
        <f>HYPERLINK("http://141.218.60.56/~jnz1568/getInfo.php?workbook=11_02.xlsx&amp;sheet=U0&amp;row=470&amp;col=7&amp;number=0.000271&amp;sourceID=14","0.000271")</f>
        <v>0.000271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HYPERLINK("http://141.218.60.56/~jnz1568/getInfo.php?workbook=11_02.xlsx&amp;sheet=U0&amp;row=471&amp;col=6&amp;number=3.7&amp;sourceID=14","3.7")</f>
        <v>3.7</v>
      </c>
      <c r="G471" s="4" t="str">
        <f>HYPERLINK("http://141.218.60.56/~jnz1568/getInfo.php?workbook=11_02.xlsx&amp;sheet=U0&amp;row=471&amp;col=7&amp;number=0.000271&amp;sourceID=14","0.000271")</f>
        <v>0.000271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HYPERLINK("http://141.218.60.56/~jnz1568/getInfo.php?workbook=11_02.xlsx&amp;sheet=U0&amp;row=472&amp;col=6&amp;number=3.8&amp;sourceID=14","3.8")</f>
        <v>3.8</v>
      </c>
      <c r="G472" s="4" t="str">
        <f>HYPERLINK("http://141.218.60.56/~jnz1568/getInfo.php?workbook=11_02.xlsx&amp;sheet=U0&amp;row=472&amp;col=7&amp;number=0.000271&amp;sourceID=14","0.000271")</f>
        <v>0.000271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HYPERLINK("http://141.218.60.56/~jnz1568/getInfo.php?workbook=11_02.xlsx&amp;sheet=U0&amp;row=473&amp;col=6&amp;number=3.9&amp;sourceID=14","3.9")</f>
        <v>3.9</v>
      </c>
      <c r="G473" s="4" t="str">
        <f>HYPERLINK("http://141.218.60.56/~jnz1568/getInfo.php?workbook=11_02.xlsx&amp;sheet=U0&amp;row=473&amp;col=7&amp;number=0.00027&amp;sourceID=14","0.00027")</f>
        <v>0.00027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HYPERLINK("http://141.218.60.56/~jnz1568/getInfo.php?workbook=11_02.xlsx&amp;sheet=U0&amp;row=474&amp;col=6&amp;number=4&amp;sourceID=14","4")</f>
        <v>4</v>
      </c>
      <c r="G474" s="4" t="str">
        <f>HYPERLINK("http://141.218.60.56/~jnz1568/getInfo.php?workbook=11_02.xlsx&amp;sheet=U0&amp;row=474&amp;col=7&amp;number=0.00027&amp;sourceID=14","0.00027")</f>
        <v>0.00027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HYPERLINK("http://141.218.60.56/~jnz1568/getInfo.php?workbook=11_02.xlsx&amp;sheet=U0&amp;row=475&amp;col=6&amp;number=4.1&amp;sourceID=14","4.1")</f>
        <v>4.1</v>
      </c>
      <c r="G475" s="4" t="str">
        <f>HYPERLINK("http://141.218.60.56/~jnz1568/getInfo.php?workbook=11_02.xlsx&amp;sheet=U0&amp;row=475&amp;col=7&amp;number=0.00027&amp;sourceID=14","0.00027")</f>
        <v>0.00027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HYPERLINK("http://141.218.60.56/~jnz1568/getInfo.php?workbook=11_02.xlsx&amp;sheet=U0&amp;row=476&amp;col=6&amp;number=4.2&amp;sourceID=14","4.2")</f>
        <v>4.2</v>
      </c>
      <c r="G476" s="4" t="str">
        <f>HYPERLINK("http://141.218.60.56/~jnz1568/getInfo.php?workbook=11_02.xlsx&amp;sheet=U0&amp;row=476&amp;col=7&amp;number=0.000269&amp;sourceID=14","0.000269")</f>
        <v>0.000269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HYPERLINK("http://141.218.60.56/~jnz1568/getInfo.php?workbook=11_02.xlsx&amp;sheet=U0&amp;row=477&amp;col=6&amp;number=4.3&amp;sourceID=14","4.3")</f>
        <v>4.3</v>
      </c>
      <c r="G477" s="4" t="str">
        <f>HYPERLINK("http://141.218.60.56/~jnz1568/getInfo.php?workbook=11_02.xlsx&amp;sheet=U0&amp;row=477&amp;col=7&amp;number=0.000269&amp;sourceID=14","0.000269")</f>
        <v>0.000269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HYPERLINK("http://141.218.60.56/~jnz1568/getInfo.php?workbook=11_02.xlsx&amp;sheet=U0&amp;row=478&amp;col=6&amp;number=4.4&amp;sourceID=14","4.4")</f>
        <v>4.4</v>
      </c>
      <c r="G478" s="4" t="str">
        <f>HYPERLINK("http://141.218.60.56/~jnz1568/getInfo.php?workbook=11_02.xlsx&amp;sheet=U0&amp;row=478&amp;col=7&amp;number=0.000268&amp;sourceID=14","0.000268")</f>
        <v>0.000268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HYPERLINK("http://141.218.60.56/~jnz1568/getInfo.php?workbook=11_02.xlsx&amp;sheet=U0&amp;row=479&amp;col=6&amp;number=4.5&amp;sourceID=14","4.5")</f>
        <v>4.5</v>
      </c>
      <c r="G479" s="4" t="str">
        <f>HYPERLINK("http://141.218.60.56/~jnz1568/getInfo.php?workbook=11_02.xlsx&amp;sheet=U0&amp;row=479&amp;col=7&amp;number=0.000267&amp;sourceID=14","0.000267")</f>
        <v>0.000267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HYPERLINK("http://141.218.60.56/~jnz1568/getInfo.php?workbook=11_02.xlsx&amp;sheet=U0&amp;row=480&amp;col=6&amp;number=4.6&amp;sourceID=14","4.6")</f>
        <v>4.6</v>
      </c>
      <c r="G480" s="4" t="str">
        <f>HYPERLINK("http://141.218.60.56/~jnz1568/getInfo.php?workbook=11_02.xlsx&amp;sheet=U0&amp;row=480&amp;col=7&amp;number=0.000265&amp;sourceID=14","0.000265")</f>
        <v>0.000265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HYPERLINK("http://141.218.60.56/~jnz1568/getInfo.php?workbook=11_02.xlsx&amp;sheet=U0&amp;row=481&amp;col=6&amp;number=4.7&amp;sourceID=14","4.7")</f>
        <v>4.7</v>
      </c>
      <c r="G481" s="4" t="str">
        <f>HYPERLINK("http://141.218.60.56/~jnz1568/getInfo.php?workbook=11_02.xlsx&amp;sheet=U0&amp;row=481&amp;col=7&amp;number=0.000264&amp;sourceID=14","0.000264")</f>
        <v>0.000264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HYPERLINK("http://141.218.60.56/~jnz1568/getInfo.php?workbook=11_02.xlsx&amp;sheet=U0&amp;row=482&amp;col=6&amp;number=4.8&amp;sourceID=14","4.8")</f>
        <v>4.8</v>
      </c>
      <c r="G482" s="4" t="str">
        <f>HYPERLINK("http://141.218.60.56/~jnz1568/getInfo.php?workbook=11_02.xlsx&amp;sheet=U0&amp;row=482&amp;col=7&amp;number=0.000262&amp;sourceID=14","0.000262")</f>
        <v>0.000262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HYPERLINK("http://141.218.60.56/~jnz1568/getInfo.php?workbook=11_02.xlsx&amp;sheet=U0&amp;row=483&amp;col=6&amp;number=4.9&amp;sourceID=14","4.9")</f>
        <v>4.9</v>
      </c>
      <c r="G483" s="4" t="str">
        <f>HYPERLINK("http://141.218.60.56/~jnz1568/getInfo.php?workbook=11_02.xlsx&amp;sheet=U0&amp;row=483&amp;col=7&amp;number=0.00026&amp;sourceID=14","0.00026")</f>
        <v>0.00026</v>
      </c>
    </row>
    <row r="484" spans="1:7">
      <c r="A484" s="3">
        <v>11</v>
      </c>
      <c r="B484" s="3">
        <v>2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HYPERLINK("http://141.218.60.56/~jnz1568/getInfo.php?workbook=11_02.xlsx&amp;sheet=U0&amp;row=484&amp;col=6&amp;number=3&amp;sourceID=14","3")</f>
        <v>3</v>
      </c>
      <c r="G484" s="4" t="str">
        <f>HYPERLINK("http://141.218.60.56/~jnz1568/getInfo.php?workbook=11_02.xlsx&amp;sheet=U0&amp;row=484&amp;col=7&amp;number=5.32e-05&amp;sourceID=14","5.32e-05")</f>
        <v>5.32e-05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HYPERLINK("http://141.218.60.56/~jnz1568/getInfo.php?workbook=11_02.xlsx&amp;sheet=U0&amp;row=485&amp;col=6&amp;number=3.1&amp;sourceID=14","3.1")</f>
        <v>3.1</v>
      </c>
      <c r="G485" s="4" t="str">
        <f>HYPERLINK("http://141.218.60.56/~jnz1568/getInfo.php?workbook=11_02.xlsx&amp;sheet=U0&amp;row=485&amp;col=7&amp;number=5.32e-05&amp;sourceID=14","5.32e-05")</f>
        <v>5.32e-05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HYPERLINK("http://141.218.60.56/~jnz1568/getInfo.php?workbook=11_02.xlsx&amp;sheet=U0&amp;row=486&amp;col=6&amp;number=3.2&amp;sourceID=14","3.2")</f>
        <v>3.2</v>
      </c>
      <c r="G486" s="4" t="str">
        <f>HYPERLINK("http://141.218.60.56/~jnz1568/getInfo.php?workbook=11_02.xlsx&amp;sheet=U0&amp;row=486&amp;col=7&amp;number=5.32e-05&amp;sourceID=14","5.32e-05")</f>
        <v>5.32e-05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HYPERLINK("http://141.218.60.56/~jnz1568/getInfo.php?workbook=11_02.xlsx&amp;sheet=U0&amp;row=487&amp;col=6&amp;number=3.3&amp;sourceID=14","3.3")</f>
        <v>3.3</v>
      </c>
      <c r="G487" s="4" t="str">
        <f>HYPERLINK("http://141.218.60.56/~jnz1568/getInfo.php?workbook=11_02.xlsx&amp;sheet=U0&amp;row=487&amp;col=7&amp;number=5.31e-05&amp;sourceID=14","5.31e-05")</f>
        <v>5.31e-05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HYPERLINK("http://141.218.60.56/~jnz1568/getInfo.php?workbook=11_02.xlsx&amp;sheet=U0&amp;row=488&amp;col=6&amp;number=3.4&amp;sourceID=14","3.4")</f>
        <v>3.4</v>
      </c>
      <c r="G488" s="4" t="str">
        <f>HYPERLINK("http://141.218.60.56/~jnz1568/getInfo.php?workbook=11_02.xlsx&amp;sheet=U0&amp;row=488&amp;col=7&amp;number=5.31e-05&amp;sourceID=14","5.31e-05")</f>
        <v>5.31e-05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HYPERLINK("http://141.218.60.56/~jnz1568/getInfo.php?workbook=11_02.xlsx&amp;sheet=U0&amp;row=489&amp;col=6&amp;number=3.5&amp;sourceID=14","3.5")</f>
        <v>3.5</v>
      </c>
      <c r="G489" s="4" t="str">
        <f>HYPERLINK("http://141.218.60.56/~jnz1568/getInfo.php?workbook=11_02.xlsx&amp;sheet=U0&amp;row=489&amp;col=7&amp;number=5.31e-05&amp;sourceID=14","5.31e-05")</f>
        <v>5.31e-05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HYPERLINK("http://141.218.60.56/~jnz1568/getInfo.php?workbook=11_02.xlsx&amp;sheet=U0&amp;row=490&amp;col=6&amp;number=3.6&amp;sourceID=14","3.6")</f>
        <v>3.6</v>
      </c>
      <c r="G490" s="4" t="str">
        <f>HYPERLINK("http://141.218.60.56/~jnz1568/getInfo.php?workbook=11_02.xlsx&amp;sheet=U0&amp;row=490&amp;col=7&amp;number=5.3e-05&amp;sourceID=14","5.3e-05")</f>
        <v>5.3e-05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HYPERLINK("http://141.218.60.56/~jnz1568/getInfo.php?workbook=11_02.xlsx&amp;sheet=U0&amp;row=491&amp;col=6&amp;number=3.7&amp;sourceID=14","3.7")</f>
        <v>3.7</v>
      </c>
      <c r="G491" s="4" t="str">
        <f>HYPERLINK("http://141.218.60.56/~jnz1568/getInfo.php?workbook=11_02.xlsx&amp;sheet=U0&amp;row=491&amp;col=7&amp;number=5.3e-05&amp;sourceID=14","5.3e-05")</f>
        <v>5.3e-05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HYPERLINK("http://141.218.60.56/~jnz1568/getInfo.php?workbook=11_02.xlsx&amp;sheet=U0&amp;row=492&amp;col=6&amp;number=3.8&amp;sourceID=14","3.8")</f>
        <v>3.8</v>
      </c>
      <c r="G492" s="4" t="str">
        <f>HYPERLINK("http://141.218.60.56/~jnz1568/getInfo.php?workbook=11_02.xlsx&amp;sheet=U0&amp;row=492&amp;col=7&amp;number=5.29e-05&amp;sourceID=14","5.29e-05")</f>
        <v>5.29e-05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HYPERLINK("http://141.218.60.56/~jnz1568/getInfo.php?workbook=11_02.xlsx&amp;sheet=U0&amp;row=493&amp;col=6&amp;number=3.9&amp;sourceID=14","3.9")</f>
        <v>3.9</v>
      </c>
      <c r="G493" s="4" t="str">
        <f>HYPERLINK("http://141.218.60.56/~jnz1568/getInfo.php?workbook=11_02.xlsx&amp;sheet=U0&amp;row=493&amp;col=7&amp;number=5.28e-05&amp;sourceID=14","5.28e-05")</f>
        <v>5.28e-05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HYPERLINK("http://141.218.60.56/~jnz1568/getInfo.php?workbook=11_02.xlsx&amp;sheet=U0&amp;row=494&amp;col=6&amp;number=4&amp;sourceID=14","4")</f>
        <v>4</v>
      </c>
      <c r="G494" s="4" t="str">
        <f>HYPERLINK("http://141.218.60.56/~jnz1568/getInfo.php?workbook=11_02.xlsx&amp;sheet=U0&amp;row=494&amp;col=7&amp;number=5.27e-05&amp;sourceID=14","5.27e-05")</f>
        <v>5.27e-05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HYPERLINK("http://141.218.60.56/~jnz1568/getInfo.php?workbook=11_02.xlsx&amp;sheet=U0&amp;row=495&amp;col=6&amp;number=4.1&amp;sourceID=14","4.1")</f>
        <v>4.1</v>
      </c>
      <c r="G495" s="4" t="str">
        <f>HYPERLINK("http://141.218.60.56/~jnz1568/getInfo.php?workbook=11_02.xlsx&amp;sheet=U0&amp;row=495&amp;col=7&amp;number=5.26e-05&amp;sourceID=14","5.26e-05")</f>
        <v>5.26e-05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HYPERLINK("http://141.218.60.56/~jnz1568/getInfo.php?workbook=11_02.xlsx&amp;sheet=U0&amp;row=496&amp;col=6&amp;number=4.2&amp;sourceID=14","4.2")</f>
        <v>4.2</v>
      </c>
      <c r="G496" s="4" t="str">
        <f>HYPERLINK("http://141.218.60.56/~jnz1568/getInfo.php?workbook=11_02.xlsx&amp;sheet=U0&amp;row=496&amp;col=7&amp;number=5.24e-05&amp;sourceID=14","5.24e-05")</f>
        <v>5.24e-05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HYPERLINK("http://141.218.60.56/~jnz1568/getInfo.php?workbook=11_02.xlsx&amp;sheet=U0&amp;row=497&amp;col=6&amp;number=4.3&amp;sourceID=14","4.3")</f>
        <v>4.3</v>
      </c>
      <c r="G497" s="4" t="str">
        <f>HYPERLINK("http://141.218.60.56/~jnz1568/getInfo.php?workbook=11_02.xlsx&amp;sheet=U0&amp;row=497&amp;col=7&amp;number=5.22e-05&amp;sourceID=14","5.22e-05")</f>
        <v>5.22e-05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HYPERLINK("http://141.218.60.56/~jnz1568/getInfo.php?workbook=11_02.xlsx&amp;sheet=U0&amp;row=498&amp;col=6&amp;number=4.4&amp;sourceID=14","4.4")</f>
        <v>4.4</v>
      </c>
      <c r="G498" s="4" t="str">
        <f>HYPERLINK("http://141.218.60.56/~jnz1568/getInfo.php?workbook=11_02.xlsx&amp;sheet=U0&amp;row=498&amp;col=7&amp;number=5.2e-05&amp;sourceID=14","5.2e-05")</f>
        <v>5.2e-05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HYPERLINK("http://141.218.60.56/~jnz1568/getInfo.php?workbook=11_02.xlsx&amp;sheet=U0&amp;row=499&amp;col=6&amp;number=4.5&amp;sourceID=14","4.5")</f>
        <v>4.5</v>
      </c>
      <c r="G499" s="4" t="str">
        <f>HYPERLINK("http://141.218.60.56/~jnz1568/getInfo.php?workbook=11_02.xlsx&amp;sheet=U0&amp;row=499&amp;col=7&amp;number=5.17e-05&amp;sourceID=14","5.17e-05")</f>
        <v>5.17e-05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HYPERLINK("http://141.218.60.56/~jnz1568/getInfo.php?workbook=11_02.xlsx&amp;sheet=U0&amp;row=500&amp;col=6&amp;number=4.6&amp;sourceID=14","4.6")</f>
        <v>4.6</v>
      </c>
      <c r="G500" s="4" t="str">
        <f>HYPERLINK("http://141.218.60.56/~jnz1568/getInfo.php?workbook=11_02.xlsx&amp;sheet=U0&amp;row=500&amp;col=7&amp;number=5.13e-05&amp;sourceID=14","5.13e-05")</f>
        <v>5.13e-05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HYPERLINK("http://141.218.60.56/~jnz1568/getInfo.php?workbook=11_02.xlsx&amp;sheet=U0&amp;row=501&amp;col=6&amp;number=4.7&amp;sourceID=14","4.7")</f>
        <v>4.7</v>
      </c>
      <c r="G501" s="4" t="str">
        <f>HYPERLINK("http://141.218.60.56/~jnz1568/getInfo.php?workbook=11_02.xlsx&amp;sheet=U0&amp;row=501&amp;col=7&amp;number=5.08e-05&amp;sourceID=14","5.08e-05")</f>
        <v>5.08e-05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HYPERLINK("http://141.218.60.56/~jnz1568/getInfo.php?workbook=11_02.xlsx&amp;sheet=U0&amp;row=502&amp;col=6&amp;number=4.8&amp;sourceID=14","4.8")</f>
        <v>4.8</v>
      </c>
      <c r="G502" s="4" t="str">
        <f>HYPERLINK("http://141.218.60.56/~jnz1568/getInfo.php?workbook=11_02.xlsx&amp;sheet=U0&amp;row=502&amp;col=7&amp;number=5.02e-05&amp;sourceID=14","5.02e-05")</f>
        <v>5.02e-05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HYPERLINK("http://141.218.60.56/~jnz1568/getInfo.php?workbook=11_02.xlsx&amp;sheet=U0&amp;row=503&amp;col=6&amp;number=4.9&amp;sourceID=14","4.9")</f>
        <v>4.9</v>
      </c>
      <c r="G503" s="4" t="str">
        <f>HYPERLINK("http://141.218.60.56/~jnz1568/getInfo.php?workbook=11_02.xlsx&amp;sheet=U0&amp;row=503&amp;col=7&amp;number=4.95e-05&amp;sourceID=14","4.95e-05")</f>
        <v>4.95e-05</v>
      </c>
    </row>
    <row r="504" spans="1:7">
      <c r="A504" s="3">
        <v>11</v>
      </c>
      <c r="B504" s="3">
        <v>2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HYPERLINK("http://141.218.60.56/~jnz1568/getInfo.php?workbook=11_02.xlsx&amp;sheet=U0&amp;row=504&amp;col=6&amp;number=3&amp;sourceID=14","3")</f>
        <v>3</v>
      </c>
      <c r="G504" s="4" t="str">
        <f>HYPERLINK("http://141.218.60.56/~jnz1568/getInfo.php?workbook=11_02.xlsx&amp;sheet=U0&amp;row=504&amp;col=7&amp;number=8.54e-05&amp;sourceID=14","8.54e-05")</f>
        <v>8.54e-05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HYPERLINK("http://141.218.60.56/~jnz1568/getInfo.php?workbook=11_02.xlsx&amp;sheet=U0&amp;row=505&amp;col=6&amp;number=3.1&amp;sourceID=14","3.1")</f>
        <v>3.1</v>
      </c>
      <c r="G505" s="4" t="str">
        <f>HYPERLINK("http://141.218.60.56/~jnz1568/getInfo.php?workbook=11_02.xlsx&amp;sheet=U0&amp;row=505&amp;col=7&amp;number=8.54e-05&amp;sourceID=14","8.54e-05")</f>
        <v>8.54e-05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HYPERLINK("http://141.218.60.56/~jnz1568/getInfo.php?workbook=11_02.xlsx&amp;sheet=U0&amp;row=506&amp;col=6&amp;number=3.2&amp;sourceID=14","3.2")</f>
        <v>3.2</v>
      </c>
      <c r="G506" s="4" t="str">
        <f>HYPERLINK("http://141.218.60.56/~jnz1568/getInfo.php?workbook=11_02.xlsx&amp;sheet=U0&amp;row=506&amp;col=7&amp;number=8.54e-05&amp;sourceID=14","8.54e-05")</f>
        <v>8.54e-05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HYPERLINK("http://141.218.60.56/~jnz1568/getInfo.php?workbook=11_02.xlsx&amp;sheet=U0&amp;row=507&amp;col=6&amp;number=3.3&amp;sourceID=14","3.3")</f>
        <v>3.3</v>
      </c>
      <c r="G507" s="4" t="str">
        <f>HYPERLINK("http://141.218.60.56/~jnz1568/getInfo.php?workbook=11_02.xlsx&amp;sheet=U0&amp;row=507&amp;col=7&amp;number=8.53e-05&amp;sourceID=14","8.53e-05")</f>
        <v>8.53e-05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HYPERLINK("http://141.218.60.56/~jnz1568/getInfo.php?workbook=11_02.xlsx&amp;sheet=U0&amp;row=508&amp;col=6&amp;number=3.4&amp;sourceID=14","3.4")</f>
        <v>3.4</v>
      </c>
      <c r="G508" s="4" t="str">
        <f>HYPERLINK("http://141.218.60.56/~jnz1568/getInfo.php?workbook=11_02.xlsx&amp;sheet=U0&amp;row=508&amp;col=7&amp;number=8.53e-05&amp;sourceID=14","8.53e-05")</f>
        <v>8.53e-05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HYPERLINK("http://141.218.60.56/~jnz1568/getInfo.php?workbook=11_02.xlsx&amp;sheet=U0&amp;row=509&amp;col=6&amp;number=3.5&amp;sourceID=14","3.5")</f>
        <v>3.5</v>
      </c>
      <c r="G509" s="4" t="str">
        <f>HYPERLINK("http://141.218.60.56/~jnz1568/getInfo.php?workbook=11_02.xlsx&amp;sheet=U0&amp;row=509&amp;col=7&amp;number=8.53e-05&amp;sourceID=14","8.53e-05")</f>
        <v>8.53e-05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HYPERLINK("http://141.218.60.56/~jnz1568/getInfo.php?workbook=11_02.xlsx&amp;sheet=U0&amp;row=510&amp;col=6&amp;number=3.6&amp;sourceID=14","3.6")</f>
        <v>3.6</v>
      </c>
      <c r="G510" s="4" t="str">
        <f>HYPERLINK("http://141.218.60.56/~jnz1568/getInfo.php?workbook=11_02.xlsx&amp;sheet=U0&amp;row=510&amp;col=7&amp;number=8.52e-05&amp;sourceID=14","8.52e-05")</f>
        <v>8.52e-05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HYPERLINK("http://141.218.60.56/~jnz1568/getInfo.php?workbook=11_02.xlsx&amp;sheet=U0&amp;row=511&amp;col=6&amp;number=3.7&amp;sourceID=14","3.7")</f>
        <v>3.7</v>
      </c>
      <c r="G511" s="4" t="str">
        <f>HYPERLINK("http://141.218.60.56/~jnz1568/getInfo.php?workbook=11_02.xlsx&amp;sheet=U0&amp;row=511&amp;col=7&amp;number=8.52e-05&amp;sourceID=14","8.52e-05")</f>
        <v>8.52e-05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HYPERLINK("http://141.218.60.56/~jnz1568/getInfo.php?workbook=11_02.xlsx&amp;sheet=U0&amp;row=512&amp;col=6&amp;number=3.8&amp;sourceID=14","3.8")</f>
        <v>3.8</v>
      </c>
      <c r="G512" s="4" t="str">
        <f>HYPERLINK("http://141.218.60.56/~jnz1568/getInfo.php?workbook=11_02.xlsx&amp;sheet=U0&amp;row=512&amp;col=7&amp;number=8.51e-05&amp;sourceID=14","8.51e-05")</f>
        <v>8.51e-05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HYPERLINK("http://141.218.60.56/~jnz1568/getInfo.php?workbook=11_02.xlsx&amp;sheet=U0&amp;row=513&amp;col=6&amp;number=3.9&amp;sourceID=14","3.9")</f>
        <v>3.9</v>
      </c>
      <c r="G513" s="4" t="str">
        <f>HYPERLINK("http://141.218.60.56/~jnz1568/getInfo.php?workbook=11_02.xlsx&amp;sheet=U0&amp;row=513&amp;col=7&amp;number=8.5e-05&amp;sourceID=14","8.5e-05")</f>
        <v>8.5e-05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HYPERLINK("http://141.218.60.56/~jnz1568/getInfo.php?workbook=11_02.xlsx&amp;sheet=U0&amp;row=514&amp;col=6&amp;number=4&amp;sourceID=14","4")</f>
        <v>4</v>
      </c>
      <c r="G514" s="4" t="str">
        <f>HYPERLINK("http://141.218.60.56/~jnz1568/getInfo.php?workbook=11_02.xlsx&amp;sheet=U0&amp;row=514&amp;col=7&amp;number=8.49e-05&amp;sourceID=14","8.49e-05")</f>
        <v>8.49e-05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HYPERLINK("http://141.218.60.56/~jnz1568/getInfo.php?workbook=11_02.xlsx&amp;sheet=U0&amp;row=515&amp;col=6&amp;number=4.1&amp;sourceID=14","4.1")</f>
        <v>4.1</v>
      </c>
      <c r="G515" s="4" t="str">
        <f>HYPERLINK("http://141.218.60.56/~jnz1568/getInfo.php?workbook=11_02.xlsx&amp;sheet=U0&amp;row=515&amp;col=7&amp;number=8.48e-05&amp;sourceID=14","8.48e-05")</f>
        <v>8.48e-05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HYPERLINK("http://141.218.60.56/~jnz1568/getInfo.php?workbook=11_02.xlsx&amp;sheet=U0&amp;row=516&amp;col=6&amp;number=4.2&amp;sourceID=14","4.2")</f>
        <v>4.2</v>
      </c>
      <c r="G516" s="4" t="str">
        <f>HYPERLINK("http://141.218.60.56/~jnz1568/getInfo.php?workbook=11_02.xlsx&amp;sheet=U0&amp;row=516&amp;col=7&amp;number=8.46e-05&amp;sourceID=14","8.46e-05")</f>
        <v>8.46e-05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HYPERLINK("http://141.218.60.56/~jnz1568/getInfo.php?workbook=11_02.xlsx&amp;sheet=U0&amp;row=517&amp;col=6&amp;number=4.3&amp;sourceID=14","4.3")</f>
        <v>4.3</v>
      </c>
      <c r="G517" s="4" t="str">
        <f>HYPERLINK("http://141.218.60.56/~jnz1568/getInfo.php?workbook=11_02.xlsx&amp;sheet=U0&amp;row=517&amp;col=7&amp;number=8.44e-05&amp;sourceID=14","8.44e-05")</f>
        <v>8.44e-05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HYPERLINK("http://141.218.60.56/~jnz1568/getInfo.php?workbook=11_02.xlsx&amp;sheet=U0&amp;row=518&amp;col=6&amp;number=4.4&amp;sourceID=14","4.4")</f>
        <v>4.4</v>
      </c>
      <c r="G518" s="4" t="str">
        <f>HYPERLINK("http://141.218.60.56/~jnz1568/getInfo.php?workbook=11_02.xlsx&amp;sheet=U0&amp;row=518&amp;col=7&amp;number=8.41e-05&amp;sourceID=14","8.41e-05")</f>
        <v>8.41e-05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HYPERLINK("http://141.218.60.56/~jnz1568/getInfo.php?workbook=11_02.xlsx&amp;sheet=U0&amp;row=519&amp;col=6&amp;number=4.5&amp;sourceID=14","4.5")</f>
        <v>4.5</v>
      </c>
      <c r="G519" s="4" t="str">
        <f>HYPERLINK("http://141.218.60.56/~jnz1568/getInfo.php?workbook=11_02.xlsx&amp;sheet=U0&amp;row=519&amp;col=7&amp;number=8.37e-05&amp;sourceID=14","8.37e-05")</f>
        <v>8.37e-05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HYPERLINK("http://141.218.60.56/~jnz1568/getInfo.php?workbook=11_02.xlsx&amp;sheet=U0&amp;row=520&amp;col=6&amp;number=4.6&amp;sourceID=14","4.6")</f>
        <v>4.6</v>
      </c>
      <c r="G520" s="4" t="str">
        <f>HYPERLINK("http://141.218.60.56/~jnz1568/getInfo.php?workbook=11_02.xlsx&amp;sheet=U0&amp;row=520&amp;col=7&amp;number=8.33e-05&amp;sourceID=14","8.33e-05")</f>
        <v>8.33e-05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HYPERLINK("http://141.218.60.56/~jnz1568/getInfo.php?workbook=11_02.xlsx&amp;sheet=U0&amp;row=521&amp;col=6&amp;number=4.7&amp;sourceID=14","4.7")</f>
        <v>4.7</v>
      </c>
      <c r="G521" s="4" t="str">
        <f>HYPERLINK("http://141.218.60.56/~jnz1568/getInfo.php?workbook=11_02.xlsx&amp;sheet=U0&amp;row=521&amp;col=7&amp;number=8.27e-05&amp;sourceID=14","8.27e-05")</f>
        <v>8.27e-05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HYPERLINK("http://141.218.60.56/~jnz1568/getInfo.php?workbook=11_02.xlsx&amp;sheet=U0&amp;row=522&amp;col=6&amp;number=4.8&amp;sourceID=14","4.8")</f>
        <v>4.8</v>
      </c>
      <c r="G522" s="4" t="str">
        <f>HYPERLINK("http://141.218.60.56/~jnz1568/getInfo.php?workbook=11_02.xlsx&amp;sheet=U0&amp;row=522&amp;col=7&amp;number=8.2e-05&amp;sourceID=14","8.2e-05")</f>
        <v>8.2e-05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HYPERLINK("http://141.218.60.56/~jnz1568/getInfo.php?workbook=11_02.xlsx&amp;sheet=U0&amp;row=523&amp;col=6&amp;number=4.9&amp;sourceID=14","4.9")</f>
        <v>4.9</v>
      </c>
      <c r="G523" s="4" t="str">
        <f>HYPERLINK("http://141.218.60.56/~jnz1568/getInfo.php?workbook=11_02.xlsx&amp;sheet=U0&amp;row=523&amp;col=7&amp;number=8.12e-05&amp;sourceID=14","8.12e-05")</f>
        <v>8.12e-05</v>
      </c>
    </row>
    <row r="524" spans="1:7">
      <c r="A524" s="3">
        <v>11</v>
      </c>
      <c r="B524" s="3">
        <v>2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HYPERLINK("http://141.218.60.56/~jnz1568/getInfo.php?workbook=11_02.xlsx&amp;sheet=U0&amp;row=524&amp;col=6&amp;number=3&amp;sourceID=14","3")</f>
        <v>3</v>
      </c>
      <c r="G524" s="4" t="str">
        <f>HYPERLINK("http://141.218.60.56/~jnz1568/getInfo.php?workbook=11_02.xlsx&amp;sheet=U0&amp;row=524&amp;col=7&amp;number=9.52e-05&amp;sourceID=14","9.52e-05")</f>
        <v>9.52e-05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HYPERLINK("http://141.218.60.56/~jnz1568/getInfo.php?workbook=11_02.xlsx&amp;sheet=U0&amp;row=525&amp;col=6&amp;number=3.1&amp;sourceID=14","3.1")</f>
        <v>3.1</v>
      </c>
      <c r="G525" s="4" t="str">
        <f>HYPERLINK("http://141.218.60.56/~jnz1568/getInfo.php?workbook=11_02.xlsx&amp;sheet=U0&amp;row=525&amp;col=7&amp;number=9.52e-05&amp;sourceID=14","9.52e-05")</f>
        <v>9.52e-05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HYPERLINK("http://141.218.60.56/~jnz1568/getInfo.php?workbook=11_02.xlsx&amp;sheet=U0&amp;row=526&amp;col=6&amp;number=3.2&amp;sourceID=14","3.2")</f>
        <v>3.2</v>
      </c>
      <c r="G526" s="4" t="str">
        <f>HYPERLINK("http://141.218.60.56/~jnz1568/getInfo.php?workbook=11_02.xlsx&amp;sheet=U0&amp;row=526&amp;col=7&amp;number=9.52e-05&amp;sourceID=14","9.52e-05")</f>
        <v>9.52e-05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HYPERLINK("http://141.218.60.56/~jnz1568/getInfo.php?workbook=11_02.xlsx&amp;sheet=U0&amp;row=527&amp;col=6&amp;number=3.3&amp;sourceID=14","3.3")</f>
        <v>3.3</v>
      </c>
      <c r="G527" s="4" t="str">
        <f>HYPERLINK("http://141.218.60.56/~jnz1568/getInfo.php?workbook=11_02.xlsx&amp;sheet=U0&amp;row=527&amp;col=7&amp;number=9.52e-05&amp;sourceID=14","9.52e-05")</f>
        <v>9.52e-05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HYPERLINK("http://141.218.60.56/~jnz1568/getInfo.php?workbook=11_02.xlsx&amp;sheet=U0&amp;row=528&amp;col=6&amp;number=3.4&amp;sourceID=14","3.4")</f>
        <v>3.4</v>
      </c>
      <c r="G528" s="4" t="str">
        <f>HYPERLINK("http://141.218.60.56/~jnz1568/getInfo.php?workbook=11_02.xlsx&amp;sheet=U0&amp;row=528&amp;col=7&amp;number=9.51e-05&amp;sourceID=14","9.51e-05")</f>
        <v>9.51e-05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HYPERLINK("http://141.218.60.56/~jnz1568/getInfo.php?workbook=11_02.xlsx&amp;sheet=U0&amp;row=529&amp;col=6&amp;number=3.5&amp;sourceID=14","3.5")</f>
        <v>3.5</v>
      </c>
      <c r="G529" s="4" t="str">
        <f>HYPERLINK("http://141.218.60.56/~jnz1568/getInfo.php?workbook=11_02.xlsx&amp;sheet=U0&amp;row=529&amp;col=7&amp;number=9.51e-05&amp;sourceID=14","9.51e-05")</f>
        <v>9.51e-05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HYPERLINK("http://141.218.60.56/~jnz1568/getInfo.php?workbook=11_02.xlsx&amp;sheet=U0&amp;row=530&amp;col=6&amp;number=3.6&amp;sourceID=14","3.6")</f>
        <v>3.6</v>
      </c>
      <c r="G530" s="4" t="str">
        <f>HYPERLINK("http://141.218.60.56/~jnz1568/getInfo.php?workbook=11_02.xlsx&amp;sheet=U0&amp;row=530&amp;col=7&amp;number=9.5e-05&amp;sourceID=14","9.5e-05")</f>
        <v>9.5e-05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HYPERLINK("http://141.218.60.56/~jnz1568/getInfo.php?workbook=11_02.xlsx&amp;sheet=U0&amp;row=531&amp;col=6&amp;number=3.7&amp;sourceID=14","3.7")</f>
        <v>3.7</v>
      </c>
      <c r="G531" s="4" t="str">
        <f>HYPERLINK("http://141.218.60.56/~jnz1568/getInfo.php?workbook=11_02.xlsx&amp;sheet=U0&amp;row=531&amp;col=7&amp;number=9.49e-05&amp;sourceID=14","9.49e-05")</f>
        <v>9.49e-05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HYPERLINK("http://141.218.60.56/~jnz1568/getInfo.php?workbook=11_02.xlsx&amp;sheet=U0&amp;row=532&amp;col=6&amp;number=3.8&amp;sourceID=14","3.8")</f>
        <v>3.8</v>
      </c>
      <c r="G532" s="4" t="str">
        <f>HYPERLINK("http://141.218.60.56/~jnz1568/getInfo.php?workbook=11_02.xlsx&amp;sheet=U0&amp;row=532&amp;col=7&amp;number=9.48e-05&amp;sourceID=14","9.48e-05")</f>
        <v>9.48e-05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HYPERLINK("http://141.218.60.56/~jnz1568/getInfo.php?workbook=11_02.xlsx&amp;sheet=U0&amp;row=533&amp;col=6&amp;number=3.9&amp;sourceID=14","3.9")</f>
        <v>3.9</v>
      </c>
      <c r="G533" s="4" t="str">
        <f>HYPERLINK("http://141.218.60.56/~jnz1568/getInfo.php?workbook=11_02.xlsx&amp;sheet=U0&amp;row=533&amp;col=7&amp;number=9.46e-05&amp;sourceID=14","9.46e-05")</f>
        <v>9.46e-05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HYPERLINK("http://141.218.60.56/~jnz1568/getInfo.php?workbook=11_02.xlsx&amp;sheet=U0&amp;row=534&amp;col=6&amp;number=4&amp;sourceID=14","4")</f>
        <v>4</v>
      </c>
      <c r="G534" s="4" t="str">
        <f>HYPERLINK("http://141.218.60.56/~jnz1568/getInfo.php?workbook=11_02.xlsx&amp;sheet=U0&amp;row=534&amp;col=7&amp;number=9.44e-05&amp;sourceID=14","9.44e-05")</f>
        <v>9.44e-05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HYPERLINK("http://141.218.60.56/~jnz1568/getInfo.php?workbook=11_02.xlsx&amp;sheet=U0&amp;row=535&amp;col=6&amp;number=4.1&amp;sourceID=14","4.1")</f>
        <v>4.1</v>
      </c>
      <c r="G535" s="4" t="str">
        <f>HYPERLINK("http://141.218.60.56/~jnz1568/getInfo.php?workbook=11_02.xlsx&amp;sheet=U0&amp;row=535&amp;col=7&amp;number=9.42e-05&amp;sourceID=14","9.42e-05")</f>
        <v>9.42e-05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HYPERLINK("http://141.218.60.56/~jnz1568/getInfo.php?workbook=11_02.xlsx&amp;sheet=U0&amp;row=536&amp;col=6&amp;number=4.2&amp;sourceID=14","4.2")</f>
        <v>4.2</v>
      </c>
      <c r="G536" s="4" t="str">
        <f>HYPERLINK("http://141.218.60.56/~jnz1568/getInfo.php?workbook=11_02.xlsx&amp;sheet=U0&amp;row=536&amp;col=7&amp;number=9.39e-05&amp;sourceID=14","9.39e-05")</f>
        <v>9.39e-05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HYPERLINK("http://141.218.60.56/~jnz1568/getInfo.php?workbook=11_02.xlsx&amp;sheet=U0&amp;row=537&amp;col=6&amp;number=4.3&amp;sourceID=14","4.3")</f>
        <v>4.3</v>
      </c>
      <c r="G537" s="4" t="str">
        <f>HYPERLINK("http://141.218.60.56/~jnz1568/getInfo.php?workbook=11_02.xlsx&amp;sheet=U0&amp;row=537&amp;col=7&amp;number=9.36e-05&amp;sourceID=14","9.36e-05")</f>
        <v>9.36e-05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HYPERLINK("http://141.218.60.56/~jnz1568/getInfo.php?workbook=11_02.xlsx&amp;sheet=U0&amp;row=538&amp;col=6&amp;number=4.4&amp;sourceID=14","4.4")</f>
        <v>4.4</v>
      </c>
      <c r="G538" s="4" t="str">
        <f>HYPERLINK("http://141.218.60.56/~jnz1568/getInfo.php?workbook=11_02.xlsx&amp;sheet=U0&amp;row=538&amp;col=7&amp;number=9.31e-05&amp;sourceID=14","9.31e-05")</f>
        <v>9.31e-05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HYPERLINK("http://141.218.60.56/~jnz1568/getInfo.php?workbook=11_02.xlsx&amp;sheet=U0&amp;row=539&amp;col=6&amp;number=4.5&amp;sourceID=14","4.5")</f>
        <v>4.5</v>
      </c>
      <c r="G539" s="4" t="str">
        <f>HYPERLINK("http://141.218.60.56/~jnz1568/getInfo.php?workbook=11_02.xlsx&amp;sheet=U0&amp;row=539&amp;col=7&amp;number=9.26e-05&amp;sourceID=14","9.26e-05")</f>
        <v>9.26e-05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HYPERLINK("http://141.218.60.56/~jnz1568/getInfo.php?workbook=11_02.xlsx&amp;sheet=U0&amp;row=540&amp;col=6&amp;number=4.6&amp;sourceID=14","4.6")</f>
        <v>4.6</v>
      </c>
      <c r="G540" s="4" t="str">
        <f>HYPERLINK("http://141.218.60.56/~jnz1568/getInfo.php?workbook=11_02.xlsx&amp;sheet=U0&amp;row=540&amp;col=7&amp;number=9.19e-05&amp;sourceID=14","9.19e-05")</f>
        <v>9.19e-05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HYPERLINK("http://141.218.60.56/~jnz1568/getInfo.php?workbook=11_02.xlsx&amp;sheet=U0&amp;row=541&amp;col=6&amp;number=4.7&amp;sourceID=14","4.7")</f>
        <v>4.7</v>
      </c>
      <c r="G541" s="4" t="str">
        <f>HYPERLINK("http://141.218.60.56/~jnz1568/getInfo.php?workbook=11_02.xlsx&amp;sheet=U0&amp;row=541&amp;col=7&amp;number=9.1e-05&amp;sourceID=14","9.1e-05")</f>
        <v>9.1e-05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HYPERLINK("http://141.218.60.56/~jnz1568/getInfo.php?workbook=11_02.xlsx&amp;sheet=U0&amp;row=542&amp;col=6&amp;number=4.8&amp;sourceID=14","4.8")</f>
        <v>4.8</v>
      </c>
      <c r="G542" s="4" t="str">
        <f>HYPERLINK("http://141.218.60.56/~jnz1568/getInfo.php?workbook=11_02.xlsx&amp;sheet=U0&amp;row=542&amp;col=7&amp;number=8.99e-05&amp;sourceID=14","8.99e-05")</f>
        <v>8.99e-05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HYPERLINK("http://141.218.60.56/~jnz1568/getInfo.php?workbook=11_02.xlsx&amp;sheet=U0&amp;row=543&amp;col=6&amp;number=4.9&amp;sourceID=14","4.9")</f>
        <v>4.9</v>
      </c>
      <c r="G543" s="4" t="str">
        <f>HYPERLINK("http://141.218.60.56/~jnz1568/getInfo.php?workbook=11_02.xlsx&amp;sheet=U0&amp;row=543&amp;col=7&amp;number=8.86e-05&amp;sourceID=14","8.86e-05")</f>
        <v>8.86e-05</v>
      </c>
    </row>
    <row r="544" spans="1:7">
      <c r="A544" s="3">
        <v>11</v>
      </c>
      <c r="B544" s="3">
        <v>2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HYPERLINK("http://141.218.60.56/~jnz1568/getInfo.php?workbook=11_02.xlsx&amp;sheet=U0&amp;row=544&amp;col=6&amp;number=3&amp;sourceID=14","3")</f>
        <v>3</v>
      </c>
      <c r="G544" s="4" t="str">
        <f>HYPERLINK("http://141.218.60.56/~jnz1568/getInfo.php?workbook=11_02.xlsx&amp;sheet=U0&amp;row=544&amp;col=7&amp;number=9.06e-05&amp;sourceID=14","9.06e-05")</f>
        <v>9.06e-05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HYPERLINK("http://141.218.60.56/~jnz1568/getInfo.php?workbook=11_02.xlsx&amp;sheet=U0&amp;row=545&amp;col=6&amp;number=3.1&amp;sourceID=14","3.1")</f>
        <v>3.1</v>
      </c>
      <c r="G545" s="4" t="str">
        <f>HYPERLINK("http://141.218.60.56/~jnz1568/getInfo.php?workbook=11_02.xlsx&amp;sheet=U0&amp;row=545&amp;col=7&amp;number=9.06e-05&amp;sourceID=14","9.06e-05")</f>
        <v>9.06e-05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HYPERLINK("http://141.218.60.56/~jnz1568/getInfo.php?workbook=11_02.xlsx&amp;sheet=U0&amp;row=546&amp;col=6&amp;number=3.2&amp;sourceID=14","3.2")</f>
        <v>3.2</v>
      </c>
      <c r="G546" s="4" t="str">
        <f>HYPERLINK("http://141.218.60.56/~jnz1568/getInfo.php?workbook=11_02.xlsx&amp;sheet=U0&amp;row=546&amp;col=7&amp;number=9.06e-05&amp;sourceID=14","9.06e-05")</f>
        <v>9.06e-05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HYPERLINK("http://141.218.60.56/~jnz1568/getInfo.php?workbook=11_02.xlsx&amp;sheet=U0&amp;row=547&amp;col=6&amp;number=3.3&amp;sourceID=14","3.3")</f>
        <v>3.3</v>
      </c>
      <c r="G547" s="4" t="str">
        <f>HYPERLINK("http://141.218.60.56/~jnz1568/getInfo.php?workbook=11_02.xlsx&amp;sheet=U0&amp;row=547&amp;col=7&amp;number=9.06e-05&amp;sourceID=14","9.06e-05")</f>
        <v>9.06e-05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HYPERLINK("http://141.218.60.56/~jnz1568/getInfo.php?workbook=11_02.xlsx&amp;sheet=U0&amp;row=548&amp;col=6&amp;number=3.4&amp;sourceID=14","3.4")</f>
        <v>3.4</v>
      </c>
      <c r="G548" s="4" t="str">
        <f>HYPERLINK("http://141.218.60.56/~jnz1568/getInfo.php?workbook=11_02.xlsx&amp;sheet=U0&amp;row=548&amp;col=7&amp;number=9.06e-05&amp;sourceID=14","9.06e-05")</f>
        <v>9.06e-05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HYPERLINK("http://141.218.60.56/~jnz1568/getInfo.php?workbook=11_02.xlsx&amp;sheet=U0&amp;row=549&amp;col=6&amp;number=3.5&amp;sourceID=14","3.5")</f>
        <v>3.5</v>
      </c>
      <c r="G549" s="4" t="str">
        <f>HYPERLINK("http://141.218.60.56/~jnz1568/getInfo.php?workbook=11_02.xlsx&amp;sheet=U0&amp;row=549&amp;col=7&amp;number=9.05e-05&amp;sourceID=14","9.05e-05")</f>
        <v>9.05e-05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HYPERLINK("http://141.218.60.56/~jnz1568/getInfo.php?workbook=11_02.xlsx&amp;sheet=U0&amp;row=550&amp;col=6&amp;number=3.6&amp;sourceID=14","3.6")</f>
        <v>3.6</v>
      </c>
      <c r="G550" s="4" t="str">
        <f>HYPERLINK("http://141.218.60.56/~jnz1568/getInfo.php?workbook=11_02.xlsx&amp;sheet=U0&amp;row=550&amp;col=7&amp;number=9.05e-05&amp;sourceID=14","9.05e-05")</f>
        <v>9.05e-05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HYPERLINK("http://141.218.60.56/~jnz1568/getInfo.php?workbook=11_02.xlsx&amp;sheet=U0&amp;row=551&amp;col=6&amp;number=3.7&amp;sourceID=14","3.7")</f>
        <v>3.7</v>
      </c>
      <c r="G551" s="4" t="str">
        <f>HYPERLINK("http://141.218.60.56/~jnz1568/getInfo.php?workbook=11_02.xlsx&amp;sheet=U0&amp;row=551&amp;col=7&amp;number=9.05e-05&amp;sourceID=14","9.05e-05")</f>
        <v>9.05e-05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HYPERLINK("http://141.218.60.56/~jnz1568/getInfo.php?workbook=11_02.xlsx&amp;sheet=U0&amp;row=552&amp;col=6&amp;number=3.8&amp;sourceID=14","3.8")</f>
        <v>3.8</v>
      </c>
      <c r="G552" s="4" t="str">
        <f>HYPERLINK("http://141.218.60.56/~jnz1568/getInfo.php?workbook=11_02.xlsx&amp;sheet=U0&amp;row=552&amp;col=7&amp;number=9.04e-05&amp;sourceID=14","9.04e-05")</f>
        <v>9.04e-05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HYPERLINK("http://141.218.60.56/~jnz1568/getInfo.php?workbook=11_02.xlsx&amp;sheet=U0&amp;row=553&amp;col=6&amp;number=3.9&amp;sourceID=14","3.9")</f>
        <v>3.9</v>
      </c>
      <c r="G553" s="4" t="str">
        <f>HYPERLINK("http://141.218.60.56/~jnz1568/getInfo.php?workbook=11_02.xlsx&amp;sheet=U0&amp;row=553&amp;col=7&amp;number=9.03e-05&amp;sourceID=14","9.03e-05")</f>
        <v>9.03e-05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HYPERLINK("http://141.218.60.56/~jnz1568/getInfo.php?workbook=11_02.xlsx&amp;sheet=U0&amp;row=554&amp;col=6&amp;number=4&amp;sourceID=14","4")</f>
        <v>4</v>
      </c>
      <c r="G554" s="4" t="str">
        <f>HYPERLINK("http://141.218.60.56/~jnz1568/getInfo.php?workbook=11_02.xlsx&amp;sheet=U0&amp;row=554&amp;col=7&amp;number=9.02e-05&amp;sourceID=14","9.02e-05")</f>
        <v>9.02e-05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HYPERLINK("http://141.218.60.56/~jnz1568/getInfo.php?workbook=11_02.xlsx&amp;sheet=U0&amp;row=555&amp;col=6&amp;number=4.1&amp;sourceID=14","4.1")</f>
        <v>4.1</v>
      </c>
      <c r="G555" s="4" t="str">
        <f>HYPERLINK("http://141.218.60.56/~jnz1568/getInfo.php?workbook=11_02.xlsx&amp;sheet=U0&amp;row=555&amp;col=7&amp;number=9.01e-05&amp;sourceID=14","9.01e-05")</f>
        <v>9.01e-05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HYPERLINK("http://141.218.60.56/~jnz1568/getInfo.php?workbook=11_02.xlsx&amp;sheet=U0&amp;row=556&amp;col=6&amp;number=4.2&amp;sourceID=14","4.2")</f>
        <v>4.2</v>
      </c>
      <c r="G556" s="4" t="str">
        <f>HYPERLINK("http://141.218.60.56/~jnz1568/getInfo.php?workbook=11_02.xlsx&amp;sheet=U0&amp;row=556&amp;col=7&amp;number=9e-05&amp;sourceID=14","9e-05")</f>
        <v>9e-05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HYPERLINK("http://141.218.60.56/~jnz1568/getInfo.php?workbook=11_02.xlsx&amp;sheet=U0&amp;row=557&amp;col=6&amp;number=4.3&amp;sourceID=14","4.3")</f>
        <v>4.3</v>
      </c>
      <c r="G557" s="4" t="str">
        <f>HYPERLINK("http://141.218.60.56/~jnz1568/getInfo.php?workbook=11_02.xlsx&amp;sheet=U0&amp;row=557&amp;col=7&amp;number=8.98e-05&amp;sourceID=14","8.98e-05")</f>
        <v>8.98e-05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HYPERLINK("http://141.218.60.56/~jnz1568/getInfo.php?workbook=11_02.xlsx&amp;sheet=U0&amp;row=558&amp;col=6&amp;number=4.4&amp;sourceID=14","4.4")</f>
        <v>4.4</v>
      </c>
      <c r="G558" s="4" t="str">
        <f>HYPERLINK("http://141.218.60.56/~jnz1568/getInfo.php?workbook=11_02.xlsx&amp;sheet=U0&amp;row=558&amp;col=7&amp;number=8.96e-05&amp;sourceID=14","8.96e-05")</f>
        <v>8.96e-05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HYPERLINK("http://141.218.60.56/~jnz1568/getInfo.php?workbook=11_02.xlsx&amp;sheet=U0&amp;row=559&amp;col=6&amp;number=4.5&amp;sourceID=14","4.5")</f>
        <v>4.5</v>
      </c>
      <c r="G559" s="4" t="str">
        <f>HYPERLINK("http://141.218.60.56/~jnz1568/getInfo.php?workbook=11_02.xlsx&amp;sheet=U0&amp;row=559&amp;col=7&amp;number=8.93e-05&amp;sourceID=14","8.93e-05")</f>
        <v>8.93e-05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HYPERLINK("http://141.218.60.56/~jnz1568/getInfo.php?workbook=11_02.xlsx&amp;sheet=U0&amp;row=560&amp;col=6&amp;number=4.6&amp;sourceID=14","4.6")</f>
        <v>4.6</v>
      </c>
      <c r="G560" s="4" t="str">
        <f>HYPERLINK("http://141.218.60.56/~jnz1568/getInfo.php?workbook=11_02.xlsx&amp;sheet=U0&amp;row=560&amp;col=7&amp;number=8.9e-05&amp;sourceID=14","8.9e-05")</f>
        <v>8.9e-05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HYPERLINK("http://141.218.60.56/~jnz1568/getInfo.php?workbook=11_02.xlsx&amp;sheet=U0&amp;row=561&amp;col=6&amp;number=4.7&amp;sourceID=14","4.7")</f>
        <v>4.7</v>
      </c>
      <c r="G561" s="4" t="str">
        <f>HYPERLINK("http://141.218.60.56/~jnz1568/getInfo.php?workbook=11_02.xlsx&amp;sheet=U0&amp;row=561&amp;col=7&amp;number=8.85e-05&amp;sourceID=14","8.85e-05")</f>
        <v>8.85e-05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HYPERLINK("http://141.218.60.56/~jnz1568/getInfo.php?workbook=11_02.xlsx&amp;sheet=U0&amp;row=562&amp;col=6&amp;number=4.8&amp;sourceID=14","4.8")</f>
        <v>4.8</v>
      </c>
      <c r="G562" s="4" t="str">
        <f>HYPERLINK("http://141.218.60.56/~jnz1568/getInfo.php?workbook=11_02.xlsx&amp;sheet=U0&amp;row=562&amp;col=7&amp;number=8.8e-05&amp;sourceID=14","8.8e-05")</f>
        <v>8.8e-05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HYPERLINK("http://141.218.60.56/~jnz1568/getInfo.php?workbook=11_02.xlsx&amp;sheet=U0&amp;row=563&amp;col=6&amp;number=4.9&amp;sourceID=14","4.9")</f>
        <v>4.9</v>
      </c>
      <c r="G563" s="4" t="str">
        <f>HYPERLINK("http://141.218.60.56/~jnz1568/getInfo.php?workbook=11_02.xlsx&amp;sheet=U0&amp;row=563&amp;col=7&amp;number=8.72e-05&amp;sourceID=14","8.72e-05")</f>
        <v>8.72e-05</v>
      </c>
    </row>
    <row r="564" spans="1:7">
      <c r="A564" s="3">
        <v>11</v>
      </c>
      <c r="B564" s="3">
        <v>2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HYPERLINK("http://141.218.60.56/~jnz1568/getInfo.php?workbook=11_02.xlsx&amp;sheet=U0&amp;row=564&amp;col=6&amp;number=3&amp;sourceID=14","3")</f>
        <v>3</v>
      </c>
      <c r="G564" s="4" t="str">
        <f>HYPERLINK("http://141.218.60.56/~jnz1568/getInfo.php?workbook=11_02.xlsx&amp;sheet=U0&amp;row=564&amp;col=7&amp;number=0.000274&amp;sourceID=14","0.000274")</f>
        <v>0.000274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HYPERLINK("http://141.218.60.56/~jnz1568/getInfo.php?workbook=11_02.xlsx&amp;sheet=U0&amp;row=565&amp;col=6&amp;number=3.1&amp;sourceID=14","3.1")</f>
        <v>3.1</v>
      </c>
      <c r="G565" s="4" t="str">
        <f>HYPERLINK("http://141.218.60.56/~jnz1568/getInfo.php?workbook=11_02.xlsx&amp;sheet=U0&amp;row=565&amp;col=7&amp;number=0.000274&amp;sourceID=14","0.000274")</f>
        <v>0.000274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HYPERLINK("http://141.218.60.56/~jnz1568/getInfo.php?workbook=11_02.xlsx&amp;sheet=U0&amp;row=566&amp;col=6&amp;number=3.2&amp;sourceID=14","3.2")</f>
        <v>3.2</v>
      </c>
      <c r="G566" s="4" t="str">
        <f>HYPERLINK("http://141.218.60.56/~jnz1568/getInfo.php?workbook=11_02.xlsx&amp;sheet=U0&amp;row=566&amp;col=7&amp;number=0.000274&amp;sourceID=14","0.000274")</f>
        <v>0.000274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HYPERLINK("http://141.218.60.56/~jnz1568/getInfo.php?workbook=11_02.xlsx&amp;sheet=U0&amp;row=567&amp;col=6&amp;number=3.3&amp;sourceID=14","3.3")</f>
        <v>3.3</v>
      </c>
      <c r="G567" s="4" t="str">
        <f>HYPERLINK("http://141.218.60.56/~jnz1568/getInfo.php?workbook=11_02.xlsx&amp;sheet=U0&amp;row=567&amp;col=7&amp;number=0.000274&amp;sourceID=14","0.000274")</f>
        <v>0.000274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HYPERLINK("http://141.218.60.56/~jnz1568/getInfo.php?workbook=11_02.xlsx&amp;sheet=U0&amp;row=568&amp;col=6&amp;number=3.4&amp;sourceID=14","3.4")</f>
        <v>3.4</v>
      </c>
      <c r="G568" s="4" t="str">
        <f>HYPERLINK("http://141.218.60.56/~jnz1568/getInfo.php?workbook=11_02.xlsx&amp;sheet=U0&amp;row=568&amp;col=7&amp;number=0.000274&amp;sourceID=14","0.000274")</f>
        <v>0.000274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HYPERLINK("http://141.218.60.56/~jnz1568/getInfo.php?workbook=11_02.xlsx&amp;sheet=U0&amp;row=569&amp;col=6&amp;number=3.5&amp;sourceID=14","3.5")</f>
        <v>3.5</v>
      </c>
      <c r="G569" s="4" t="str">
        <f>HYPERLINK("http://141.218.60.56/~jnz1568/getInfo.php?workbook=11_02.xlsx&amp;sheet=U0&amp;row=569&amp;col=7&amp;number=0.000274&amp;sourceID=14","0.000274")</f>
        <v>0.000274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HYPERLINK("http://141.218.60.56/~jnz1568/getInfo.php?workbook=11_02.xlsx&amp;sheet=U0&amp;row=570&amp;col=6&amp;number=3.6&amp;sourceID=14","3.6")</f>
        <v>3.6</v>
      </c>
      <c r="G570" s="4" t="str">
        <f>HYPERLINK("http://141.218.60.56/~jnz1568/getInfo.php?workbook=11_02.xlsx&amp;sheet=U0&amp;row=570&amp;col=7&amp;number=0.000274&amp;sourceID=14","0.000274")</f>
        <v>0.000274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HYPERLINK("http://141.218.60.56/~jnz1568/getInfo.php?workbook=11_02.xlsx&amp;sheet=U0&amp;row=571&amp;col=6&amp;number=3.7&amp;sourceID=14","3.7")</f>
        <v>3.7</v>
      </c>
      <c r="G571" s="4" t="str">
        <f>HYPERLINK("http://141.218.60.56/~jnz1568/getInfo.php?workbook=11_02.xlsx&amp;sheet=U0&amp;row=571&amp;col=7&amp;number=0.000273&amp;sourceID=14","0.000273")</f>
        <v>0.000273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HYPERLINK("http://141.218.60.56/~jnz1568/getInfo.php?workbook=11_02.xlsx&amp;sheet=U0&amp;row=572&amp;col=6&amp;number=3.8&amp;sourceID=14","3.8")</f>
        <v>3.8</v>
      </c>
      <c r="G572" s="4" t="str">
        <f>HYPERLINK("http://141.218.60.56/~jnz1568/getInfo.php?workbook=11_02.xlsx&amp;sheet=U0&amp;row=572&amp;col=7&amp;number=0.000273&amp;sourceID=14","0.000273")</f>
        <v>0.000273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HYPERLINK("http://141.218.60.56/~jnz1568/getInfo.php?workbook=11_02.xlsx&amp;sheet=U0&amp;row=573&amp;col=6&amp;number=3.9&amp;sourceID=14","3.9")</f>
        <v>3.9</v>
      </c>
      <c r="G573" s="4" t="str">
        <f>HYPERLINK("http://141.218.60.56/~jnz1568/getInfo.php?workbook=11_02.xlsx&amp;sheet=U0&amp;row=573&amp;col=7&amp;number=0.000273&amp;sourceID=14","0.000273")</f>
        <v>0.000273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HYPERLINK("http://141.218.60.56/~jnz1568/getInfo.php?workbook=11_02.xlsx&amp;sheet=U0&amp;row=574&amp;col=6&amp;number=4&amp;sourceID=14","4")</f>
        <v>4</v>
      </c>
      <c r="G574" s="4" t="str">
        <f>HYPERLINK("http://141.218.60.56/~jnz1568/getInfo.php?workbook=11_02.xlsx&amp;sheet=U0&amp;row=574&amp;col=7&amp;number=0.000272&amp;sourceID=14","0.000272")</f>
        <v>0.000272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HYPERLINK("http://141.218.60.56/~jnz1568/getInfo.php?workbook=11_02.xlsx&amp;sheet=U0&amp;row=575&amp;col=6&amp;number=4.1&amp;sourceID=14","4.1")</f>
        <v>4.1</v>
      </c>
      <c r="G575" s="4" t="str">
        <f>HYPERLINK("http://141.218.60.56/~jnz1568/getInfo.php?workbook=11_02.xlsx&amp;sheet=U0&amp;row=575&amp;col=7&amp;number=0.000272&amp;sourceID=14","0.000272")</f>
        <v>0.000272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HYPERLINK("http://141.218.60.56/~jnz1568/getInfo.php?workbook=11_02.xlsx&amp;sheet=U0&amp;row=576&amp;col=6&amp;number=4.2&amp;sourceID=14","4.2")</f>
        <v>4.2</v>
      </c>
      <c r="G576" s="4" t="str">
        <f>HYPERLINK("http://141.218.60.56/~jnz1568/getInfo.php?workbook=11_02.xlsx&amp;sheet=U0&amp;row=576&amp;col=7&amp;number=0.000271&amp;sourceID=14","0.000271")</f>
        <v>0.000271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HYPERLINK("http://141.218.60.56/~jnz1568/getInfo.php?workbook=11_02.xlsx&amp;sheet=U0&amp;row=577&amp;col=6&amp;number=4.3&amp;sourceID=14","4.3")</f>
        <v>4.3</v>
      </c>
      <c r="G577" s="4" t="str">
        <f>HYPERLINK("http://141.218.60.56/~jnz1568/getInfo.php?workbook=11_02.xlsx&amp;sheet=U0&amp;row=577&amp;col=7&amp;number=0.00027&amp;sourceID=14","0.00027")</f>
        <v>0.00027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HYPERLINK("http://141.218.60.56/~jnz1568/getInfo.php?workbook=11_02.xlsx&amp;sheet=U0&amp;row=578&amp;col=6&amp;number=4.4&amp;sourceID=14","4.4")</f>
        <v>4.4</v>
      </c>
      <c r="G578" s="4" t="str">
        <f>HYPERLINK("http://141.218.60.56/~jnz1568/getInfo.php?workbook=11_02.xlsx&amp;sheet=U0&amp;row=578&amp;col=7&amp;number=0.000269&amp;sourceID=14","0.000269")</f>
        <v>0.000269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HYPERLINK("http://141.218.60.56/~jnz1568/getInfo.php?workbook=11_02.xlsx&amp;sheet=U0&amp;row=579&amp;col=6&amp;number=4.5&amp;sourceID=14","4.5")</f>
        <v>4.5</v>
      </c>
      <c r="G579" s="4" t="str">
        <f>HYPERLINK("http://141.218.60.56/~jnz1568/getInfo.php?workbook=11_02.xlsx&amp;sheet=U0&amp;row=579&amp;col=7&amp;number=0.000267&amp;sourceID=14","0.000267")</f>
        <v>0.000267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HYPERLINK("http://141.218.60.56/~jnz1568/getInfo.php?workbook=11_02.xlsx&amp;sheet=U0&amp;row=580&amp;col=6&amp;number=4.6&amp;sourceID=14","4.6")</f>
        <v>4.6</v>
      </c>
      <c r="G580" s="4" t="str">
        <f>HYPERLINK("http://141.218.60.56/~jnz1568/getInfo.php?workbook=11_02.xlsx&amp;sheet=U0&amp;row=580&amp;col=7&amp;number=0.000266&amp;sourceID=14","0.000266")</f>
        <v>0.000266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HYPERLINK("http://141.218.60.56/~jnz1568/getInfo.php?workbook=11_02.xlsx&amp;sheet=U0&amp;row=581&amp;col=6&amp;number=4.7&amp;sourceID=14","4.7")</f>
        <v>4.7</v>
      </c>
      <c r="G581" s="4" t="str">
        <f>HYPERLINK("http://141.218.60.56/~jnz1568/getInfo.php?workbook=11_02.xlsx&amp;sheet=U0&amp;row=581&amp;col=7&amp;number=0.000264&amp;sourceID=14","0.000264")</f>
        <v>0.000264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HYPERLINK("http://141.218.60.56/~jnz1568/getInfo.php?workbook=11_02.xlsx&amp;sheet=U0&amp;row=582&amp;col=6&amp;number=4.8&amp;sourceID=14","4.8")</f>
        <v>4.8</v>
      </c>
      <c r="G582" s="4" t="str">
        <f>HYPERLINK("http://141.218.60.56/~jnz1568/getInfo.php?workbook=11_02.xlsx&amp;sheet=U0&amp;row=582&amp;col=7&amp;number=0.000261&amp;sourceID=14","0.000261")</f>
        <v>0.000261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HYPERLINK("http://141.218.60.56/~jnz1568/getInfo.php?workbook=11_02.xlsx&amp;sheet=U0&amp;row=583&amp;col=6&amp;number=4.9&amp;sourceID=14","4.9")</f>
        <v>4.9</v>
      </c>
      <c r="G583" s="4" t="str">
        <f>HYPERLINK("http://141.218.60.56/~jnz1568/getInfo.php?workbook=11_02.xlsx&amp;sheet=U0&amp;row=583&amp;col=7&amp;number=0.000258&amp;sourceID=14","0.000258")</f>
        <v>0.000258</v>
      </c>
    </row>
    <row r="584" spans="1:7">
      <c r="A584" s="3">
        <v>11</v>
      </c>
      <c r="B584" s="3">
        <v>2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HYPERLINK("http://141.218.60.56/~jnz1568/getInfo.php?workbook=11_02.xlsx&amp;sheet=U0&amp;row=584&amp;col=6&amp;number=3&amp;sourceID=14","3")</f>
        <v>3</v>
      </c>
      <c r="G584" s="4" t="str">
        <f>HYPERLINK("http://141.218.60.56/~jnz1568/getInfo.php?workbook=11_02.xlsx&amp;sheet=U0&amp;row=584&amp;col=7&amp;number=0.000886&amp;sourceID=14","0.000886")</f>
        <v>0.000886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HYPERLINK("http://141.218.60.56/~jnz1568/getInfo.php?workbook=11_02.xlsx&amp;sheet=U0&amp;row=585&amp;col=6&amp;number=3.1&amp;sourceID=14","3.1")</f>
        <v>3.1</v>
      </c>
      <c r="G585" s="4" t="str">
        <f>HYPERLINK("http://141.218.60.56/~jnz1568/getInfo.php?workbook=11_02.xlsx&amp;sheet=U0&amp;row=585&amp;col=7&amp;number=0.000886&amp;sourceID=14","0.000886")</f>
        <v>0.000886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HYPERLINK("http://141.218.60.56/~jnz1568/getInfo.php?workbook=11_02.xlsx&amp;sheet=U0&amp;row=586&amp;col=6&amp;number=3.2&amp;sourceID=14","3.2")</f>
        <v>3.2</v>
      </c>
      <c r="G586" s="4" t="str">
        <f>HYPERLINK("http://141.218.60.56/~jnz1568/getInfo.php?workbook=11_02.xlsx&amp;sheet=U0&amp;row=586&amp;col=7&amp;number=0.000886&amp;sourceID=14","0.000886")</f>
        <v>0.000886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HYPERLINK("http://141.218.60.56/~jnz1568/getInfo.php?workbook=11_02.xlsx&amp;sheet=U0&amp;row=587&amp;col=6&amp;number=3.3&amp;sourceID=14","3.3")</f>
        <v>3.3</v>
      </c>
      <c r="G587" s="4" t="str">
        <f>HYPERLINK("http://141.218.60.56/~jnz1568/getInfo.php?workbook=11_02.xlsx&amp;sheet=U0&amp;row=587&amp;col=7&amp;number=0.000886&amp;sourceID=14","0.000886")</f>
        <v>0.000886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HYPERLINK("http://141.218.60.56/~jnz1568/getInfo.php?workbook=11_02.xlsx&amp;sheet=U0&amp;row=588&amp;col=6&amp;number=3.4&amp;sourceID=14","3.4")</f>
        <v>3.4</v>
      </c>
      <c r="G588" s="4" t="str">
        <f>HYPERLINK("http://141.218.60.56/~jnz1568/getInfo.php?workbook=11_02.xlsx&amp;sheet=U0&amp;row=588&amp;col=7&amp;number=0.000886&amp;sourceID=14","0.000886")</f>
        <v>0.000886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HYPERLINK("http://141.218.60.56/~jnz1568/getInfo.php?workbook=11_02.xlsx&amp;sheet=U0&amp;row=589&amp;col=6&amp;number=3.5&amp;sourceID=14","3.5")</f>
        <v>3.5</v>
      </c>
      <c r="G589" s="4" t="str">
        <f>HYPERLINK("http://141.218.60.56/~jnz1568/getInfo.php?workbook=11_02.xlsx&amp;sheet=U0&amp;row=589&amp;col=7&amp;number=0.000886&amp;sourceID=14","0.000886")</f>
        <v>0.000886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HYPERLINK("http://141.218.60.56/~jnz1568/getInfo.php?workbook=11_02.xlsx&amp;sheet=U0&amp;row=590&amp;col=6&amp;number=3.6&amp;sourceID=14","3.6")</f>
        <v>3.6</v>
      </c>
      <c r="G590" s="4" t="str">
        <f>HYPERLINK("http://141.218.60.56/~jnz1568/getInfo.php?workbook=11_02.xlsx&amp;sheet=U0&amp;row=590&amp;col=7&amp;number=0.000887&amp;sourceID=14","0.000887")</f>
        <v>0.000887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HYPERLINK("http://141.218.60.56/~jnz1568/getInfo.php?workbook=11_02.xlsx&amp;sheet=U0&amp;row=591&amp;col=6&amp;number=3.7&amp;sourceID=14","3.7")</f>
        <v>3.7</v>
      </c>
      <c r="G591" s="4" t="str">
        <f>HYPERLINK("http://141.218.60.56/~jnz1568/getInfo.php?workbook=11_02.xlsx&amp;sheet=U0&amp;row=591&amp;col=7&amp;number=0.000887&amp;sourceID=14","0.000887")</f>
        <v>0.000887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HYPERLINK("http://141.218.60.56/~jnz1568/getInfo.php?workbook=11_02.xlsx&amp;sheet=U0&amp;row=592&amp;col=6&amp;number=3.8&amp;sourceID=14","3.8")</f>
        <v>3.8</v>
      </c>
      <c r="G592" s="4" t="str">
        <f>HYPERLINK("http://141.218.60.56/~jnz1568/getInfo.php?workbook=11_02.xlsx&amp;sheet=U0&amp;row=592&amp;col=7&amp;number=0.000887&amp;sourceID=14","0.000887")</f>
        <v>0.000887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HYPERLINK("http://141.218.60.56/~jnz1568/getInfo.php?workbook=11_02.xlsx&amp;sheet=U0&amp;row=593&amp;col=6&amp;number=3.9&amp;sourceID=14","3.9")</f>
        <v>3.9</v>
      </c>
      <c r="G593" s="4" t="str">
        <f>HYPERLINK("http://141.218.60.56/~jnz1568/getInfo.php?workbook=11_02.xlsx&amp;sheet=U0&amp;row=593&amp;col=7&amp;number=0.000887&amp;sourceID=14","0.000887")</f>
        <v>0.000887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HYPERLINK("http://141.218.60.56/~jnz1568/getInfo.php?workbook=11_02.xlsx&amp;sheet=U0&amp;row=594&amp;col=6&amp;number=4&amp;sourceID=14","4")</f>
        <v>4</v>
      </c>
      <c r="G594" s="4" t="str">
        <f>HYPERLINK("http://141.218.60.56/~jnz1568/getInfo.php?workbook=11_02.xlsx&amp;sheet=U0&amp;row=594&amp;col=7&amp;number=0.000887&amp;sourceID=14","0.000887")</f>
        <v>0.000887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HYPERLINK("http://141.218.60.56/~jnz1568/getInfo.php?workbook=11_02.xlsx&amp;sheet=U0&amp;row=595&amp;col=6&amp;number=4.1&amp;sourceID=14","4.1")</f>
        <v>4.1</v>
      </c>
      <c r="G595" s="4" t="str">
        <f>HYPERLINK("http://141.218.60.56/~jnz1568/getInfo.php?workbook=11_02.xlsx&amp;sheet=U0&amp;row=595&amp;col=7&amp;number=0.000888&amp;sourceID=14","0.000888")</f>
        <v>0.000888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HYPERLINK("http://141.218.60.56/~jnz1568/getInfo.php?workbook=11_02.xlsx&amp;sheet=U0&amp;row=596&amp;col=6&amp;number=4.2&amp;sourceID=14","4.2")</f>
        <v>4.2</v>
      </c>
      <c r="G596" s="4" t="str">
        <f>HYPERLINK("http://141.218.60.56/~jnz1568/getInfo.php?workbook=11_02.xlsx&amp;sheet=U0&amp;row=596&amp;col=7&amp;number=0.000888&amp;sourceID=14","0.000888")</f>
        <v>0.000888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HYPERLINK("http://141.218.60.56/~jnz1568/getInfo.php?workbook=11_02.xlsx&amp;sheet=U0&amp;row=597&amp;col=6&amp;number=4.3&amp;sourceID=14","4.3")</f>
        <v>4.3</v>
      </c>
      <c r="G597" s="4" t="str">
        <f>HYPERLINK("http://141.218.60.56/~jnz1568/getInfo.php?workbook=11_02.xlsx&amp;sheet=U0&amp;row=597&amp;col=7&amp;number=0.000889&amp;sourceID=14","0.000889")</f>
        <v>0.000889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HYPERLINK("http://141.218.60.56/~jnz1568/getInfo.php?workbook=11_02.xlsx&amp;sheet=U0&amp;row=598&amp;col=6&amp;number=4.4&amp;sourceID=14","4.4")</f>
        <v>4.4</v>
      </c>
      <c r="G598" s="4" t="str">
        <f>HYPERLINK("http://141.218.60.56/~jnz1568/getInfo.php?workbook=11_02.xlsx&amp;sheet=U0&amp;row=598&amp;col=7&amp;number=0.000889&amp;sourceID=14","0.000889")</f>
        <v>0.000889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HYPERLINK("http://141.218.60.56/~jnz1568/getInfo.php?workbook=11_02.xlsx&amp;sheet=U0&amp;row=599&amp;col=6&amp;number=4.5&amp;sourceID=14","4.5")</f>
        <v>4.5</v>
      </c>
      <c r="G599" s="4" t="str">
        <f>HYPERLINK("http://141.218.60.56/~jnz1568/getInfo.php?workbook=11_02.xlsx&amp;sheet=U0&amp;row=599&amp;col=7&amp;number=0.00089&amp;sourceID=14","0.00089")</f>
        <v>0.00089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HYPERLINK("http://141.218.60.56/~jnz1568/getInfo.php?workbook=11_02.xlsx&amp;sheet=U0&amp;row=600&amp;col=6&amp;number=4.6&amp;sourceID=14","4.6")</f>
        <v>4.6</v>
      </c>
      <c r="G600" s="4" t="str">
        <f>HYPERLINK("http://141.218.60.56/~jnz1568/getInfo.php?workbook=11_02.xlsx&amp;sheet=U0&amp;row=600&amp;col=7&amp;number=0.000891&amp;sourceID=14","0.000891")</f>
        <v>0.000891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HYPERLINK("http://141.218.60.56/~jnz1568/getInfo.php?workbook=11_02.xlsx&amp;sheet=U0&amp;row=601&amp;col=6&amp;number=4.7&amp;sourceID=14","4.7")</f>
        <v>4.7</v>
      </c>
      <c r="G601" s="4" t="str">
        <f>HYPERLINK("http://141.218.60.56/~jnz1568/getInfo.php?workbook=11_02.xlsx&amp;sheet=U0&amp;row=601&amp;col=7&amp;number=0.000893&amp;sourceID=14","0.000893")</f>
        <v>0.000893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HYPERLINK("http://141.218.60.56/~jnz1568/getInfo.php?workbook=11_02.xlsx&amp;sheet=U0&amp;row=602&amp;col=6&amp;number=4.8&amp;sourceID=14","4.8")</f>
        <v>4.8</v>
      </c>
      <c r="G602" s="4" t="str">
        <f>HYPERLINK("http://141.218.60.56/~jnz1568/getInfo.php?workbook=11_02.xlsx&amp;sheet=U0&amp;row=602&amp;col=7&amp;number=0.000894&amp;sourceID=14","0.000894")</f>
        <v>0.000894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HYPERLINK("http://141.218.60.56/~jnz1568/getInfo.php?workbook=11_02.xlsx&amp;sheet=U0&amp;row=603&amp;col=6&amp;number=4.9&amp;sourceID=14","4.9")</f>
        <v>4.9</v>
      </c>
      <c r="G603" s="4" t="str">
        <f>HYPERLINK("http://141.218.60.56/~jnz1568/getInfo.php?workbook=11_02.xlsx&amp;sheet=U0&amp;row=603&amp;col=7&amp;number=0.000896&amp;sourceID=14","0.000896")</f>
        <v>0.000896</v>
      </c>
    </row>
    <row r="604" spans="1:7">
      <c r="A604" s="3">
        <v>11</v>
      </c>
      <c r="B604" s="3">
        <v>2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HYPERLINK("http://141.218.60.56/~jnz1568/getInfo.php?workbook=11_02.xlsx&amp;sheet=U0&amp;row=604&amp;col=6&amp;number=3&amp;sourceID=14","3")</f>
        <v>3</v>
      </c>
      <c r="G604" s="4" t="str">
        <f>HYPERLINK("http://141.218.60.56/~jnz1568/getInfo.php?workbook=11_02.xlsx&amp;sheet=U0&amp;row=604&amp;col=7&amp;number=0.000255&amp;sourceID=14","0.000255")</f>
        <v>0.000255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HYPERLINK("http://141.218.60.56/~jnz1568/getInfo.php?workbook=11_02.xlsx&amp;sheet=U0&amp;row=605&amp;col=6&amp;number=3.1&amp;sourceID=14","3.1")</f>
        <v>3.1</v>
      </c>
      <c r="G605" s="4" t="str">
        <f>HYPERLINK("http://141.218.60.56/~jnz1568/getInfo.php?workbook=11_02.xlsx&amp;sheet=U0&amp;row=605&amp;col=7&amp;number=0.000255&amp;sourceID=14","0.000255")</f>
        <v>0.000255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HYPERLINK("http://141.218.60.56/~jnz1568/getInfo.php?workbook=11_02.xlsx&amp;sheet=U0&amp;row=606&amp;col=6&amp;number=3.2&amp;sourceID=14","3.2")</f>
        <v>3.2</v>
      </c>
      <c r="G606" s="4" t="str">
        <f>HYPERLINK("http://141.218.60.56/~jnz1568/getInfo.php?workbook=11_02.xlsx&amp;sheet=U0&amp;row=606&amp;col=7&amp;number=0.000255&amp;sourceID=14","0.000255")</f>
        <v>0.000255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HYPERLINK("http://141.218.60.56/~jnz1568/getInfo.php?workbook=11_02.xlsx&amp;sheet=U0&amp;row=607&amp;col=6&amp;number=3.3&amp;sourceID=14","3.3")</f>
        <v>3.3</v>
      </c>
      <c r="G607" s="4" t="str">
        <f>HYPERLINK("http://141.218.60.56/~jnz1568/getInfo.php?workbook=11_02.xlsx&amp;sheet=U0&amp;row=607&amp;col=7&amp;number=0.000255&amp;sourceID=14","0.000255")</f>
        <v>0.000255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HYPERLINK("http://141.218.60.56/~jnz1568/getInfo.php?workbook=11_02.xlsx&amp;sheet=U0&amp;row=608&amp;col=6&amp;number=3.4&amp;sourceID=14","3.4")</f>
        <v>3.4</v>
      </c>
      <c r="G608" s="4" t="str">
        <f>HYPERLINK("http://141.218.60.56/~jnz1568/getInfo.php?workbook=11_02.xlsx&amp;sheet=U0&amp;row=608&amp;col=7&amp;number=0.000254&amp;sourceID=14","0.000254")</f>
        <v>0.000254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HYPERLINK("http://141.218.60.56/~jnz1568/getInfo.php?workbook=11_02.xlsx&amp;sheet=U0&amp;row=609&amp;col=6&amp;number=3.5&amp;sourceID=14","3.5")</f>
        <v>3.5</v>
      </c>
      <c r="G609" s="4" t="str">
        <f>HYPERLINK("http://141.218.60.56/~jnz1568/getInfo.php?workbook=11_02.xlsx&amp;sheet=U0&amp;row=609&amp;col=7&amp;number=0.000254&amp;sourceID=14","0.000254")</f>
        <v>0.000254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HYPERLINK("http://141.218.60.56/~jnz1568/getInfo.php?workbook=11_02.xlsx&amp;sheet=U0&amp;row=610&amp;col=6&amp;number=3.6&amp;sourceID=14","3.6")</f>
        <v>3.6</v>
      </c>
      <c r="G610" s="4" t="str">
        <f>HYPERLINK("http://141.218.60.56/~jnz1568/getInfo.php?workbook=11_02.xlsx&amp;sheet=U0&amp;row=610&amp;col=7&amp;number=0.000254&amp;sourceID=14","0.000254")</f>
        <v>0.000254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HYPERLINK("http://141.218.60.56/~jnz1568/getInfo.php?workbook=11_02.xlsx&amp;sheet=U0&amp;row=611&amp;col=6&amp;number=3.7&amp;sourceID=14","3.7")</f>
        <v>3.7</v>
      </c>
      <c r="G611" s="4" t="str">
        <f>HYPERLINK("http://141.218.60.56/~jnz1568/getInfo.php?workbook=11_02.xlsx&amp;sheet=U0&amp;row=611&amp;col=7&amp;number=0.000254&amp;sourceID=14","0.000254")</f>
        <v>0.000254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HYPERLINK("http://141.218.60.56/~jnz1568/getInfo.php?workbook=11_02.xlsx&amp;sheet=U0&amp;row=612&amp;col=6&amp;number=3.8&amp;sourceID=14","3.8")</f>
        <v>3.8</v>
      </c>
      <c r="G612" s="4" t="str">
        <f>HYPERLINK("http://141.218.60.56/~jnz1568/getInfo.php?workbook=11_02.xlsx&amp;sheet=U0&amp;row=612&amp;col=7&amp;number=0.000253&amp;sourceID=14","0.000253")</f>
        <v>0.000253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HYPERLINK("http://141.218.60.56/~jnz1568/getInfo.php?workbook=11_02.xlsx&amp;sheet=U0&amp;row=613&amp;col=6&amp;number=3.9&amp;sourceID=14","3.9")</f>
        <v>3.9</v>
      </c>
      <c r="G613" s="4" t="str">
        <f>HYPERLINK("http://141.218.60.56/~jnz1568/getInfo.php?workbook=11_02.xlsx&amp;sheet=U0&amp;row=613&amp;col=7&amp;number=0.000253&amp;sourceID=14","0.000253")</f>
        <v>0.000253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HYPERLINK("http://141.218.60.56/~jnz1568/getInfo.php?workbook=11_02.xlsx&amp;sheet=U0&amp;row=614&amp;col=6&amp;number=4&amp;sourceID=14","4")</f>
        <v>4</v>
      </c>
      <c r="G614" s="4" t="str">
        <f>HYPERLINK("http://141.218.60.56/~jnz1568/getInfo.php?workbook=11_02.xlsx&amp;sheet=U0&amp;row=614&amp;col=7&amp;number=0.000252&amp;sourceID=14","0.000252")</f>
        <v>0.000252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HYPERLINK("http://141.218.60.56/~jnz1568/getInfo.php?workbook=11_02.xlsx&amp;sheet=U0&amp;row=615&amp;col=6&amp;number=4.1&amp;sourceID=14","4.1")</f>
        <v>4.1</v>
      </c>
      <c r="G615" s="4" t="str">
        <f>HYPERLINK("http://141.218.60.56/~jnz1568/getInfo.php?workbook=11_02.xlsx&amp;sheet=U0&amp;row=615&amp;col=7&amp;number=0.000251&amp;sourceID=14","0.000251")</f>
        <v>0.000251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HYPERLINK("http://141.218.60.56/~jnz1568/getInfo.php?workbook=11_02.xlsx&amp;sheet=U0&amp;row=616&amp;col=6&amp;number=4.2&amp;sourceID=14","4.2")</f>
        <v>4.2</v>
      </c>
      <c r="G616" s="4" t="str">
        <f>HYPERLINK("http://141.218.60.56/~jnz1568/getInfo.php?workbook=11_02.xlsx&amp;sheet=U0&amp;row=616&amp;col=7&amp;number=0.00025&amp;sourceID=14","0.00025")</f>
        <v>0.00025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HYPERLINK("http://141.218.60.56/~jnz1568/getInfo.php?workbook=11_02.xlsx&amp;sheet=U0&amp;row=617&amp;col=6&amp;number=4.3&amp;sourceID=14","4.3")</f>
        <v>4.3</v>
      </c>
      <c r="G617" s="4" t="str">
        <f>HYPERLINK("http://141.218.60.56/~jnz1568/getInfo.php?workbook=11_02.xlsx&amp;sheet=U0&amp;row=617&amp;col=7&amp;number=0.000249&amp;sourceID=14","0.000249")</f>
        <v>0.000249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HYPERLINK("http://141.218.60.56/~jnz1568/getInfo.php?workbook=11_02.xlsx&amp;sheet=U0&amp;row=618&amp;col=6&amp;number=4.4&amp;sourceID=14","4.4")</f>
        <v>4.4</v>
      </c>
      <c r="G618" s="4" t="str">
        <f>HYPERLINK("http://141.218.60.56/~jnz1568/getInfo.php?workbook=11_02.xlsx&amp;sheet=U0&amp;row=618&amp;col=7&amp;number=0.000247&amp;sourceID=14","0.000247")</f>
        <v>0.000247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HYPERLINK("http://141.218.60.56/~jnz1568/getInfo.php?workbook=11_02.xlsx&amp;sheet=U0&amp;row=619&amp;col=6&amp;number=4.5&amp;sourceID=14","4.5")</f>
        <v>4.5</v>
      </c>
      <c r="G619" s="4" t="str">
        <f>HYPERLINK("http://141.218.60.56/~jnz1568/getInfo.php?workbook=11_02.xlsx&amp;sheet=U0&amp;row=619&amp;col=7&amp;number=0.000246&amp;sourceID=14","0.000246")</f>
        <v>0.000246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HYPERLINK("http://141.218.60.56/~jnz1568/getInfo.php?workbook=11_02.xlsx&amp;sheet=U0&amp;row=620&amp;col=6&amp;number=4.6&amp;sourceID=14","4.6")</f>
        <v>4.6</v>
      </c>
      <c r="G620" s="4" t="str">
        <f>HYPERLINK("http://141.218.60.56/~jnz1568/getInfo.php?workbook=11_02.xlsx&amp;sheet=U0&amp;row=620&amp;col=7&amp;number=0.000243&amp;sourceID=14","0.000243")</f>
        <v>0.000243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HYPERLINK("http://141.218.60.56/~jnz1568/getInfo.php?workbook=11_02.xlsx&amp;sheet=U0&amp;row=621&amp;col=6&amp;number=4.7&amp;sourceID=14","4.7")</f>
        <v>4.7</v>
      </c>
      <c r="G621" s="4" t="str">
        <f>HYPERLINK("http://141.218.60.56/~jnz1568/getInfo.php?workbook=11_02.xlsx&amp;sheet=U0&amp;row=621&amp;col=7&amp;number=0.00024&amp;sourceID=14","0.00024")</f>
        <v>0.00024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HYPERLINK("http://141.218.60.56/~jnz1568/getInfo.php?workbook=11_02.xlsx&amp;sheet=U0&amp;row=622&amp;col=6&amp;number=4.8&amp;sourceID=14","4.8")</f>
        <v>4.8</v>
      </c>
      <c r="G622" s="4" t="str">
        <f>HYPERLINK("http://141.218.60.56/~jnz1568/getInfo.php?workbook=11_02.xlsx&amp;sheet=U0&amp;row=622&amp;col=7&amp;number=0.000237&amp;sourceID=14","0.000237")</f>
        <v>0.000237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HYPERLINK("http://141.218.60.56/~jnz1568/getInfo.php?workbook=11_02.xlsx&amp;sheet=U0&amp;row=623&amp;col=6&amp;number=4.9&amp;sourceID=14","4.9")</f>
        <v>4.9</v>
      </c>
      <c r="G623" s="4" t="str">
        <f>HYPERLINK("http://141.218.60.56/~jnz1568/getInfo.php?workbook=11_02.xlsx&amp;sheet=U0&amp;row=623&amp;col=7&amp;number=0.000232&amp;sourceID=14","0.000232")</f>
        <v>0.000232</v>
      </c>
    </row>
    <row r="624" spans="1:7">
      <c r="A624" s="3">
        <v>11</v>
      </c>
      <c r="B624" s="3">
        <v>2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HYPERLINK("http://141.218.60.56/~jnz1568/getInfo.php?workbook=11_02.xlsx&amp;sheet=U0&amp;row=624&amp;col=6&amp;number=3&amp;sourceID=14","3")</f>
        <v>3</v>
      </c>
      <c r="G624" s="4" t="str">
        <f>HYPERLINK("http://141.218.60.56/~jnz1568/getInfo.php?workbook=11_02.xlsx&amp;sheet=U0&amp;row=624&amp;col=7&amp;number=6.86e-05&amp;sourceID=14","6.86e-05")</f>
        <v>6.86e-05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HYPERLINK("http://141.218.60.56/~jnz1568/getInfo.php?workbook=11_02.xlsx&amp;sheet=U0&amp;row=625&amp;col=6&amp;number=3.1&amp;sourceID=14","3.1")</f>
        <v>3.1</v>
      </c>
      <c r="G625" s="4" t="str">
        <f>HYPERLINK("http://141.218.60.56/~jnz1568/getInfo.php?workbook=11_02.xlsx&amp;sheet=U0&amp;row=625&amp;col=7&amp;number=6.86e-05&amp;sourceID=14","6.86e-05")</f>
        <v>6.86e-05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HYPERLINK("http://141.218.60.56/~jnz1568/getInfo.php?workbook=11_02.xlsx&amp;sheet=U0&amp;row=626&amp;col=6&amp;number=3.2&amp;sourceID=14","3.2")</f>
        <v>3.2</v>
      </c>
      <c r="G626" s="4" t="str">
        <f>HYPERLINK("http://141.218.60.56/~jnz1568/getInfo.php?workbook=11_02.xlsx&amp;sheet=U0&amp;row=626&amp;col=7&amp;number=6.86e-05&amp;sourceID=14","6.86e-05")</f>
        <v>6.86e-05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HYPERLINK("http://141.218.60.56/~jnz1568/getInfo.php?workbook=11_02.xlsx&amp;sheet=U0&amp;row=627&amp;col=6&amp;number=3.3&amp;sourceID=14","3.3")</f>
        <v>3.3</v>
      </c>
      <c r="G627" s="4" t="str">
        <f>HYPERLINK("http://141.218.60.56/~jnz1568/getInfo.php?workbook=11_02.xlsx&amp;sheet=U0&amp;row=627&amp;col=7&amp;number=6.86e-05&amp;sourceID=14","6.86e-05")</f>
        <v>6.86e-05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HYPERLINK("http://141.218.60.56/~jnz1568/getInfo.php?workbook=11_02.xlsx&amp;sheet=U0&amp;row=628&amp;col=6&amp;number=3.4&amp;sourceID=14","3.4")</f>
        <v>3.4</v>
      </c>
      <c r="G628" s="4" t="str">
        <f>HYPERLINK("http://141.218.60.56/~jnz1568/getInfo.php?workbook=11_02.xlsx&amp;sheet=U0&amp;row=628&amp;col=7&amp;number=6.86e-05&amp;sourceID=14","6.86e-05")</f>
        <v>6.86e-05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HYPERLINK("http://141.218.60.56/~jnz1568/getInfo.php?workbook=11_02.xlsx&amp;sheet=U0&amp;row=629&amp;col=6&amp;number=3.5&amp;sourceID=14","3.5")</f>
        <v>3.5</v>
      </c>
      <c r="G629" s="4" t="str">
        <f>HYPERLINK("http://141.218.60.56/~jnz1568/getInfo.php?workbook=11_02.xlsx&amp;sheet=U0&amp;row=629&amp;col=7&amp;number=6.86e-05&amp;sourceID=14","6.86e-05")</f>
        <v>6.86e-05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HYPERLINK("http://141.218.60.56/~jnz1568/getInfo.php?workbook=11_02.xlsx&amp;sheet=U0&amp;row=630&amp;col=6&amp;number=3.6&amp;sourceID=14","3.6")</f>
        <v>3.6</v>
      </c>
      <c r="G630" s="4" t="str">
        <f>HYPERLINK("http://141.218.60.56/~jnz1568/getInfo.php?workbook=11_02.xlsx&amp;sheet=U0&amp;row=630&amp;col=7&amp;number=6.86e-05&amp;sourceID=14","6.86e-05")</f>
        <v>6.86e-05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HYPERLINK("http://141.218.60.56/~jnz1568/getInfo.php?workbook=11_02.xlsx&amp;sheet=U0&amp;row=631&amp;col=6&amp;number=3.7&amp;sourceID=14","3.7")</f>
        <v>3.7</v>
      </c>
      <c r="G631" s="4" t="str">
        <f>HYPERLINK("http://141.218.60.56/~jnz1568/getInfo.php?workbook=11_02.xlsx&amp;sheet=U0&amp;row=631&amp;col=7&amp;number=6.86e-05&amp;sourceID=14","6.86e-05")</f>
        <v>6.86e-05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HYPERLINK("http://141.218.60.56/~jnz1568/getInfo.php?workbook=11_02.xlsx&amp;sheet=U0&amp;row=632&amp;col=6&amp;number=3.8&amp;sourceID=14","3.8")</f>
        <v>3.8</v>
      </c>
      <c r="G632" s="4" t="str">
        <f>HYPERLINK("http://141.218.60.56/~jnz1568/getInfo.php?workbook=11_02.xlsx&amp;sheet=U0&amp;row=632&amp;col=7&amp;number=6.86e-05&amp;sourceID=14","6.86e-05")</f>
        <v>6.86e-05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HYPERLINK("http://141.218.60.56/~jnz1568/getInfo.php?workbook=11_02.xlsx&amp;sheet=U0&amp;row=633&amp;col=6&amp;number=3.9&amp;sourceID=14","3.9")</f>
        <v>3.9</v>
      </c>
      <c r="G633" s="4" t="str">
        <f>HYPERLINK("http://141.218.60.56/~jnz1568/getInfo.php?workbook=11_02.xlsx&amp;sheet=U0&amp;row=633&amp;col=7&amp;number=6.86e-05&amp;sourceID=14","6.86e-05")</f>
        <v>6.86e-05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HYPERLINK("http://141.218.60.56/~jnz1568/getInfo.php?workbook=11_02.xlsx&amp;sheet=U0&amp;row=634&amp;col=6&amp;number=4&amp;sourceID=14","4")</f>
        <v>4</v>
      </c>
      <c r="G634" s="4" t="str">
        <f>HYPERLINK("http://141.218.60.56/~jnz1568/getInfo.php?workbook=11_02.xlsx&amp;sheet=U0&amp;row=634&amp;col=7&amp;number=6.86e-05&amp;sourceID=14","6.86e-05")</f>
        <v>6.86e-05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HYPERLINK("http://141.218.60.56/~jnz1568/getInfo.php?workbook=11_02.xlsx&amp;sheet=U0&amp;row=635&amp;col=6&amp;number=4.1&amp;sourceID=14","4.1")</f>
        <v>4.1</v>
      </c>
      <c r="G635" s="4" t="str">
        <f>HYPERLINK("http://141.218.60.56/~jnz1568/getInfo.php?workbook=11_02.xlsx&amp;sheet=U0&amp;row=635&amp;col=7&amp;number=6.86e-05&amp;sourceID=14","6.86e-05")</f>
        <v>6.86e-05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HYPERLINK("http://141.218.60.56/~jnz1568/getInfo.php?workbook=11_02.xlsx&amp;sheet=U0&amp;row=636&amp;col=6&amp;number=4.2&amp;sourceID=14","4.2")</f>
        <v>4.2</v>
      </c>
      <c r="G636" s="4" t="str">
        <f>HYPERLINK("http://141.218.60.56/~jnz1568/getInfo.php?workbook=11_02.xlsx&amp;sheet=U0&amp;row=636&amp;col=7&amp;number=6.85e-05&amp;sourceID=14","6.85e-05")</f>
        <v>6.85e-05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HYPERLINK("http://141.218.60.56/~jnz1568/getInfo.php?workbook=11_02.xlsx&amp;sheet=U0&amp;row=637&amp;col=6&amp;number=4.3&amp;sourceID=14","4.3")</f>
        <v>4.3</v>
      </c>
      <c r="G637" s="4" t="str">
        <f>HYPERLINK("http://141.218.60.56/~jnz1568/getInfo.php?workbook=11_02.xlsx&amp;sheet=U0&amp;row=637&amp;col=7&amp;number=6.85e-05&amp;sourceID=14","6.85e-05")</f>
        <v>6.85e-05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HYPERLINK("http://141.218.60.56/~jnz1568/getInfo.php?workbook=11_02.xlsx&amp;sheet=U0&amp;row=638&amp;col=6&amp;number=4.4&amp;sourceID=14","4.4")</f>
        <v>4.4</v>
      </c>
      <c r="G638" s="4" t="str">
        <f>HYPERLINK("http://141.218.60.56/~jnz1568/getInfo.php?workbook=11_02.xlsx&amp;sheet=U0&amp;row=638&amp;col=7&amp;number=6.85e-05&amp;sourceID=14","6.85e-05")</f>
        <v>6.85e-05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HYPERLINK("http://141.218.60.56/~jnz1568/getInfo.php?workbook=11_02.xlsx&amp;sheet=U0&amp;row=639&amp;col=6&amp;number=4.5&amp;sourceID=14","4.5")</f>
        <v>4.5</v>
      </c>
      <c r="G639" s="4" t="str">
        <f>HYPERLINK("http://141.218.60.56/~jnz1568/getInfo.php?workbook=11_02.xlsx&amp;sheet=U0&amp;row=639&amp;col=7&amp;number=6.85e-05&amp;sourceID=14","6.85e-05")</f>
        <v>6.85e-05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HYPERLINK("http://141.218.60.56/~jnz1568/getInfo.php?workbook=11_02.xlsx&amp;sheet=U0&amp;row=640&amp;col=6&amp;number=4.6&amp;sourceID=14","4.6")</f>
        <v>4.6</v>
      </c>
      <c r="G640" s="4" t="str">
        <f>HYPERLINK("http://141.218.60.56/~jnz1568/getInfo.php?workbook=11_02.xlsx&amp;sheet=U0&amp;row=640&amp;col=7&amp;number=6.85e-05&amp;sourceID=14","6.85e-05")</f>
        <v>6.85e-05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HYPERLINK("http://141.218.60.56/~jnz1568/getInfo.php?workbook=11_02.xlsx&amp;sheet=U0&amp;row=641&amp;col=6&amp;number=4.7&amp;sourceID=14","4.7")</f>
        <v>4.7</v>
      </c>
      <c r="G641" s="4" t="str">
        <f>HYPERLINK("http://141.218.60.56/~jnz1568/getInfo.php?workbook=11_02.xlsx&amp;sheet=U0&amp;row=641&amp;col=7&amp;number=6.85e-05&amp;sourceID=14","6.85e-05")</f>
        <v>6.85e-05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HYPERLINK("http://141.218.60.56/~jnz1568/getInfo.php?workbook=11_02.xlsx&amp;sheet=U0&amp;row=642&amp;col=6&amp;number=4.8&amp;sourceID=14","4.8")</f>
        <v>4.8</v>
      </c>
      <c r="G642" s="4" t="str">
        <f>HYPERLINK("http://141.218.60.56/~jnz1568/getInfo.php?workbook=11_02.xlsx&amp;sheet=U0&amp;row=642&amp;col=7&amp;number=6.84e-05&amp;sourceID=14","6.84e-05")</f>
        <v>6.84e-05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HYPERLINK("http://141.218.60.56/~jnz1568/getInfo.php?workbook=11_02.xlsx&amp;sheet=U0&amp;row=643&amp;col=6&amp;number=4.9&amp;sourceID=14","4.9")</f>
        <v>4.9</v>
      </c>
      <c r="G643" s="4" t="str">
        <f>HYPERLINK("http://141.218.60.56/~jnz1568/getInfo.php?workbook=11_02.xlsx&amp;sheet=U0&amp;row=643&amp;col=7&amp;number=6.84e-05&amp;sourceID=14","6.84e-05")</f>
        <v>6.84e-05</v>
      </c>
    </row>
    <row r="644" spans="1:7">
      <c r="A644" s="3">
        <v>11</v>
      </c>
      <c r="B644" s="3">
        <v>2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HYPERLINK("http://141.218.60.56/~jnz1568/getInfo.php?workbook=11_02.xlsx&amp;sheet=U0&amp;row=644&amp;col=6&amp;number=3&amp;sourceID=14","3")</f>
        <v>3</v>
      </c>
      <c r="G644" s="4" t="str">
        <f>HYPERLINK("http://141.218.60.56/~jnz1568/getInfo.php?workbook=11_02.xlsx&amp;sheet=U0&amp;row=644&amp;col=7&amp;number=0.000208&amp;sourceID=14","0.000208")</f>
        <v>0.000208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HYPERLINK("http://141.218.60.56/~jnz1568/getInfo.php?workbook=11_02.xlsx&amp;sheet=U0&amp;row=645&amp;col=6&amp;number=3.1&amp;sourceID=14","3.1")</f>
        <v>3.1</v>
      </c>
      <c r="G645" s="4" t="str">
        <f>HYPERLINK("http://141.218.60.56/~jnz1568/getInfo.php?workbook=11_02.xlsx&amp;sheet=U0&amp;row=645&amp;col=7&amp;number=0.000208&amp;sourceID=14","0.000208")</f>
        <v>0.000208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HYPERLINK("http://141.218.60.56/~jnz1568/getInfo.php?workbook=11_02.xlsx&amp;sheet=U0&amp;row=646&amp;col=6&amp;number=3.2&amp;sourceID=14","3.2")</f>
        <v>3.2</v>
      </c>
      <c r="G646" s="4" t="str">
        <f>HYPERLINK("http://141.218.60.56/~jnz1568/getInfo.php?workbook=11_02.xlsx&amp;sheet=U0&amp;row=646&amp;col=7&amp;number=0.000208&amp;sourceID=14","0.000208")</f>
        <v>0.000208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HYPERLINK("http://141.218.60.56/~jnz1568/getInfo.php?workbook=11_02.xlsx&amp;sheet=U0&amp;row=647&amp;col=6&amp;number=3.3&amp;sourceID=14","3.3")</f>
        <v>3.3</v>
      </c>
      <c r="G647" s="4" t="str">
        <f>HYPERLINK("http://141.218.60.56/~jnz1568/getInfo.php?workbook=11_02.xlsx&amp;sheet=U0&amp;row=647&amp;col=7&amp;number=0.000208&amp;sourceID=14","0.000208")</f>
        <v>0.000208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HYPERLINK("http://141.218.60.56/~jnz1568/getInfo.php?workbook=11_02.xlsx&amp;sheet=U0&amp;row=648&amp;col=6&amp;number=3.4&amp;sourceID=14","3.4")</f>
        <v>3.4</v>
      </c>
      <c r="G648" s="4" t="str">
        <f>HYPERLINK("http://141.218.60.56/~jnz1568/getInfo.php?workbook=11_02.xlsx&amp;sheet=U0&amp;row=648&amp;col=7&amp;number=0.000208&amp;sourceID=14","0.000208")</f>
        <v>0.000208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HYPERLINK("http://141.218.60.56/~jnz1568/getInfo.php?workbook=11_02.xlsx&amp;sheet=U0&amp;row=649&amp;col=6&amp;number=3.5&amp;sourceID=14","3.5")</f>
        <v>3.5</v>
      </c>
      <c r="G649" s="4" t="str">
        <f>HYPERLINK("http://141.218.60.56/~jnz1568/getInfo.php?workbook=11_02.xlsx&amp;sheet=U0&amp;row=649&amp;col=7&amp;number=0.000208&amp;sourceID=14","0.000208")</f>
        <v>0.000208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HYPERLINK("http://141.218.60.56/~jnz1568/getInfo.php?workbook=11_02.xlsx&amp;sheet=U0&amp;row=650&amp;col=6&amp;number=3.6&amp;sourceID=14","3.6")</f>
        <v>3.6</v>
      </c>
      <c r="G650" s="4" t="str">
        <f>HYPERLINK("http://141.218.60.56/~jnz1568/getInfo.php?workbook=11_02.xlsx&amp;sheet=U0&amp;row=650&amp;col=7&amp;number=0.000208&amp;sourceID=14","0.000208")</f>
        <v>0.000208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HYPERLINK("http://141.218.60.56/~jnz1568/getInfo.php?workbook=11_02.xlsx&amp;sheet=U0&amp;row=651&amp;col=6&amp;number=3.7&amp;sourceID=14","3.7")</f>
        <v>3.7</v>
      </c>
      <c r="G651" s="4" t="str">
        <f>HYPERLINK("http://141.218.60.56/~jnz1568/getInfo.php?workbook=11_02.xlsx&amp;sheet=U0&amp;row=651&amp;col=7&amp;number=0.000208&amp;sourceID=14","0.000208")</f>
        <v>0.000208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HYPERLINK("http://141.218.60.56/~jnz1568/getInfo.php?workbook=11_02.xlsx&amp;sheet=U0&amp;row=652&amp;col=6&amp;number=3.8&amp;sourceID=14","3.8")</f>
        <v>3.8</v>
      </c>
      <c r="G652" s="4" t="str">
        <f>HYPERLINK("http://141.218.60.56/~jnz1568/getInfo.php?workbook=11_02.xlsx&amp;sheet=U0&amp;row=652&amp;col=7&amp;number=0.000208&amp;sourceID=14","0.000208")</f>
        <v>0.000208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HYPERLINK("http://141.218.60.56/~jnz1568/getInfo.php?workbook=11_02.xlsx&amp;sheet=U0&amp;row=653&amp;col=6&amp;number=3.9&amp;sourceID=14","3.9")</f>
        <v>3.9</v>
      </c>
      <c r="G653" s="4" t="str">
        <f>HYPERLINK("http://141.218.60.56/~jnz1568/getInfo.php?workbook=11_02.xlsx&amp;sheet=U0&amp;row=653&amp;col=7&amp;number=0.000208&amp;sourceID=14","0.000208")</f>
        <v>0.000208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HYPERLINK("http://141.218.60.56/~jnz1568/getInfo.php?workbook=11_02.xlsx&amp;sheet=U0&amp;row=654&amp;col=6&amp;number=4&amp;sourceID=14","4")</f>
        <v>4</v>
      </c>
      <c r="G654" s="4" t="str">
        <f>HYPERLINK("http://141.218.60.56/~jnz1568/getInfo.php?workbook=11_02.xlsx&amp;sheet=U0&amp;row=654&amp;col=7&amp;number=0.000208&amp;sourceID=14","0.000208")</f>
        <v>0.000208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HYPERLINK("http://141.218.60.56/~jnz1568/getInfo.php?workbook=11_02.xlsx&amp;sheet=U0&amp;row=655&amp;col=6&amp;number=4.1&amp;sourceID=14","4.1")</f>
        <v>4.1</v>
      </c>
      <c r="G655" s="4" t="str">
        <f>HYPERLINK("http://141.218.60.56/~jnz1568/getInfo.php?workbook=11_02.xlsx&amp;sheet=U0&amp;row=655&amp;col=7&amp;number=0.000208&amp;sourceID=14","0.000208")</f>
        <v>0.000208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HYPERLINK("http://141.218.60.56/~jnz1568/getInfo.php?workbook=11_02.xlsx&amp;sheet=U0&amp;row=656&amp;col=6&amp;number=4.2&amp;sourceID=14","4.2")</f>
        <v>4.2</v>
      </c>
      <c r="G656" s="4" t="str">
        <f>HYPERLINK("http://141.218.60.56/~jnz1568/getInfo.php?workbook=11_02.xlsx&amp;sheet=U0&amp;row=656&amp;col=7&amp;number=0.000208&amp;sourceID=14","0.000208")</f>
        <v>0.000208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HYPERLINK("http://141.218.60.56/~jnz1568/getInfo.php?workbook=11_02.xlsx&amp;sheet=U0&amp;row=657&amp;col=6&amp;number=4.3&amp;sourceID=14","4.3")</f>
        <v>4.3</v>
      </c>
      <c r="G657" s="4" t="str">
        <f>HYPERLINK("http://141.218.60.56/~jnz1568/getInfo.php?workbook=11_02.xlsx&amp;sheet=U0&amp;row=657&amp;col=7&amp;number=0.000208&amp;sourceID=14","0.000208")</f>
        <v>0.000208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HYPERLINK("http://141.218.60.56/~jnz1568/getInfo.php?workbook=11_02.xlsx&amp;sheet=U0&amp;row=658&amp;col=6&amp;number=4.4&amp;sourceID=14","4.4")</f>
        <v>4.4</v>
      </c>
      <c r="G658" s="4" t="str">
        <f>HYPERLINK("http://141.218.60.56/~jnz1568/getInfo.php?workbook=11_02.xlsx&amp;sheet=U0&amp;row=658&amp;col=7&amp;number=0.000207&amp;sourceID=14","0.000207")</f>
        <v>0.000207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HYPERLINK("http://141.218.60.56/~jnz1568/getInfo.php?workbook=11_02.xlsx&amp;sheet=U0&amp;row=659&amp;col=6&amp;number=4.5&amp;sourceID=14","4.5")</f>
        <v>4.5</v>
      </c>
      <c r="G659" s="4" t="str">
        <f>HYPERLINK("http://141.218.60.56/~jnz1568/getInfo.php?workbook=11_02.xlsx&amp;sheet=U0&amp;row=659&amp;col=7&amp;number=0.000207&amp;sourceID=14","0.000207")</f>
        <v>0.000207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HYPERLINK("http://141.218.60.56/~jnz1568/getInfo.php?workbook=11_02.xlsx&amp;sheet=U0&amp;row=660&amp;col=6&amp;number=4.6&amp;sourceID=14","4.6")</f>
        <v>4.6</v>
      </c>
      <c r="G660" s="4" t="str">
        <f>HYPERLINK("http://141.218.60.56/~jnz1568/getInfo.php?workbook=11_02.xlsx&amp;sheet=U0&amp;row=660&amp;col=7&amp;number=0.000207&amp;sourceID=14","0.000207")</f>
        <v>0.000207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HYPERLINK("http://141.218.60.56/~jnz1568/getInfo.php?workbook=11_02.xlsx&amp;sheet=U0&amp;row=661&amp;col=6&amp;number=4.7&amp;sourceID=14","4.7")</f>
        <v>4.7</v>
      </c>
      <c r="G661" s="4" t="str">
        <f>HYPERLINK("http://141.218.60.56/~jnz1568/getInfo.php?workbook=11_02.xlsx&amp;sheet=U0&amp;row=661&amp;col=7&amp;number=0.000207&amp;sourceID=14","0.000207")</f>
        <v>0.000207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HYPERLINK("http://141.218.60.56/~jnz1568/getInfo.php?workbook=11_02.xlsx&amp;sheet=U0&amp;row=662&amp;col=6&amp;number=4.8&amp;sourceID=14","4.8")</f>
        <v>4.8</v>
      </c>
      <c r="G662" s="4" t="str">
        <f>HYPERLINK("http://141.218.60.56/~jnz1568/getInfo.php?workbook=11_02.xlsx&amp;sheet=U0&amp;row=662&amp;col=7&amp;number=0.000207&amp;sourceID=14","0.000207")</f>
        <v>0.000207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HYPERLINK("http://141.218.60.56/~jnz1568/getInfo.php?workbook=11_02.xlsx&amp;sheet=U0&amp;row=663&amp;col=6&amp;number=4.9&amp;sourceID=14","4.9")</f>
        <v>4.9</v>
      </c>
      <c r="G663" s="4" t="str">
        <f>HYPERLINK("http://141.218.60.56/~jnz1568/getInfo.php?workbook=11_02.xlsx&amp;sheet=U0&amp;row=663&amp;col=7&amp;number=0.000207&amp;sourceID=14","0.000207")</f>
        <v>0.000207</v>
      </c>
    </row>
    <row r="664" spans="1:7">
      <c r="A664" s="3">
        <v>11</v>
      </c>
      <c r="B664" s="3">
        <v>2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HYPERLINK("http://141.218.60.56/~jnz1568/getInfo.php?workbook=11_02.xlsx&amp;sheet=U0&amp;row=664&amp;col=6&amp;number=3&amp;sourceID=14","3")</f>
        <v>3</v>
      </c>
      <c r="G664" s="4" t="str">
        <f>HYPERLINK("http://141.218.60.56/~jnz1568/getInfo.php?workbook=11_02.xlsx&amp;sheet=U0&amp;row=664&amp;col=7&amp;number=0.00034&amp;sourceID=14","0.00034")</f>
        <v>0.00034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HYPERLINK("http://141.218.60.56/~jnz1568/getInfo.php?workbook=11_02.xlsx&amp;sheet=U0&amp;row=665&amp;col=6&amp;number=3.1&amp;sourceID=14","3.1")</f>
        <v>3.1</v>
      </c>
      <c r="G665" s="4" t="str">
        <f>HYPERLINK("http://141.218.60.56/~jnz1568/getInfo.php?workbook=11_02.xlsx&amp;sheet=U0&amp;row=665&amp;col=7&amp;number=0.00034&amp;sourceID=14","0.00034")</f>
        <v>0.00034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HYPERLINK("http://141.218.60.56/~jnz1568/getInfo.php?workbook=11_02.xlsx&amp;sheet=U0&amp;row=666&amp;col=6&amp;number=3.2&amp;sourceID=14","3.2")</f>
        <v>3.2</v>
      </c>
      <c r="G666" s="4" t="str">
        <f>HYPERLINK("http://141.218.60.56/~jnz1568/getInfo.php?workbook=11_02.xlsx&amp;sheet=U0&amp;row=666&amp;col=7&amp;number=0.00034&amp;sourceID=14","0.00034")</f>
        <v>0.00034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HYPERLINK("http://141.218.60.56/~jnz1568/getInfo.php?workbook=11_02.xlsx&amp;sheet=U0&amp;row=667&amp;col=6&amp;number=3.3&amp;sourceID=14","3.3")</f>
        <v>3.3</v>
      </c>
      <c r="G667" s="4" t="str">
        <f>HYPERLINK("http://141.218.60.56/~jnz1568/getInfo.php?workbook=11_02.xlsx&amp;sheet=U0&amp;row=667&amp;col=7&amp;number=0.00034&amp;sourceID=14","0.00034")</f>
        <v>0.00034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HYPERLINK("http://141.218.60.56/~jnz1568/getInfo.php?workbook=11_02.xlsx&amp;sheet=U0&amp;row=668&amp;col=6&amp;number=3.4&amp;sourceID=14","3.4")</f>
        <v>3.4</v>
      </c>
      <c r="G668" s="4" t="str">
        <f>HYPERLINK("http://141.218.60.56/~jnz1568/getInfo.php?workbook=11_02.xlsx&amp;sheet=U0&amp;row=668&amp;col=7&amp;number=0.00034&amp;sourceID=14","0.00034")</f>
        <v>0.00034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HYPERLINK("http://141.218.60.56/~jnz1568/getInfo.php?workbook=11_02.xlsx&amp;sheet=U0&amp;row=669&amp;col=6&amp;number=3.5&amp;sourceID=14","3.5")</f>
        <v>3.5</v>
      </c>
      <c r="G669" s="4" t="str">
        <f>HYPERLINK("http://141.218.60.56/~jnz1568/getInfo.php?workbook=11_02.xlsx&amp;sheet=U0&amp;row=669&amp;col=7&amp;number=0.00034&amp;sourceID=14","0.00034")</f>
        <v>0.00034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HYPERLINK("http://141.218.60.56/~jnz1568/getInfo.php?workbook=11_02.xlsx&amp;sheet=U0&amp;row=670&amp;col=6&amp;number=3.6&amp;sourceID=14","3.6")</f>
        <v>3.6</v>
      </c>
      <c r="G670" s="4" t="str">
        <f>HYPERLINK("http://141.218.60.56/~jnz1568/getInfo.php?workbook=11_02.xlsx&amp;sheet=U0&amp;row=670&amp;col=7&amp;number=0.00034&amp;sourceID=14","0.00034")</f>
        <v>0.00034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HYPERLINK("http://141.218.60.56/~jnz1568/getInfo.php?workbook=11_02.xlsx&amp;sheet=U0&amp;row=671&amp;col=6&amp;number=3.7&amp;sourceID=14","3.7")</f>
        <v>3.7</v>
      </c>
      <c r="G671" s="4" t="str">
        <f>HYPERLINK("http://141.218.60.56/~jnz1568/getInfo.php?workbook=11_02.xlsx&amp;sheet=U0&amp;row=671&amp;col=7&amp;number=0.00034&amp;sourceID=14","0.00034")</f>
        <v>0.00034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HYPERLINK("http://141.218.60.56/~jnz1568/getInfo.php?workbook=11_02.xlsx&amp;sheet=U0&amp;row=672&amp;col=6&amp;number=3.8&amp;sourceID=14","3.8")</f>
        <v>3.8</v>
      </c>
      <c r="G672" s="4" t="str">
        <f>HYPERLINK("http://141.218.60.56/~jnz1568/getInfo.php?workbook=11_02.xlsx&amp;sheet=U0&amp;row=672&amp;col=7&amp;number=0.00034&amp;sourceID=14","0.00034")</f>
        <v>0.00034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HYPERLINK("http://141.218.60.56/~jnz1568/getInfo.php?workbook=11_02.xlsx&amp;sheet=U0&amp;row=673&amp;col=6&amp;number=3.9&amp;sourceID=14","3.9")</f>
        <v>3.9</v>
      </c>
      <c r="G673" s="4" t="str">
        <f>HYPERLINK("http://141.218.60.56/~jnz1568/getInfo.php?workbook=11_02.xlsx&amp;sheet=U0&amp;row=673&amp;col=7&amp;number=0.00034&amp;sourceID=14","0.00034")</f>
        <v>0.00034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HYPERLINK("http://141.218.60.56/~jnz1568/getInfo.php?workbook=11_02.xlsx&amp;sheet=U0&amp;row=674&amp;col=6&amp;number=4&amp;sourceID=14","4")</f>
        <v>4</v>
      </c>
      <c r="G674" s="4" t="str">
        <f>HYPERLINK("http://141.218.60.56/~jnz1568/getInfo.php?workbook=11_02.xlsx&amp;sheet=U0&amp;row=674&amp;col=7&amp;number=0.00034&amp;sourceID=14","0.00034")</f>
        <v>0.00034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HYPERLINK("http://141.218.60.56/~jnz1568/getInfo.php?workbook=11_02.xlsx&amp;sheet=U0&amp;row=675&amp;col=6&amp;number=4.1&amp;sourceID=14","4.1")</f>
        <v>4.1</v>
      </c>
      <c r="G675" s="4" t="str">
        <f>HYPERLINK("http://141.218.60.56/~jnz1568/getInfo.php?workbook=11_02.xlsx&amp;sheet=U0&amp;row=675&amp;col=7&amp;number=0.00034&amp;sourceID=14","0.00034")</f>
        <v>0.00034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HYPERLINK("http://141.218.60.56/~jnz1568/getInfo.php?workbook=11_02.xlsx&amp;sheet=U0&amp;row=676&amp;col=6&amp;number=4.2&amp;sourceID=14","4.2")</f>
        <v>4.2</v>
      </c>
      <c r="G676" s="4" t="str">
        <f>HYPERLINK("http://141.218.60.56/~jnz1568/getInfo.php?workbook=11_02.xlsx&amp;sheet=U0&amp;row=676&amp;col=7&amp;number=0.00034&amp;sourceID=14","0.00034")</f>
        <v>0.00034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HYPERLINK("http://141.218.60.56/~jnz1568/getInfo.php?workbook=11_02.xlsx&amp;sheet=U0&amp;row=677&amp;col=6&amp;number=4.3&amp;sourceID=14","4.3")</f>
        <v>4.3</v>
      </c>
      <c r="G677" s="4" t="str">
        <f>HYPERLINK("http://141.218.60.56/~jnz1568/getInfo.php?workbook=11_02.xlsx&amp;sheet=U0&amp;row=677&amp;col=7&amp;number=0.00034&amp;sourceID=14","0.00034")</f>
        <v>0.00034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HYPERLINK("http://141.218.60.56/~jnz1568/getInfo.php?workbook=11_02.xlsx&amp;sheet=U0&amp;row=678&amp;col=6&amp;number=4.4&amp;sourceID=14","4.4")</f>
        <v>4.4</v>
      </c>
      <c r="G678" s="4" t="str">
        <f>HYPERLINK("http://141.218.60.56/~jnz1568/getInfo.php?workbook=11_02.xlsx&amp;sheet=U0&amp;row=678&amp;col=7&amp;number=0.00034&amp;sourceID=14","0.00034")</f>
        <v>0.00034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HYPERLINK("http://141.218.60.56/~jnz1568/getInfo.php?workbook=11_02.xlsx&amp;sheet=U0&amp;row=679&amp;col=6&amp;number=4.5&amp;sourceID=14","4.5")</f>
        <v>4.5</v>
      </c>
      <c r="G679" s="4" t="str">
        <f>HYPERLINK("http://141.218.60.56/~jnz1568/getInfo.php?workbook=11_02.xlsx&amp;sheet=U0&amp;row=679&amp;col=7&amp;number=0.00034&amp;sourceID=14","0.00034")</f>
        <v>0.00034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HYPERLINK("http://141.218.60.56/~jnz1568/getInfo.php?workbook=11_02.xlsx&amp;sheet=U0&amp;row=680&amp;col=6&amp;number=4.6&amp;sourceID=14","4.6")</f>
        <v>4.6</v>
      </c>
      <c r="G680" s="4" t="str">
        <f>HYPERLINK("http://141.218.60.56/~jnz1568/getInfo.php?workbook=11_02.xlsx&amp;sheet=U0&amp;row=680&amp;col=7&amp;number=0.00034&amp;sourceID=14","0.00034")</f>
        <v>0.00034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HYPERLINK("http://141.218.60.56/~jnz1568/getInfo.php?workbook=11_02.xlsx&amp;sheet=U0&amp;row=681&amp;col=6&amp;number=4.7&amp;sourceID=14","4.7")</f>
        <v>4.7</v>
      </c>
      <c r="G681" s="4" t="str">
        <f>HYPERLINK("http://141.218.60.56/~jnz1568/getInfo.php?workbook=11_02.xlsx&amp;sheet=U0&amp;row=681&amp;col=7&amp;number=0.00034&amp;sourceID=14","0.00034")</f>
        <v>0.00034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HYPERLINK("http://141.218.60.56/~jnz1568/getInfo.php?workbook=11_02.xlsx&amp;sheet=U0&amp;row=682&amp;col=6&amp;number=4.8&amp;sourceID=14","4.8")</f>
        <v>4.8</v>
      </c>
      <c r="G682" s="4" t="str">
        <f>HYPERLINK("http://141.218.60.56/~jnz1568/getInfo.php?workbook=11_02.xlsx&amp;sheet=U0&amp;row=682&amp;col=7&amp;number=0.00034&amp;sourceID=14","0.00034")</f>
        <v>0.00034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HYPERLINK("http://141.218.60.56/~jnz1568/getInfo.php?workbook=11_02.xlsx&amp;sheet=U0&amp;row=683&amp;col=6&amp;number=4.9&amp;sourceID=14","4.9")</f>
        <v>4.9</v>
      </c>
      <c r="G683" s="4" t="str">
        <f>HYPERLINK("http://141.218.60.56/~jnz1568/getInfo.php?workbook=11_02.xlsx&amp;sheet=U0&amp;row=683&amp;col=7&amp;number=0.00034&amp;sourceID=14","0.00034")</f>
        <v>0.00034</v>
      </c>
    </row>
    <row r="684" spans="1:7">
      <c r="A684" s="3">
        <v>11</v>
      </c>
      <c r="B684" s="3">
        <v>2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HYPERLINK("http://141.218.60.56/~jnz1568/getInfo.php?workbook=11_02.xlsx&amp;sheet=U0&amp;row=684&amp;col=6&amp;number=3&amp;sourceID=14","3")</f>
        <v>3</v>
      </c>
      <c r="G684" s="4" t="str">
        <f>HYPERLINK("http://141.218.60.56/~jnz1568/getInfo.php?workbook=11_02.xlsx&amp;sheet=U0&amp;row=684&amp;col=7&amp;number=0.000193&amp;sourceID=14","0.000193")</f>
        <v>0.000193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HYPERLINK("http://141.218.60.56/~jnz1568/getInfo.php?workbook=11_02.xlsx&amp;sheet=U0&amp;row=685&amp;col=6&amp;number=3.1&amp;sourceID=14","3.1")</f>
        <v>3.1</v>
      </c>
      <c r="G685" s="4" t="str">
        <f>HYPERLINK("http://141.218.60.56/~jnz1568/getInfo.php?workbook=11_02.xlsx&amp;sheet=U0&amp;row=685&amp;col=7&amp;number=0.000193&amp;sourceID=14","0.000193")</f>
        <v>0.000193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HYPERLINK("http://141.218.60.56/~jnz1568/getInfo.php?workbook=11_02.xlsx&amp;sheet=U0&amp;row=686&amp;col=6&amp;number=3.2&amp;sourceID=14","3.2")</f>
        <v>3.2</v>
      </c>
      <c r="G686" s="4" t="str">
        <f>HYPERLINK("http://141.218.60.56/~jnz1568/getInfo.php?workbook=11_02.xlsx&amp;sheet=U0&amp;row=686&amp;col=7&amp;number=0.000193&amp;sourceID=14","0.000193")</f>
        <v>0.000193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HYPERLINK("http://141.218.60.56/~jnz1568/getInfo.php?workbook=11_02.xlsx&amp;sheet=U0&amp;row=687&amp;col=6&amp;number=3.3&amp;sourceID=14","3.3")</f>
        <v>3.3</v>
      </c>
      <c r="G687" s="4" t="str">
        <f>HYPERLINK("http://141.218.60.56/~jnz1568/getInfo.php?workbook=11_02.xlsx&amp;sheet=U0&amp;row=687&amp;col=7&amp;number=0.000193&amp;sourceID=14","0.000193")</f>
        <v>0.000193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HYPERLINK("http://141.218.60.56/~jnz1568/getInfo.php?workbook=11_02.xlsx&amp;sheet=U0&amp;row=688&amp;col=6&amp;number=3.4&amp;sourceID=14","3.4")</f>
        <v>3.4</v>
      </c>
      <c r="G688" s="4" t="str">
        <f>HYPERLINK("http://141.218.60.56/~jnz1568/getInfo.php?workbook=11_02.xlsx&amp;sheet=U0&amp;row=688&amp;col=7&amp;number=0.000193&amp;sourceID=14","0.000193")</f>
        <v>0.000193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HYPERLINK("http://141.218.60.56/~jnz1568/getInfo.php?workbook=11_02.xlsx&amp;sheet=U0&amp;row=689&amp;col=6&amp;number=3.5&amp;sourceID=14","3.5")</f>
        <v>3.5</v>
      </c>
      <c r="G689" s="4" t="str">
        <f>HYPERLINK("http://141.218.60.56/~jnz1568/getInfo.php?workbook=11_02.xlsx&amp;sheet=U0&amp;row=689&amp;col=7&amp;number=0.000193&amp;sourceID=14","0.000193")</f>
        <v>0.000193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HYPERLINK("http://141.218.60.56/~jnz1568/getInfo.php?workbook=11_02.xlsx&amp;sheet=U0&amp;row=690&amp;col=6&amp;number=3.6&amp;sourceID=14","3.6")</f>
        <v>3.6</v>
      </c>
      <c r="G690" s="4" t="str">
        <f>HYPERLINK("http://141.218.60.56/~jnz1568/getInfo.php?workbook=11_02.xlsx&amp;sheet=U0&amp;row=690&amp;col=7&amp;number=0.000193&amp;sourceID=14","0.000193")</f>
        <v>0.000193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HYPERLINK("http://141.218.60.56/~jnz1568/getInfo.php?workbook=11_02.xlsx&amp;sheet=U0&amp;row=691&amp;col=6&amp;number=3.7&amp;sourceID=14","3.7")</f>
        <v>3.7</v>
      </c>
      <c r="G691" s="4" t="str">
        <f>HYPERLINK("http://141.218.60.56/~jnz1568/getInfo.php?workbook=11_02.xlsx&amp;sheet=U0&amp;row=691&amp;col=7&amp;number=0.000193&amp;sourceID=14","0.000193")</f>
        <v>0.000193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HYPERLINK("http://141.218.60.56/~jnz1568/getInfo.php?workbook=11_02.xlsx&amp;sheet=U0&amp;row=692&amp;col=6&amp;number=3.8&amp;sourceID=14","3.8")</f>
        <v>3.8</v>
      </c>
      <c r="G692" s="4" t="str">
        <f>HYPERLINK("http://141.218.60.56/~jnz1568/getInfo.php?workbook=11_02.xlsx&amp;sheet=U0&amp;row=692&amp;col=7&amp;number=0.000193&amp;sourceID=14","0.000193")</f>
        <v>0.000193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HYPERLINK("http://141.218.60.56/~jnz1568/getInfo.php?workbook=11_02.xlsx&amp;sheet=U0&amp;row=693&amp;col=6&amp;number=3.9&amp;sourceID=14","3.9")</f>
        <v>3.9</v>
      </c>
      <c r="G693" s="4" t="str">
        <f>HYPERLINK("http://141.218.60.56/~jnz1568/getInfo.php?workbook=11_02.xlsx&amp;sheet=U0&amp;row=693&amp;col=7&amp;number=0.000193&amp;sourceID=14","0.000193")</f>
        <v>0.000193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HYPERLINK("http://141.218.60.56/~jnz1568/getInfo.php?workbook=11_02.xlsx&amp;sheet=U0&amp;row=694&amp;col=6&amp;number=4&amp;sourceID=14","4")</f>
        <v>4</v>
      </c>
      <c r="G694" s="4" t="str">
        <f>HYPERLINK("http://141.218.60.56/~jnz1568/getInfo.php?workbook=11_02.xlsx&amp;sheet=U0&amp;row=694&amp;col=7&amp;number=0.000193&amp;sourceID=14","0.000193")</f>
        <v>0.000193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HYPERLINK("http://141.218.60.56/~jnz1568/getInfo.php?workbook=11_02.xlsx&amp;sheet=U0&amp;row=695&amp;col=6&amp;number=4.1&amp;sourceID=14","4.1")</f>
        <v>4.1</v>
      </c>
      <c r="G695" s="4" t="str">
        <f>HYPERLINK("http://141.218.60.56/~jnz1568/getInfo.php?workbook=11_02.xlsx&amp;sheet=U0&amp;row=695&amp;col=7&amp;number=0.000193&amp;sourceID=14","0.000193")</f>
        <v>0.000193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HYPERLINK("http://141.218.60.56/~jnz1568/getInfo.php?workbook=11_02.xlsx&amp;sheet=U0&amp;row=696&amp;col=6&amp;number=4.2&amp;sourceID=14","4.2")</f>
        <v>4.2</v>
      </c>
      <c r="G696" s="4" t="str">
        <f>HYPERLINK("http://141.218.60.56/~jnz1568/getInfo.php?workbook=11_02.xlsx&amp;sheet=U0&amp;row=696&amp;col=7&amp;number=0.000193&amp;sourceID=14","0.000193")</f>
        <v>0.000193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HYPERLINK("http://141.218.60.56/~jnz1568/getInfo.php?workbook=11_02.xlsx&amp;sheet=U0&amp;row=697&amp;col=6&amp;number=4.3&amp;sourceID=14","4.3")</f>
        <v>4.3</v>
      </c>
      <c r="G697" s="4" t="str">
        <f>HYPERLINK("http://141.218.60.56/~jnz1568/getInfo.php?workbook=11_02.xlsx&amp;sheet=U0&amp;row=697&amp;col=7&amp;number=0.000193&amp;sourceID=14","0.000193")</f>
        <v>0.000193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HYPERLINK("http://141.218.60.56/~jnz1568/getInfo.php?workbook=11_02.xlsx&amp;sheet=U0&amp;row=698&amp;col=6&amp;number=4.4&amp;sourceID=14","4.4")</f>
        <v>4.4</v>
      </c>
      <c r="G698" s="4" t="str">
        <f>HYPERLINK("http://141.218.60.56/~jnz1568/getInfo.php?workbook=11_02.xlsx&amp;sheet=U0&amp;row=698&amp;col=7&amp;number=0.000192&amp;sourceID=14","0.000192")</f>
        <v>0.000192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HYPERLINK("http://141.218.60.56/~jnz1568/getInfo.php?workbook=11_02.xlsx&amp;sheet=U0&amp;row=699&amp;col=6&amp;number=4.5&amp;sourceID=14","4.5")</f>
        <v>4.5</v>
      </c>
      <c r="G699" s="4" t="str">
        <f>HYPERLINK("http://141.218.60.56/~jnz1568/getInfo.php?workbook=11_02.xlsx&amp;sheet=U0&amp;row=699&amp;col=7&amp;number=0.000192&amp;sourceID=14","0.000192")</f>
        <v>0.000192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HYPERLINK("http://141.218.60.56/~jnz1568/getInfo.php?workbook=11_02.xlsx&amp;sheet=U0&amp;row=700&amp;col=6&amp;number=4.6&amp;sourceID=14","4.6")</f>
        <v>4.6</v>
      </c>
      <c r="G700" s="4" t="str">
        <f>HYPERLINK("http://141.218.60.56/~jnz1568/getInfo.php?workbook=11_02.xlsx&amp;sheet=U0&amp;row=700&amp;col=7&amp;number=0.000192&amp;sourceID=14","0.000192")</f>
        <v>0.000192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HYPERLINK("http://141.218.60.56/~jnz1568/getInfo.php?workbook=11_02.xlsx&amp;sheet=U0&amp;row=701&amp;col=6&amp;number=4.7&amp;sourceID=14","4.7")</f>
        <v>4.7</v>
      </c>
      <c r="G701" s="4" t="str">
        <f>HYPERLINK("http://141.218.60.56/~jnz1568/getInfo.php?workbook=11_02.xlsx&amp;sheet=U0&amp;row=701&amp;col=7&amp;number=0.000192&amp;sourceID=14","0.000192")</f>
        <v>0.000192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HYPERLINK("http://141.218.60.56/~jnz1568/getInfo.php?workbook=11_02.xlsx&amp;sheet=U0&amp;row=702&amp;col=6&amp;number=4.8&amp;sourceID=14","4.8")</f>
        <v>4.8</v>
      </c>
      <c r="G702" s="4" t="str">
        <f>HYPERLINK("http://141.218.60.56/~jnz1568/getInfo.php?workbook=11_02.xlsx&amp;sheet=U0&amp;row=702&amp;col=7&amp;number=0.000191&amp;sourceID=14","0.000191")</f>
        <v>0.000191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HYPERLINK("http://141.218.60.56/~jnz1568/getInfo.php?workbook=11_02.xlsx&amp;sheet=U0&amp;row=703&amp;col=6&amp;number=4.9&amp;sourceID=14","4.9")</f>
        <v>4.9</v>
      </c>
      <c r="G703" s="4" t="str">
        <f>HYPERLINK("http://141.218.60.56/~jnz1568/getInfo.php?workbook=11_02.xlsx&amp;sheet=U0&amp;row=703&amp;col=7&amp;number=0.000191&amp;sourceID=14","0.000191")</f>
        <v>0.000191</v>
      </c>
    </row>
    <row r="704" spans="1:7">
      <c r="A704" s="3">
        <v>11</v>
      </c>
      <c r="B704" s="3">
        <v>2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HYPERLINK("http://141.218.60.56/~jnz1568/getInfo.php?workbook=11_02.xlsx&amp;sheet=U0&amp;row=704&amp;col=6&amp;number=3&amp;sourceID=14","3")</f>
        <v>3</v>
      </c>
      <c r="G704" s="4" t="str">
        <f>HYPERLINK("http://141.218.60.56/~jnz1568/getInfo.php?workbook=11_02.xlsx&amp;sheet=U0&amp;row=704&amp;col=7&amp;number=4.69e-05&amp;sourceID=14","4.69e-05")</f>
        <v>4.69e-05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HYPERLINK("http://141.218.60.56/~jnz1568/getInfo.php?workbook=11_02.xlsx&amp;sheet=U0&amp;row=705&amp;col=6&amp;number=3.1&amp;sourceID=14","3.1")</f>
        <v>3.1</v>
      </c>
      <c r="G705" s="4" t="str">
        <f>HYPERLINK("http://141.218.60.56/~jnz1568/getInfo.php?workbook=11_02.xlsx&amp;sheet=U0&amp;row=705&amp;col=7&amp;number=4.69e-05&amp;sourceID=14","4.69e-05")</f>
        <v>4.69e-05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HYPERLINK("http://141.218.60.56/~jnz1568/getInfo.php?workbook=11_02.xlsx&amp;sheet=U0&amp;row=706&amp;col=6&amp;number=3.2&amp;sourceID=14","3.2")</f>
        <v>3.2</v>
      </c>
      <c r="G706" s="4" t="str">
        <f>HYPERLINK("http://141.218.60.56/~jnz1568/getInfo.php?workbook=11_02.xlsx&amp;sheet=U0&amp;row=706&amp;col=7&amp;number=4.69e-05&amp;sourceID=14","4.69e-05")</f>
        <v>4.69e-05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HYPERLINK("http://141.218.60.56/~jnz1568/getInfo.php?workbook=11_02.xlsx&amp;sheet=U0&amp;row=707&amp;col=6&amp;number=3.3&amp;sourceID=14","3.3")</f>
        <v>3.3</v>
      </c>
      <c r="G707" s="4" t="str">
        <f>HYPERLINK("http://141.218.60.56/~jnz1568/getInfo.php?workbook=11_02.xlsx&amp;sheet=U0&amp;row=707&amp;col=7&amp;number=4.69e-05&amp;sourceID=14","4.69e-05")</f>
        <v>4.69e-05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HYPERLINK("http://141.218.60.56/~jnz1568/getInfo.php?workbook=11_02.xlsx&amp;sheet=U0&amp;row=708&amp;col=6&amp;number=3.4&amp;sourceID=14","3.4")</f>
        <v>3.4</v>
      </c>
      <c r="G708" s="4" t="str">
        <f>HYPERLINK("http://141.218.60.56/~jnz1568/getInfo.php?workbook=11_02.xlsx&amp;sheet=U0&amp;row=708&amp;col=7&amp;number=4.69e-05&amp;sourceID=14","4.69e-05")</f>
        <v>4.69e-05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HYPERLINK("http://141.218.60.56/~jnz1568/getInfo.php?workbook=11_02.xlsx&amp;sheet=U0&amp;row=709&amp;col=6&amp;number=3.5&amp;sourceID=14","3.5")</f>
        <v>3.5</v>
      </c>
      <c r="G709" s="4" t="str">
        <f>HYPERLINK("http://141.218.60.56/~jnz1568/getInfo.php?workbook=11_02.xlsx&amp;sheet=U0&amp;row=709&amp;col=7&amp;number=4.69e-05&amp;sourceID=14","4.69e-05")</f>
        <v>4.69e-05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HYPERLINK("http://141.218.60.56/~jnz1568/getInfo.php?workbook=11_02.xlsx&amp;sheet=U0&amp;row=710&amp;col=6&amp;number=3.6&amp;sourceID=14","3.6")</f>
        <v>3.6</v>
      </c>
      <c r="G710" s="4" t="str">
        <f>HYPERLINK("http://141.218.60.56/~jnz1568/getInfo.php?workbook=11_02.xlsx&amp;sheet=U0&amp;row=710&amp;col=7&amp;number=4.69e-05&amp;sourceID=14","4.69e-05")</f>
        <v>4.69e-05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HYPERLINK("http://141.218.60.56/~jnz1568/getInfo.php?workbook=11_02.xlsx&amp;sheet=U0&amp;row=711&amp;col=6&amp;number=3.7&amp;sourceID=14","3.7")</f>
        <v>3.7</v>
      </c>
      <c r="G711" s="4" t="str">
        <f>HYPERLINK("http://141.218.60.56/~jnz1568/getInfo.php?workbook=11_02.xlsx&amp;sheet=U0&amp;row=711&amp;col=7&amp;number=4.69e-05&amp;sourceID=14","4.69e-05")</f>
        <v>4.69e-05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HYPERLINK("http://141.218.60.56/~jnz1568/getInfo.php?workbook=11_02.xlsx&amp;sheet=U0&amp;row=712&amp;col=6&amp;number=3.8&amp;sourceID=14","3.8")</f>
        <v>3.8</v>
      </c>
      <c r="G712" s="4" t="str">
        <f>HYPERLINK("http://141.218.60.56/~jnz1568/getInfo.php?workbook=11_02.xlsx&amp;sheet=U0&amp;row=712&amp;col=7&amp;number=4.68e-05&amp;sourceID=14","4.68e-05")</f>
        <v>4.68e-05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HYPERLINK("http://141.218.60.56/~jnz1568/getInfo.php?workbook=11_02.xlsx&amp;sheet=U0&amp;row=713&amp;col=6&amp;number=3.9&amp;sourceID=14","3.9")</f>
        <v>3.9</v>
      </c>
      <c r="G713" s="4" t="str">
        <f>HYPERLINK("http://141.218.60.56/~jnz1568/getInfo.php?workbook=11_02.xlsx&amp;sheet=U0&amp;row=713&amp;col=7&amp;number=4.68e-05&amp;sourceID=14","4.68e-05")</f>
        <v>4.68e-05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HYPERLINK("http://141.218.60.56/~jnz1568/getInfo.php?workbook=11_02.xlsx&amp;sheet=U0&amp;row=714&amp;col=6&amp;number=4&amp;sourceID=14","4")</f>
        <v>4</v>
      </c>
      <c r="G714" s="4" t="str">
        <f>HYPERLINK("http://141.218.60.56/~jnz1568/getInfo.php?workbook=11_02.xlsx&amp;sheet=U0&amp;row=714&amp;col=7&amp;number=4.68e-05&amp;sourceID=14","4.68e-05")</f>
        <v>4.68e-05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HYPERLINK("http://141.218.60.56/~jnz1568/getInfo.php?workbook=11_02.xlsx&amp;sheet=U0&amp;row=715&amp;col=6&amp;number=4.1&amp;sourceID=14","4.1")</f>
        <v>4.1</v>
      </c>
      <c r="G715" s="4" t="str">
        <f>HYPERLINK("http://141.218.60.56/~jnz1568/getInfo.php?workbook=11_02.xlsx&amp;sheet=U0&amp;row=715&amp;col=7&amp;number=4.68e-05&amp;sourceID=14","4.68e-05")</f>
        <v>4.68e-05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HYPERLINK("http://141.218.60.56/~jnz1568/getInfo.php?workbook=11_02.xlsx&amp;sheet=U0&amp;row=716&amp;col=6&amp;number=4.2&amp;sourceID=14","4.2")</f>
        <v>4.2</v>
      </c>
      <c r="G716" s="4" t="str">
        <f>HYPERLINK("http://141.218.60.56/~jnz1568/getInfo.php?workbook=11_02.xlsx&amp;sheet=U0&amp;row=716&amp;col=7&amp;number=4.67e-05&amp;sourceID=14","4.67e-05")</f>
        <v>4.67e-05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HYPERLINK("http://141.218.60.56/~jnz1568/getInfo.php?workbook=11_02.xlsx&amp;sheet=U0&amp;row=717&amp;col=6&amp;number=4.3&amp;sourceID=14","4.3")</f>
        <v>4.3</v>
      </c>
      <c r="G717" s="4" t="str">
        <f>HYPERLINK("http://141.218.60.56/~jnz1568/getInfo.php?workbook=11_02.xlsx&amp;sheet=U0&amp;row=717&amp;col=7&amp;number=4.67e-05&amp;sourceID=14","4.67e-05")</f>
        <v>4.67e-05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HYPERLINK("http://141.218.60.56/~jnz1568/getInfo.php?workbook=11_02.xlsx&amp;sheet=U0&amp;row=718&amp;col=6&amp;number=4.4&amp;sourceID=14","4.4")</f>
        <v>4.4</v>
      </c>
      <c r="G718" s="4" t="str">
        <f>HYPERLINK("http://141.218.60.56/~jnz1568/getInfo.php?workbook=11_02.xlsx&amp;sheet=U0&amp;row=718&amp;col=7&amp;number=4.66e-05&amp;sourceID=14","4.66e-05")</f>
        <v>4.66e-05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HYPERLINK("http://141.218.60.56/~jnz1568/getInfo.php?workbook=11_02.xlsx&amp;sheet=U0&amp;row=719&amp;col=6&amp;number=4.5&amp;sourceID=14","4.5")</f>
        <v>4.5</v>
      </c>
      <c r="G719" s="4" t="str">
        <f>HYPERLINK("http://141.218.60.56/~jnz1568/getInfo.php?workbook=11_02.xlsx&amp;sheet=U0&amp;row=719&amp;col=7&amp;number=4.65e-05&amp;sourceID=14","4.65e-05")</f>
        <v>4.65e-05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HYPERLINK("http://141.218.60.56/~jnz1568/getInfo.php?workbook=11_02.xlsx&amp;sheet=U0&amp;row=720&amp;col=6&amp;number=4.6&amp;sourceID=14","4.6")</f>
        <v>4.6</v>
      </c>
      <c r="G720" s="4" t="str">
        <f>HYPERLINK("http://141.218.60.56/~jnz1568/getInfo.php?workbook=11_02.xlsx&amp;sheet=U0&amp;row=720&amp;col=7&amp;number=4.64e-05&amp;sourceID=14","4.64e-05")</f>
        <v>4.64e-05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HYPERLINK("http://141.218.60.56/~jnz1568/getInfo.php?workbook=11_02.xlsx&amp;sheet=U0&amp;row=721&amp;col=6&amp;number=4.7&amp;sourceID=14","4.7")</f>
        <v>4.7</v>
      </c>
      <c r="G721" s="4" t="str">
        <f>HYPERLINK("http://141.218.60.56/~jnz1568/getInfo.php?workbook=11_02.xlsx&amp;sheet=U0&amp;row=721&amp;col=7&amp;number=4.63e-05&amp;sourceID=14","4.63e-05")</f>
        <v>4.63e-05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HYPERLINK("http://141.218.60.56/~jnz1568/getInfo.php?workbook=11_02.xlsx&amp;sheet=U0&amp;row=722&amp;col=6&amp;number=4.8&amp;sourceID=14","4.8")</f>
        <v>4.8</v>
      </c>
      <c r="G722" s="4" t="str">
        <f>HYPERLINK("http://141.218.60.56/~jnz1568/getInfo.php?workbook=11_02.xlsx&amp;sheet=U0&amp;row=722&amp;col=7&amp;number=4.61e-05&amp;sourceID=14","4.61e-05")</f>
        <v>4.61e-05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HYPERLINK("http://141.218.60.56/~jnz1568/getInfo.php?workbook=11_02.xlsx&amp;sheet=U0&amp;row=723&amp;col=6&amp;number=4.9&amp;sourceID=14","4.9")</f>
        <v>4.9</v>
      </c>
      <c r="G723" s="4" t="str">
        <f>HYPERLINK("http://141.218.60.56/~jnz1568/getInfo.php?workbook=11_02.xlsx&amp;sheet=U0&amp;row=723&amp;col=7&amp;number=4.59e-05&amp;sourceID=14","4.59e-05")</f>
        <v>4.59e-05</v>
      </c>
    </row>
    <row r="724" spans="1:7">
      <c r="A724" s="3">
        <v>11</v>
      </c>
      <c r="B724" s="3">
        <v>2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HYPERLINK("http://141.218.60.56/~jnz1568/getInfo.php?workbook=11_02.xlsx&amp;sheet=U0&amp;row=724&amp;col=6&amp;number=3&amp;sourceID=14","3")</f>
        <v>3</v>
      </c>
      <c r="G724" s="4" t="str">
        <f>HYPERLINK("http://141.218.60.56/~jnz1568/getInfo.php?workbook=11_02.xlsx&amp;sheet=U0&amp;row=724&amp;col=7&amp;number=7.81e-05&amp;sourceID=14","7.81e-05")</f>
        <v>7.81e-05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HYPERLINK("http://141.218.60.56/~jnz1568/getInfo.php?workbook=11_02.xlsx&amp;sheet=U0&amp;row=725&amp;col=6&amp;number=3.1&amp;sourceID=14","3.1")</f>
        <v>3.1</v>
      </c>
      <c r="G725" s="4" t="str">
        <f>HYPERLINK("http://141.218.60.56/~jnz1568/getInfo.php?workbook=11_02.xlsx&amp;sheet=U0&amp;row=725&amp;col=7&amp;number=7.81e-05&amp;sourceID=14","7.81e-05")</f>
        <v>7.81e-05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HYPERLINK("http://141.218.60.56/~jnz1568/getInfo.php?workbook=11_02.xlsx&amp;sheet=U0&amp;row=726&amp;col=6&amp;number=3.2&amp;sourceID=14","3.2")</f>
        <v>3.2</v>
      </c>
      <c r="G726" s="4" t="str">
        <f>HYPERLINK("http://141.218.60.56/~jnz1568/getInfo.php?workbook=11_02.xlsx&amp;sheet=U0&amp;row=726&amp;col=7&amp;number=7.81e-05&amp;sourceID=14","7.81e-05")</f>
        <v>7.81e-05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HYPERLINK("http://141.218.60.56/~jnz1568/getInfo.php?workbook=11_02.xlsx&amp;sheet=U0&amp;row=727&amp;col=6&amp;number=3.3&amp;sourceID=14","3.3")</f>
        <v>3.3</v>
      </c>
      <c r="G727" s="4" t="str">
        <f>HYPERLINK("http://141.218.60.56/~jnz1568/getInfo.php?workbook=11_02.xlsx&amp;sheet=U0&amp;row=727&amp;col=7&amp;number=7.81e-05&amp;sourceID=14","7.81e-05")</f>
        <v>7.81e-05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HYPERLINK("http://141.218.60.56/~jnz1568/getInfo.php?workbook=11_02.xlsx&amp;sheet=U0&amp;row=728&amp;col=6&amp;number=3.4&amp;sourceID=14","3.4")</f>
        <v>3.4</v>
      </c>
      <c r="G728" s="4" t="str">
        <f>HYPERLINK("http://141.218.60.56/~jnz1568/getInfo.php?workbook=11_02.xlsx&amp;sheet=U0&amp;row=728&amp;col=7&amp;number=7.81e-05&amp;sourceID=14","7.81e-05")</f>
        <v>7.81e-05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HYPERLINK("http://141.218.60.56/~jnz1568/getInfo.php?workbook=11_02.xlsx&amp;sheet=U0&amp;row=729&amp;col=6&amp;number=3.5&amp;sourceID=14","3.5")</f>
        <v>3.5</v>
      </c>
      <c r="G729" s="4" t="str">
        <f>HYPERLINK("http://141.218.60.56/~jnz1568/getInfo.php?workbook=11_02.xlsx&amp;sheet=U0&amp;row=729&amp;col=7&amp;number=7.81e-05&amp;sourceID=14","7.81e-05")</f>
        <v>7.81e-05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HYPERLINK("http://141.218.60.56/~jnz1568/getInfo.php?workbook=11_02.xlsx&amp;sheet=U0&amp;row=730&amp;col=6&amp;number=3.6&amp;sourceID=14","3.6")</f>
        <v>3.6</v>
      </c>
      <c r="G730" s="4" t="str">
        <f>HYPERLINK("http://141.218.60.56/~jnz1568/getInfo.php?workbook=11_02.xlsx&amp;sheet=U0&amp;row=730&amp;col=7&amp;number=7.81e-05&amp;sourceID=14","7.81e-05")</f>
        <v>7.81e-05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HYPERLINK("http://141.218.60.56/~jnz1568/getInfo.php?workbook=11_02.xlsx&amp;sheet=U0&amp;row=731&amp;col=6&amp;number=3.7&amp;sourceID=14","3.7")</f>
        <v>3.7</v>
      </c>
      <c r="G731" s="4" t="str">
        <f>HYPERLINK("http://141.218.60.56/~jnz1568/getInfo.php?workbook=11_02.xlsx&amp;sheet=U0&amp;row=731&amp;col=7&amp;number=7.8e-05&amp;sourceID=14","7.8e-05")</f>
        <v>7.8e-05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HYPERLINK("http://141.218.60.56/~jnz1568/getInfo.php?workbook=11_02.xlsx&amp;sheet=U0&amp;row=732&amp;col=6&amp;number=3.8&amp;sourceID=14","3.8")</f>
        <v>3.8</v>
      </c>
      <c r="G732" s="4" t="str">
        <f>HYPERLINK("http://141.218.60.56/~jnz1568/getInfo.php?workbook=11_02.xlsx&amp;sheet=U0&amp;row=732&amp;col=7&amp;number=7.8e-05&amp;sourceID=14","7.8e-05")</f>
        <v>7.8e-05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HYPERLINK("http://141.218.60.56/~jnz1568/getInfo.php?workbook=11_02.xlsx&amp;sheet=U0&amp;row=733&amp;col=6&amp;number=3.9&amp;sourceID=14","3.9")</f>
        <v>3.9</v>
      </c>
      <c r="G733" s="4" t="str">
        <f>HYPERLINK("http://141.218.60.56/~jnz1568/getInfo.php?workbook=11_02.xlsx&amp;sheet=U0&amp;row=733&amp;col=7&amp;number=7.8e-05&amp;sourceID=14","7.8e-05")</f>
        <v>7.8e-05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HYPERLINK("http://141.218.60.56/~jnz1568/getInfo.php?workbook=11_02.xlsx&amp;sheet=U0&amp;row=734&amp;col=6&amp;number=4&amp;sourceID=14","4")</f>
        <v>4</v>
      </c>
      <c r="G734" s="4" t="str">
        <f>HYPERLINK("http://141.218.60.56/~jnz1568/getInfo.php?workbook=11_02.xlsx&amp;sheet=U0&amp;row=734&amp;col=7&amp;number=7.79e-05&amp;sourceID=14","7.79e-05")</f>
        <v>7.79e-05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HYPERLINK("http://141.218.60.56/~jnz1568/getInfo.php?workbook=11_02.xlsx&amp;sheet=U0&amp;row=735&amp;col=6&amp;number=4.1&amp;sourceID=14","4.1")</f>
        <v>4.1</v>
      </c>
      <c r="G735" s="4" t="str">
        <f>HYPERLINK("http://141.218.60.56/~jnz1568/getInfo.php?workbook=11_02.xlsx&amp;sheet=U0&amp;row=735&amp;col=7&amp;number=7.79e-05&amp;sourceID=14","7.79e-05")</f>
        <v>7.79e-05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HYPERLINK("http://141.218.60.56/~jnz1568/getInfo.php?workbook=11_02.xlsx&amp;sheet=U0&amp;row=736&amp;col=6&amp;number=4.2&amp;sourceID=14","4.2")</f>
        <v>4.2</v>
      </c>
      <c r="G736" s="4" t="str">
        <f>HYPERLINK("http://141.218.60.56/~jnz1568/getInfo.php?workbook=11_02.xlsx&amp;sheet=U0&amp;row=736&amp;col=7&amp;number=7.78e-05&amp;sourceID=14","7.78e-05")</f>
        <v>7.78e-05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HYPERLINK("http://141.218.60.56/~jnz1568/getInfo.php?workbook=11_02.xlsx&amp;sheet=U0&amp;row=737&amp;col=6&amp;number=4.3&amp;sourceID=14","4.3")</f>
        <v>4.3</v>
      </c>
      <c r="G737" s="4" t="str">
        <f>HYPERLINK("http://141.218.60.56/~jnz1568/getInfo.php?workbook=11_02.xlsx&amp;sheet=U0&amp;row=737&amp;col=7&amp;number=7.78e-05&amp;sourceID=14","7.78e-05")</f>
        <v>7.78e-05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HYPERLINK("http://141.218.60.56/~jnz1568/getInfo.php?workbook=11_02.xlsx&amp;sheet=U0&amp;row=738&amp;col=6&amp;number=4.4&amp;sourceID=14","4.4")</f>
        <v>4.4</v>
      </c>
      <c r="G738" s="4" t="str">
        <f>HYPERLINK("http://141.218.60.56/~jnz1568/getInfo.php?workbook=11_02.xlsx&amp;sheet=U0&amp;row=738&amp;col=7&amp;number=7.77e-05&amp;sourceID=14","7.77e-05")</f>
        <v>7.77e-05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HYPERLINK("http://141.218.60.56/~jnz1568/getInfo.php?workbook=11_02.xlsx&amp;sheet=U0&amp;row=739&amp;col=6&amp;number=4.5&amp;sourceID=14","4.5")</f>
        <v>4.5</v>
      </c>
      <c r="G739" s="4" t="str">
        <f>HYPERLINK("http://141.218.60.56/~jnz1568/getInfo.php?workbook=11_02.xlsx&amp;sheet=U0&amp;row=739&amp;col=7&amp;number=7.76e-05&amp;sourceID=14","7.76e-05")</f>
        <v>7.76e-05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HYPERLINK("http://141.218.60.56/~jnz1568/getInfo.php?workbook=11_02.xlsx&amp;sheet=U0&amp;row=740&amp;col=6&amp;number=4.6&amp;sourceID=14","4.6")</f>
        <v>4.6</v>
      </c>
      <c r="G740" s="4" t="str">
        <f>HYPERLINK("http://141.218.60.56/~jnz1568/getInfo.php?workbook=11_02.xlsx&amp;sheet=U0&amp;row=740&amp;col=7&amp;number=7.74e-05&amp;sourceID=14","7.74e-05")</f>
        <v>7.74e-05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HYPERLINK("http://141.218.60.56/~jnz1568/getInfo.php?workbook=11_02.xlsx&amp;sheet=U0&amp;row=741&amp;col=6&amp;number=4.7&amp;sourceID=14","4.7")</f>
        <v>4.7</v>
      </c>
      <c r="G741" s="4" t="str">
        <f>HYPERLINK("http://141.218.60.56/~jnz1568/getInfo.php?workbook=11_02.xlsx&amp;sheet=U0&amp;row=741&amp;col=7&amp;number=7.73e-05&amp;sourceID=14","7.73e-05")</f>
        <v>7.73e-05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HYPERLINK("http://141.218.60.56/~jnz1568/getInfo.php?workbook=11_02.xlsx&amp;sheet=U0&amp;row=742&amp;col=6&amp;number=4.8&amp;sourceID=14","4.8")</f>
        <v>4.8</v>
      </c>
      <c r="G742" s="4" t="str">
        <f>HYPERLINK("http://141.218.60.56/~jnz1568/getInfo.php?workbook=11_02.xlsx&amp;sheet=U0&amp;row=742&amp;col=7&amp;number=7.7e-05&amp;sourceID=14","7.7e-05")</f>
        <v>7.7e-05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HYPERLINK("http://141.218.60.56/~jnz1568/getInfo.php?workbook=11_02.xlsx&amp;sheet=U0&amp;row=743&amp;col=6&amp;number=4.9&amp;sourceID=14","4.9")</f>
        <v>4.9</v>
      </c>
      <c r="G743" s="4" t="str">
        <f>HYPERLINK("http://141.218.60.56/~jnz1568/getInfo.php?workbook=11_02.xlsx&amp;sheet=U0&amp;row=743&amp;col=7&amp;number=7.68e-05&amp;sourceID=14","7.68e-05")</f>
        <v>7.68e-05</v>
      </c>
    </row>
    <row r="744" spans="1:7">
      <c r="A744" s="3">
        <v>11</v>
      </c>
      <c r="B744" s="3">
        <v>2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HYPERLINK("http://141.218.60.56/~jnz1568/getInfo.php?workbook=11_02.xlsx&amp;sheet=U0&amp;row=744&amp;col=6&amp;number=3&amp;sourceID=14","3")</f>
        <v>3</v>
      </c>
      <c r="G744" s="4" t="str">
        <f>HYPERLINK("http://141.218.60.56/~jnz1568/getInfo.php?workbook=11_02.xlsx&amp;sheet=U0&amp;row=744&amp;col=7&amp;number=0.000109&amp;sourceID=14","0.000109")</f>
        <v>0.000109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HYPERLINK("http://141.218.60.56/~jnz1568/getInfo.php?workbook=11_02.xlsx&amp;sheet=U0&amp;row=745&amp;col=6&amp;number=3.1&amp;sourceID=14","3.1")</f>
        <v>3.1</v>
      </c>
      <c r="G745" s="4" t="str">
        <f>HYPERLINK("http://141.218.60.56/~jnz1568/getInfo.php?workbook=11_02.xlsx&amp;sheet=U0&amp;row=745&amp;col=7&amp;number=0.000109&amp;sourceID=14","0.000109")</f>
        <v>0.000109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HYPERLINK("http://141.218.60.56/~jnz1568/getInfo.php?workbook=11_02.xlsx&amp;sheet=U0&amp;row=746&amp;col=6&amp;number=3.2&amp;sourceID=14","3.2")</f>
        <v>3.2</v>
      </c>
      <c r="G746" s="4" t="str">
        <f>HYPERLINK("http://141.218.60.56/~jnz1568/getInfo.php?workbook=11_02.xlsx&amp;sheet=U0&amp;row=746&amp;col=7&amp;number=0.000109&amp;sourceID=14","0.000109")</f>
        <v>0.000109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HYPERLINK("http://141.218.60.56/~jnz1568/getInfo.php?workbook=11_02.xlsx&amp;sheet=U0&amp;row=747&amp;col=6&amp;number=3.3&amp;sourceID=14","3.3")</f>
        <v>3.3</v>
      </c>
      <c r="G747" s="4" t="str">
        <f>HYPERLINK("http://141.218.60.56/~jnz1568/getInfo.php?workbook=11_02.xlsx&amp;sheet=U0&amp;row=747&amp;col=7&amp;number=0.000109&amp;sourceID=14","0.000109")</f>
        <v>0.000109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HYPERLINK("http://141.218.60.56/~jnz1568/getInfo.php?workbook=11_02.xlsx&amp;sheet=U0&amp;row=748&amp;col=6&amp;number=3.4&amp;sourceID=14","3.4")</f>
        <v>3.4</v>
      </c>
      <c r="G748" s="4" t="str">
        <f>HYPERLINK("http://141.218.60.56/~jnz1568/getInfo.php?workbook=11_02.xlsx&amp;sheet=U0&amp;row=748&amp;col=7&amp;number=0.000109&amp;sourceID=14","0.000109")</f>
        <v>0.000109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HYPERLINK("http://141.218.60.56/~jnz1568/getInfo.php?workbook=11_02.xlsx&amp;sheet=U0&amp;row=749&amp;col=6&amp;number=3.5&amp;sourceID=14","3.5")</f>
        <v>3.5</v>
      </c>
      <c r="G749" s="4" t="str">
        <f>HYPERLINK("http://141.218.60.56/~jnz1568/getInfo.php?workbook=11_02.xlsx&amp;sheet=U0&amp;row=749&amp;col=7&amp;number=0.000109&amp;sourceID=14","0.000109")</f>
        <v>0.000109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HYPERLINK("http://141.218.60.56/~jnz1568/getInfo.php?workbook=11_02.xlsx&amp;sheet=U0&amp;row=750&amp;col=6&amp;number=3.6&amp;sourceID=14","3.6")</f>
        <v>3.6</v>
      </c>
      <c r="G750" s="4" t="str">
        <f>HYPERLINK("http://141.218.60.56/~jnz1568/getInfo.php?workbook=11_02.xlsx&amp;sheet=U0&amp;row=750&amp;col=7&amp;number=0.000109&amp;sourceID=14","0.000109")</f>
        <v>0.000109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HYPERLINK("http://141.218.60.56/~jnz1568/getInfo.php?workbook=11_02.xlsx&amp;sheet=U0&amp;row=751&amp;col=6&amp;number=3.7&amp;sourceID=14","3.7")</f>
        <v>3.7</v>
      </c>
      <c r="G751" s="4" t="str">
        <f>HYPERLINK("http://141.218.60.56/~jnz1568/getInfo.php?workbook=11_02.xlsx&amp;sheet=U0&amp;row=751&amp;col=7&amp;number=0.000109&amp;sourceID=14","0.000109")</f>
        <v>0.000109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HYPERLINK("http://141.218.60.56/~jnz1568/getInfo.php?workbook=11_02.xlsx&amp;sheet=U0&amp;row=752&amp;col=6&amp;number=3.8&amp;sourceID=14","3.8")</f>
        <v>3.8</v>
      </c>
      <c r="G752" s="4" t="str">
        <f>HYPERLINK("http://141.218.60.56/~jnz1568/getInfo.php?workbook=11_02.xlsx&amp;sheet=U0&amp;row=752&amp;col=7&amp;number=0.000109&amp;sourceID=14","0.000109")</f>
        <v>0.000109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HYPERLINK("http://141.218.60.56/~jnz1568/getInfo.php?workbook=11_02.xlsx&amp;sheet=U0&amp;row=753&amp;col=6&amp;number=3.9&amp;sourceID=14","3.9")</f>
        <v>3.9</v>
      </c>
      <c r="G753" s="4" t="str">
        <f>HYPERLINK("http://141.218.60.56/~jnz1568/getInfo.php?workbook=11_02.xlsx&amp;sheet=U0&amp;row=753&amp;col=7&amp;number=0.000108&amp;sourceID=14","0.000108")</f>
        <v>0.000108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HYPERLINK("http://141.218.60.56/~jnz1568/getInfo.php?workbook=11_02.xlsx&amp;sheet=U0&amp;row=754&amp;col=6&amp;number=4&amp;sourceID=14","4")</f>
        <v>4</v>
      </c>
      <c r="G754" s="4" t="str">
        <f>HYPERLINK("http://141.218.60.56/~jnz1568/getInfo.php?workbook=11_02.xlsx&amp;sheet=U0&amp;row=754&amp;col=7&amp;number=0.000108&amp;sourceID=14","0.000108")</f>
        <v>0.000108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HYPERLINK("http://141.218.60.56/~jnz1568/getInfo.php?workbook=11_02.xlsx&amp;sheet=U0&amp;row=755&amp;col=6&amp;number=4.1&amp;sourceID=14","4.1")</f>
        <v>4.1</v>
      </c>
      <c r="G755" s="4" t="str">
        <f>HYPERLINK("http://141.218.60.56/~jnz1568/getInfo.php?workbook=11_02.xlsx&amp;sheet=U0&amp;row=755&amp;col=7&amp;number=0.000108&amp;sourceID=14","0.000108")</f>
        <v>0.000108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HYPERLINK("http://141.218.60.56/~jnz1568/getInfo.php?workbook=11_02.xlsx&amp;sheet=U0&amp;row=756&amp;col=6&amp;number=4.2&amp;sourceID=14","4.2")</f>
        <v>4.2</v>
      </c>
      <c r="G756" s="4" t="str">
        <f>HYPERLINK("http://141.218.60.56/~jnz1568/getInfo.php?workbook=11_02.xlsx&amp;sheet=U0&amp;row=756&amp;col=7&amp;number=0.000108&amp;sourceID=14","0.000108")</f>
        <v>0.000108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HYPERLINK("http://141.218.60.56/~jnz1568/getInfo.php?workbook=11_02.xlsx&amp;sheet=U0&amp;row=757&amp;col=6&amp;number=4.3&amp;sourceID=14","4.3")</f>
        <v>4.3</v>
      </c>
      <c r="G757" s="4" t="str">
        <f>HYPERLINK("http://141.218.60.56/~jnz1568/getInfo.php?workbook=11_02.xlsx&amp;sheet=U0&amp;row=757&amp;col=7&amp;number=0.000108&amp;sourceID=14","0.000108")</f>
        <v>0.000108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HYPERLINK("http://141.218.60.56/~jnz1568/getInfo.php?workbook=11_02.xlsx&amp;sheet=U0&amp;row=758&amp;col=6&amp;number=4.4&amp;sourceID=14","4.4")</f>
        <v>4.4</v>
      </c>
      <c r="G758" s="4" t="str">
        <f>HYPERLINK("http://141.218.60.56/~jnz1568/getInfo.php?workbook=11_02.xlsx&amp;sheet=U0&amp;row=758&amp;col=7&amp;number=0.000108&amp;sourceID=14","0.000108")</f>
        <v>0.000108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HYPERLINK("http://141.218.60.56/~jnz1568/getInfo.php?workbook=11_02.xlsx&amp;sheet=U0&amp;row=759&amp;col=6&amp;number=4.5&amp;sourceID=14","4.5")</f>
        <v>4.5</v>
      </c>
      <c r="G759" s="4" t="str">
        <f>HYPERLINK("http://141.218.60.56/~jnz1568/getInfo.php?workbook=11_02.xlsx&amp;sheet=U0&amp;row=759&amp;col=7&amp;number=0.000108&amp;sourceID=14","0.000108")</f>
        <v>0.000108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HYPERLINK("http://141.218.60.56/~jnz1568/getInfo.php?workbook=11_02.xlsx&amp;sheet=U0&amp;row=760&amp;col=6&amp;number=4.6&amp;sourceID=14","4.6")</f>
        <v>4.6</v>
      </c>
      <c r="G760" s="4" t="str">
        <f>HYPERLINK("http://141.218.60.56/~jnz1568/getInfo.php?workbook=11_02.xlsx&amp;sheet=U0&amp;row=760&amp;col=7&amp;number=0.000108&amp;sourceID=14","0.000108")</f>
        <v>0.000108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HYPERLINK("http://141.218.60.56/~jnz1568/getInfo.php?workbook=11_02.xlsx&amp;sheet=U0&amp;row=761&amp;col=6&amp;number=4.7&amp;sourceID=14","4.7")</f>
        <v>4.7</v>
      </c>
      <c r="G761" s="4" t="str">
        <f>HYPERLINK("http://141.218.60.56/~jnz1568/getInfo.php?workbook=11_02.xlsx&amp;sheet=U0&amp;row=761&amp;col=7&amp;number=0.000107&amp;sourceID=14","0.000107")</f>
        <v>0.000107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HYPERLINK("http://141.218.60.56/~jnz1568/getInfo.php?workbook=11_02.xlsx&amp;sheet=U0&amp;row=762&amp;col=6&amp;number=4.8&amp;sourceID=14","4.8")</f>
        <v>4.8</v>
      </c>
      <c r="G762" s="4" t="str">
        <f>HYPERLINK("http://141.218.60.56/~jnz1568/getInfo.php?workbook=11_02.xlsx&amp;sheet=U0&amp;row=762&amp;col=7&amp;number=0.000107&amp;sourceID=14","0.000107")</f>
        <v>0.000107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HYPERLINK("http://141.218.60.56/~jnz1568/getInfo.php?workbook=11_02.xlsx&amp;sheet=U0&amp;row=763&amp;col=6&amp;number=4.9&amp;sourceID=14","4.9")</f>
        <v>4.9</v>
      </c>
      <c r="G763" s="4" t="str">
        <f>HYPERLINK("http://141.218.60.56/~jnz1568/getInfo.php?workbook=11_02.xlsx&amp;sheet=U0&amp;row=763&amp;col=7&amp;number=0.000106&amp;sourceID=14","0.000106")</f>
        <v>0.000106</v>
      </c>
    </row>
    <row r="764" spans="1:7">
      <c r="A764" s="3">
        <v>11</v>
      </c>
      <c r="B764" s="3">
        <v>2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HYPERLINK("http://141.218.60.56/~jnz1568/getInfo.php?workbook=11_02.xlsx&amp;sheet=U0&amp;row=764&amp;col=6&amp;number=3&amp;sourceID=14","3")</f>
        <v>3</v>
      </c>
      <c r="G764" s="4" t="str">
        <f>HYPERLINK("http://141.218.60.56/~jnz1568/getInfo.php?workbook=11_02.xlsx&amp;sheet=U0&amp;row=764&amp;col=7&amp;number=7.95e-06&amp;sourceID=14","7.95e-06")</f>
        <v>7.95e-06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HYPERLINK("http://141.218.60.56/~jnz1568/getInfo.php?workbook=11_02.xlsx&amp;sheet=U0&amp;row=765&amp;col=6&amp;number=3.1&amp;sourceID=14","3.1")</f>
        <v>3.1</v>
      </c>
      <c r="G765" s="4" t="str">
        <f>HYPERLINK("http://141.218.60.56/~jnz1568/getInfo.php?workbook=11_02.xlsx&amp;sheet=U0&amp;row=765&amp;col=7&amp;number=7.95e-06&amp;sourceID=14","7.95e-06")</f>
        <v>7.95e-06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HYPERLINK("http://141.218.60.56/~jnz1568/getInfo.php?workbook=11_02.xlsx&amp;sheet=U0&amp;row=766&amp;col=6&amp;number=3.2&amp;sourceID=14","3.2")</f>
        <v>3.2</v>
      </c>
      <c r="G766" s="4" t="str">
        <f>HYPERLINK("http://141.218.60.56/~jnz1568/getInfo.php?workbook=11_02.xlsx&amp;sheet=U0&amp;row=766&amp;col=7&amp;number=7.95e-06&amp;sourceID=14","7.95e-06")</f>
        <v>7.95e-06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HYPERLINK("http://141.218.60.56/~jnz1568/getInfo.php?workbook=11_02.xlsx&amp;sheet=U0&amp;row=767&amp;col=6&amp;number=3.3&amp;sourceID=14","3.3")</f>
        <v>3.3</v>
      </c>
      <c r="G767" s="4" t="str">
        <f>HYPERLINK("http://141.218.60.56/~jnz1568/getInfo.php?workbook=11_02.xlsx&amp;sheet=U0&amp;row=767&amp;col=7&amp;number=7.94e-06&amp;sourceID=14","7.94e-06")</f>
        <v>7.94e-06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HYPERLINK("http://141.218.60.56/~jnz1568/getInfo.php?workbook=11_02.xlsx&amp;sheet=U0&amp;row=768&amp;col=6&amp;number=3.4&amp;sourceID=14","3.4")</f>
        <v>3.4</v>
      </c>
      <c r="G768" s="4" t="str">
        <f>HYPERLINK("http://141.218.60.56/~jnz1568/getInfo.php?workbook=11_02.xlsx&amp;sheet=U0&amp;row=768&amp;col=7&amp;number=7.94e-06&amp;sourceID=14","7.94e-06")</f>
        <v>7.94e-06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HYPERLINK("http://141.218.60.56/~jnz1568/getInfo.php?workbook=11_02.xlsx&amp;sheet=U0&amp;row=769&amp;col=6&amp;number=3.5&amp;sourceID=14","3.5")</f>
        <v>3.5</v>
      </c>
      <c r="G769" s="4" t="str">
        <f>HYPERLINK("http://141.218.60.56/~jnz1568/getInfo.php?workbook=11_02.xlsx&amp;sheet=U0&amp;row=769&amp;col=7&amp;number=7.93e-06&amp;sourceID=14","7.93e-06")</f>
        <v>7.93e-06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HYPERLINK("http://141.218.60.56/~jnz1568/getInfo.php?workbook=11_02.xlsx&amp;sheet=U0&amp;row=770&amp;col=6&amp;number=3.6&amp;sourceID=14","3.6")</f>
        <v>3.6</v>
      </c>
      <c r="G770" s="4" t="str">
        <f>HYPERLINK("http://141.218.60.56/~jnz1568/getInfo.php?workbook=11_02.xlsx&amp;sheet=U0&amp;row=770&amp;col=7&amp;number=7.92e-06&amp;sourceID=14","7.92e-06")</f>
        <v>7.92e-06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HYPERLINK("http://141.218.60.56/~jnz1568/getInfo.php?workbook=11_02.xlsx&amp;sheet=U0&amp;row=771&amp;col=6&amp;number=3.7&amp;sourceID=14","3.7")</f>
        <v>3.7</v>
      </c>
      <c r="G771" s="4" t="str">
        <f>HYPERLINK("http://141.218.60.56/~jnz1568/getInfo.php?workbook=11_02.xlsx&amp;sheet=U0&amp;row=771&amp;col=7&amp;number=7.91e-06&amp;sourceID=14","7.91e-06")</f>
        <v>7.91e-06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HYPERLINK("http://141.218.60.56/~jnz1568/getInfo.php?workbook=11_02.xlsx&amp;sheet=U0&amp;row=772&amp;col=6&amp;number=3.8&amp;sourceID=14","3.8")</f>
        <v>3.8</v>
      </c>
      <c r="G772" s="4" t="str">
        <f>HYPERLINK("http://141.218.60.56/~jnz1568/getInfo.php?workbook=11_02.xlsx&amp;sheet=U0&amp;row=772&amp;col=7&amp;number=7.9e-06&amp;sourceID=14","7.9e-06")</f>
        <v>7.9e-06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HYPERLINK("http://141.218.60.56/~jnz1568/getInfo.php?workbook=11_02.xlsx&amp;sheet=U0&amp;row=773&amp;col=6&amp;number=3.9&amp;sourceID=14","3.9")</f>
        <v>3.9</v>
      </c>
      <c r="G773" s="4" t="str">
        <f>HYPERLINK("http://141.218.60.56/~jnz1568/getInfo.php?workbook=11_02.xlsx&amp;sheet=U0&amp;row=773&amp;col=7&amp;number=7.89e-06&amp;sourceID=14","7.89e-06")</f>
        <v>7.89e-06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HYPERLINK("http://141.218.60.56/~jnz1568/getInfo.php?workbook=11_02.xlsx&amp;sheet=U0&amp;row=774&amp;col=6&amp;number=4&amp;sourceID=14","4")</f>
        <v>4</v>
      </c>
      <c r="G774" s="4" t="str">
        <f>HYPERLINK("http://141.218.60.56/~jnz1568/getInfo.php?workbook=11_02.xlsx&amp;sheet=U0&amp;row=774&amp;col=7&amp;number=7.87e-06&amp;sourceID=14","7.87e-06")</f>
        <v>7.87e-06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HYPERLINK("http://141.218.60.56/~jnz1568/getInfo.php?workbook=11_02.xlsx&amp;sheet=U0&amp;row=775&amp;col=6&amp;number=4.1&amp;sourceID=14","4.1")</f>
        <v>4.1</v>
      </c>
      <c r="G775" s="4" t="str">
        <f>HYPERLINK("http://141.218.60.56/~jnz1568/getInfo.php?workbook=11_02.xlsx&amp;sheet=U0&amp;row=775&amp;col=7&amp;number=7.85e-06&amp;sourceID=14","7.85e-06")</f>
        <v>7.85e-06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HYPERLINK("http://141.218.60.56/~jnz1568/getInfo.php?workbook=11_02.xlsx&amp;sheet=U0&amp;row=776&amp;col=6&amp;number=4.2&amp;sourceID=14","4.2")</f>
        <v>4.2</v>
      </c>
      <c r="G776" s="4" t="str">
        <f>HYPERLINK("http://141.218.60.56/~jnz1568/getInfo.php?workbook=11_02.xlsx&amp;sheet=U0&amp;row=776&amp;col=7&amp;number=7.82e-06&amp;sourceID=14","7.82e-06")</f>
        <v>7.82e-06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HYPERLINK("http://141.218.60.56/~jnz1568/getInfo.php?workbook=11_02.xlsx&amp;sheet=U0&amp;row=777&amp;col=6&amp;number=4.3&amp;sourceID=14","4.3")</f>
        <v>4.3</v>
      </c>
      <c r="G777" s="4" t="str">
        <f>HYPERLINK("http://141.218.60.56/~jnz1568/getInfo.php?workbook=11_02.xlsx&amp;sheet=U0&amp;row=777&amp;col=7&amp;number=7.78e-06&amp;sourceID=14","7.78e-06")</f>
        <v>7.78e-06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HYPERLINK("http://141.218.60.56/~jnz1568/getInfo.php?workbook=11_02.xlsx&amp;sheet=U0&amp;row=778&amp;col=6&amp;number=4.4&amp;sourceID=14","4.4")</f>
        <v>4.4</v>
      </c>
      <c r="G778" s="4" t="str">
        <f>HYPERLINK("http://141.218.60.56/~jnz1568/getInfo.php?workbook=11_02.xlsx&amp;sheet=U0&amp;row=778&amp;col=7&amp;number=7.73e-06&amp;sourceID=14","7.73e-06")</f>
        <v>7.73e-06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HYPERLINK("http://141.218.60.56/~jnz1568/getInfo.php?workbook=11_02.xlsx&amp;sheet=U0&amp;row=779&amp;col=6&amp;number=4.5&amp;sourceID=14","4.5")</f>
        <v>4.5</v>
      </c>
      <c r="G779" s="4" t="str">
        <f>HYPERLINK("http://141.218.60.56/~jnz1568/getInfo.php?workbook=11_02.xlsx&amp;sheet=U0&amp;row=779&amp;col=7&amp;number=7.68e-06&amp;sourceID=14","7.68e-06")</f>
        <v>7.68e-06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HYPERLINK("http://141.218.60.56/~jnz1568/getInfo.php?workbook=11_02.xlsx&amp;sheet=U0&amp;row=780&amp;col=6&amp;number=4.6&amp;sourceID=14","4.6")</f>
        <v>4.6</v>
      </c>
      <c r="G780" s="4" t="str">
        <f>HYPERLINK("http://141.218.60.56/~jnz1568/getInfo.php?workbook=11_02.xlsx&amp;sheet=U0&amp;row=780&amp;col=7&amp;number=7.6e-06&amp;sourceID=14","7.6e-06")</f>
        <v>7.6e-06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HYPERLINK("http://141.218.60.56/~jnz1568/getInfo.php?workbook=11_02.xlsx&amp;sheet=U0&amp;row=781&amp;col=6&amp;number=4.7&amp;sourceID=14","4.7")</f>
        <v>4.7</v>
      </c>
      <c r="G781" s="4" t="str">
        <f>HYPERLINK("http://141.218.60.56/~jnz1568/getInfo.php?workbook=11_02.xlsx&amp;sheet=U0&amp;row=781&amp;col=7&amp;number=7.52e-06&amp;sourceID=14","7.52e-06")</f>
        <v>7.52e-06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HYPERLINK("http://141.218.60.56/~jnz1568/getInfo.php?workbook=11_02.xlsx&amp;sheet=U0&amp;row=782&amp;col=6&amp;number=4.8&amp;sourceID=14","4.8")</f>
        <v>4.8</v>
      </c>
      <c r="G782" s="4" t="str">
        <f>HYPERLINK("http://141.218.60.56/~jnz1568/getInfo.php?workbook=11_02.xlsx&amp;sheet=U0&amp;row=782&amp;col=7&amp;number=7.41e-06&amp;sourceID=14","7.41e-06")</f>
        <v>7.41e-06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HYPERLINK("http://141.218.60.56/~jnz1568/getInfo.php?workbook=11_02.xlsx&amp;sheet=U0&amp;row=783&amp;col=6&amp;number=4.9&amp;sourceID=14","4.9")</f>
        <v>4.9</v>
      </c>
      <c r="G783" s="4" t="str">
        <f>HYPERLINK("http://141.218.60.56/~jnz1568/getInfo.php?workbook=11_02.xlsx&amp;sheet=U0&amp;row=783&amp;col=7&amp;number=7.28e-06&amp;sourceID=14","7.28e-06")</f>
        <v>7.28e-06</v>
      </c>
    </row>
    <row r="784" spans="1:7">
      <c r="A784" s="3">
        <v>11</v>
      </c>
      <c r="B784" s="3">
        <v>2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HYPERLINK("http://141.218.60.56/~jnz1568/getInfo.php?workbook=11_02.xlsx&amp;sheet=U0&amp;row=784&amp;col=6&amp;number=3&amp;sourceID=14","3")</f>
        <v>3</v>
      </c>
      <c r="G784" s="4" t="str">
        <f>HYPERLINK("http://141.218.60.56/~jnz1568/getInfo.php?workbook=11_02.xlsx&amp;sheet=U0&amp;row=784&amp;col=7&amp;number=1.33e-05&amp;sourceID=14","1.33e-05")</f>
        <v>1.33e-05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HYPERLINK("http://141.218.60.56/~jnz1568/getInfo.php?workbook=11_02.xlsx&amp;sheet=U0&amp;row=785&amp;col=6&amp;number=3.1&amp;sourceID=14","3.1")</f>
        <v>3.1</v>
      </c>
      <c r="G785" s="4" t="str">
        <f>HYPERLINK("http://141.218.60.56/~jnz1568/getInfo.php?workbook=11_02.xlsx&amp;sheet=U0&amp;row=785&amp;col=7&amp;number=1.33e-05&amp;sourceID=14","1.33e-05")</f>
        <v>1.33e-05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HYPERLINK("http://141.218.60.56/~jnz1568/getInfo.php?workbook=11_02.xlsx&amp;sheet=U0&amp;row=786&amp;col=6&amp;number=3.2&amp;sourceID=14","3.2")</f>
        <v>3.2</v>
      </c>
      <c r="G786" s="4" t="str">
        <f>HYPERLINK("http://141.218.60.56/~jnz1568/getInfo.php?workbook=11_02.xlsx&amp;sheet=U0&amp;row=786&amp;col=7&amp;number=1.33e-05&amp;sourceID=14","1.33e-05")</f>
        <v>1.33e-05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HYPERLINK("http://141.218.60.56/~jnz1568/getInfo.php?workbook=11_02.xlsx&amp;sheet=U0&amp;row=787&amp;col=6&amp;number=3.3&amp;sourceID=14","3.3")</f>
        <v>3.3</v>
      </c>
      <c r="G787" s="4" t="str">
        <f>HYPERLINK("http://141.218.60.56/~jnz1568/getInfo.php?workbook=11_02.xlsx&amp;sheet=U0&amp;row=787&amp;col=7&amp;number=1.33e-05&amp;sourceID=14","1.33e-05")</f>
        <v>1.33e-05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HYPERLINK("http://141.218.60.56/~jnz1568/getInfo.php?workbook=11_02.xlsx&amp;sheet=U0&amp;row=788&amp;col=6&amp;number=3.4&amp;sourceID=14","3.4")</f>
        <v>3.4</v>
      </c>
      <c r="G788" s="4" t="str">
        <f>HYPERLINK("http://141.218.60.56/~jnz1568/getInfo.php?workbook=11_02.xlsx&amp;sheet=U0&amp;row=788&amp;col=7&amp;number=1.33e-05&amp;sourceID=14","1.33e-05")</f>
        <v>1.33e-05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HYPERLINK("http://141.218.60.56/~jnz1568/getInfo.php?workbook=11_02.xlsx&amp;sheet=U0&amp;row=789&amp;col=6&amp;number=3.5&amp;sourceID=14","3.5")</f>
        <v>3.5</v>
      </c>
      <c r="G789" s="4" t="str">
        <f>HYPERLINK("http://141.218.60.56/~jnz1568/getInfo.php?workbook=11_02.xlsx&amp;sheet=U0&amp;row=789&amp;col=7&amp;number=1.33e-05&amp;sourceID=14","1.33e-05")</f>
        <v>1.33e-05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HYPERLINK("http://141.218.60.56/~jnz1568/getInfo.php?workbook=11_02.xlsx&amp;sheet=U0&amp;row=790&amp;col=6&amp;number=3.6&amp;sourceID=14","3.6")</f>
        <v>3.6</v>
      </c>
      <c r="G790" s="4" t="str">
        <f>HYPERLINK("http://141.218.60.56/~jnz1568/getInfo.php?workbook=11_02.xlsx&amp;sheet=U0&amp;row=790&amp;col=7&amp;number=1.33e-05&amp;sourceID=14","1.33e-05")</f>
        <v>1.33e-05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HYPERLINK("http://141.218.60.56/~jnz1568/getInfo.php?workbook=11_02.xlsx&amp;sheet=U0&amp;row=791&amp;col=6&amp;number=3.7&amp;sourceID=14","3.7")</f>
        <v>3.7</v>
      </c>
      <c r="G791" s="4" t="str">
        <f>HYPERLINK("http://141.218.60.56/~jnz1568/getInfo.php?workbook=11_02.xlsx&amp;sheet=U0&amp;row=791&amp;col=7&amp;number=1.33e-05&amp;sourceID=14","1.33e-05")</f>
        <v>1.33e-05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HYPERLINK("http://141.218.60.56/~jnz1568/getInfo.php?workbook=11_02.xlsx&amp;sheet=U0&amp;row=792&amp;col=6&amp;number=3.8&amp;sourceID=14","3.8")</f>
        <v>3.8</v>
      </c>
      <c r="G792" s="4" t="str">
        <f>HYPERLINK("http://141.218.60.56/~jnz1568/getInfo.php?workbook=11_02.xlsx&amp;sheet=U0&amp;row=792&amp;col=7&amp;number=1.32e-05&amp;sourceID=14","1.32e-05")</f>
        <v>1.32e-05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HYPERLINK("http://141.218.60.56/~jnz1568/getInfo.php?workbook=11_02.xlsx&amp;sheet=U0&amp;row=793&amp;col=6&amp;number=3.9&amp;sourceID=14","3.9")</f>
        <v>3.9</v>
      </c>
      <c r="G793" s="4" t="str">
        <f>HYPERLINK("http://141.218.60.56/~jnz1568/getInfo.php?workbook=11_02.xlsx&amp;sheet=U0&amp;row=793&amp;col=7&amp;number=1.32e-05&amp;sourceID=14","1.32e-05")</f>
        <v>1.32e-05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HYPERLINK("http://141.218.60.56/~jnz1568/getInfo.php?workbook=11_02.xlsx&amp;sheet=U0&amp;row=794&amp;col=6&amp;number=4&amp;sourceID=14","4")</f>
        <v>4</v>
      </c>
      <c r="G794" s="4" t="str">
        <f>HYPERLINK("http://141.218.60.56/~jnz1568/getInfo.php?workbook=11_02.xlsx&amp;sheet=U0&amp;row=794&amp;col=7&amp;number=1.32e-05&amp;sourceID=14","1.32e-05")</f>
        <v>1.32e-05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HYPERLINK("http://141.218.60.56/~jnz1568/getInfo.php?workbook=11_02.xlsx&amp;sheet=U0&amp;row=795&amp;col=6&amp;number=4.1&amp;sourceID=14","4.1")</f>
        <v>4.1</v>
      </c>
      <c r="G795" s="4" t="str">
        <f>HYPERLINK("http://141.218.60.56/~jnz1568/getInfo.php?workbook=11_02.xlsx&amp;sheet=U0&amp;row=795&amp;col=7&amp;number=1.32e-05&amp;sourceID=14","1.32e-05")</f>
        <v>1.32e-05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HYPERLINK("http://141.218.60.56/~jnz1568/getInfo.php?workbook=11_02.xlsx&amp;sheet=U0&amp;row=796&amp;col=6&amp;number=4.2&amp;sourceID=14","4.2")</f>
        <v>4.2</v>
      </c>
      <c r="G796" s="4" t="str">
        <f>HYPERLINK("http://141.218.60.56/~jnz1568/getInfo.php?workbook=11_02.xlsx&amp;sheet=U0&amp;row=796&amp;col=7&amp;number=1.31e-05&amp;sourceID=14","1.31e-05")</f>
        <v>1.31e-05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HYPERLINK("http://141.218.60.56/~jnz1568/getInfo.php?workbook=11_02.xlsx&amp;sheet=U0&amp;row=797&amp;col=6&amp;number=4.3&amp;sourceID=14","4.3")</f>
        <v>4.3</v>
      </c>
      <c r="G797" s="4" t="str">
        <f>HYPERLINK("http://141.218.60.56/~jnz1568/getInfo.php?workbook=11_02.xlsx&amp;sheet=U0&amp;row=797&amp;col=7&amp;number=1.31e-05&amp;sourceID=14","1.31e-05")</f>
        <v>1.31e-05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HYPERLINK("http://141.218.60.56/~jnz1568/getInfo.php?workbook=11_02.xlsx&amp;sheet=U0&amp;row=798&amp;col=6&amp;number=4.4&amp;sourceID=14","4.4")</f>
        <v>4.4</v>
      </c>
      <c r="G798" s="4" t="str">
        <f>HYPERLINK("http://141.218.60.56/~jnz1568/getInfo.php?workbook=11_02.xlsx&amp;sheet=U0&amp;row=798&amp;col=7&amp;number=1.3e-05&amp;sourceID=14","1.3e-05")</f>
        <v>1.3e-05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HYPERLINK("http://141.218.60.56/~jnz1568/getInfo.php?workbook=11_02.xlsx&amp;sheet=U0&amp;row=799&amp;col=6&amp;number=4.5&amp;sourceID=14","4.5")</f>
        <v>4.5</v>
      </c>
      <c r="G799" s="4" t="str">
        <f>HYPERLINK("http://141.218.60.56/~jnz1568/getInfo.php?workbook=11_02.xlsx&amp;sheet=U0&amp;row=799&amp;col=7&amp;number=1.29e-05&amp;sourceID=14","1.29e-05")</f>
        <v>1.29e-05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HYPERLINK("http://141.218.60.56/~jnz1568/getInfo.php?workbook=11_02.xlsx&amp;sheet=U0&amp;row=800&amp;col=6&amp;number=4.6&amp;sourceID=14","4.6")</f>
        <v>4.6</v>
      </c>
      <c r="G800" s="4" t="str">
        <f>HYPERLINK("http://141.218.60.56/~jnz1568/getInfo.php?workbook=11_02.xlsx&amp;sheet=U0&amp;row=800&amp;col=7&amp;number=1.28e-05&amp;sourceID=14","1.28e-05")</f>
        <v>1.28e-05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HYPERLINK("http://141.218.60.56/~jnz1568/getInfo.php?workbook=11_02.xlsx&amp;sheet=U0&amp;row=801&amp;col=6&amp;number=4.7&amp;sourceID=14","4.7")</f>
        <v>4.7</v>
      </c>
      <c r="G801" s="4" t="str">
        <f>HYPERLINK("http://141.218.60.56/~jnz1568/getInfo.php?workbook=11_02.xlsx&amp;sheet=U0&amp;row=801&amp;col=7&amp;number=1.27e-05&amp;sourceID=14","1.27e-05")</f>
        <v>1.27e-05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HYPERLINK("http://141.218.60.56/~jnz1568/getInfo.php?workbook=11_02.xlsx&amp;sheet=U0&amp;row=802&amp;col=6&amp;number=4.8&amp;sourceID=14","4.8")</f>
        <v>4.8</v>
      </c>
      <c r="G802" s="4" t="str">
        <f>HYPERLINK("http://141.218.60.56/~jnz1568/getInfo.php?workbook=11_02.xlsx&amp;sheet=U0&amp;row=802&amp;col=7&amp;number=1.25e-05&amp;sourceID=14","1.25e-05")</f>
        <v>1.25e-05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HYPERLINK("http://141.218.60.56/~jnz1568/getInfo.php?workbook=11_02.xlsx&amp;sheet=U0&amp;row=803&amp;col=6&amp;number=4.9&amp;sourceID=14","4.9")</f>
        <v>4.9</v>
      </c>
      <c r="G803" s="4" t="str">
        <f>HYPERLINK("http://141.218.60.56/~jnz1568/getInfo.php?workbook=11_02.xlsx&amp;sheet=U0&amp;row=803&amp;col=7&amp;number=1.24e-05&amp;sourceID=14","1.24e-05")</f>
        <v>1.24e-05</v>
      </c>
    </row>
    <row r="804" spans="1:7">
      <c r="A804" s="3">
        <v>11</v>
      </c>
      <c r="B804" s="3">
        <v>2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HYPERLINK("http://141.218.60.56/~jnz1568/getInfo.php?workbook=11_02.xlsx&amp;sheet=U0&amp;row=804&amp;col=6&amp;number=3&amp;sourceID=14","3")</f>
        <v>3</v>
      </c>
      <c r="G804" s="4" t="str">
        <f>HYPERLINK("http://141.218.60.56/~jnz1568/getInfo.php?workbook=11_02.xlsx&amp;sheet=U0&amp;row=804&amp;col=7&amp;number=1.41e-05&amp;sourceID=14","1.41e-05")</f>
        <v>1.41e-05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HYPERLINK("http://141.218.60.56/~jnz1568/getInfo.php?workbook=11_02.xlsx&amp;sheet=U0&amp;row=805&amp;col=6&amp;number=3.1&amp;sourceID=14","3.1")</f>
        <v>3.1</v>
      </c>
      <c r="G805" s="4" t="str">
        <f>HYPERLINK("http://141.218.60.56/~jnz1568/getInfo.php?workbook=11_02.xlsx&amp;sheet=U0&amp;row=805&amp;col=7&amp;number=1.41e-05&amp;sourceID=14","1.41e-05")</f>
        <v>1.41e-05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HYPERLINK("http://141.218.60.56/~jnz1568/getInfo.php?workbook=11_02.xlsx&amp;sheet=U0&amp;row=806&amp;col=6&amp;number=3.2&amp;sourceID=14","3.2")</f>
        <v>3.2</v>
      </c>
      <c r="G806" s="4" t="str">
        <f>HYPERLINK("http://141.218.60.56/~jnz1568/getInfo.php?workbook=11_02.xlsx&amp;sheet=U0&amp;row=806&amp;col=7&amp;number=1.41e-05&amp;sourceID=14","1.41e-05")</f>
        <v>1.41e-05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HYPERLINK("http://141.218.60.56/~jnz1568/getInfo.php?workbook=11_02.xlsx&amp;sheet=U0&amp;row=807&amp;col=6&amp;number=3.3&amp;sourceID=14","3.3")</f>
        <v>3.3</v>
      </c>
      <c r="G807" s="4" t="str">
        <f>HYPERLINK("http://141.218.60.56/~jnz1568/getInfo.php?workbook=11_02.xlsx&amp;sheet=U0&amp;row=807&amp;col=7&amp;number=1.41e-05&amp;sourceID=14","1.41e-05")</f>
        <v>1.41e-05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HYPERLINK("http://141.218.60.56/~jnz1568/getInfo.php?workbook=11_02.xlsx&amp;sheet=U0&amp;row=808&amp;col=6&amp;number=3.4&amp;sourceID=14","3.4")</f>
        <v>3.4</v>
      </c>
      <c r="G808" s="4" t="str">
        <f>HYPERLINK("http://141.218.60.56/~jnz1568/getInfo.php?workbook=11_02.xlsx&amp;sheet=U0&amp;row=808&amp;col=7&amp;number=1.41e-05&amp;sourceID=14","1.41e-05")</f>
        <v>1.41e-05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HYPERLINK("http://141.218.60.56/~jnz1568/getInfo.php?workbook=11_02.xlsx&amp;sheet=U0&amp;row=809&amp;col=6&amp;number=3.5&amp;sourceID=14","3.5")</f>
        <v>3.5</v>
      </c>
      <c r="G809" s="4" t="str">
        <f>HYPERLINK("http://141.218.60.56/~jnz1568/getInfo.php?workbook=11_02.xlsx&amp;sheet=U0&amp;row=809&amp;col=7&amp;number=1.41e-05&amp;sourceID=14","1.41e-05")</f>
        <v>1.41e-05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HYPERLINK("http://141.218.60.56/~jnz1568/getInfo.php?workbook=11_02.xlsx&amp;sheet=U0&amp;row=810&amp;col=6&amp;number=3.6&amp;sourceID=14","3.6")</f>
        <v>3.6</v>
      </c>
      <c r="G810" s="4" t="str">
        <f>HYPERLINK("http://141.218.60.56/~jnz1568/getInfo.php?workbook=11_02.xlsx&amp;sheet=U0&amp;row=810&amp;col=7&amp;number=1.41e-05&amp;sourceID=14","1.41e-05")</f>
        <v>1.41e-05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HYPERLINK("http://141.218.60.56/~jnz1568/getInfo.php?workbook=11_02.xlsx&amp;sheet=U0&amp;row=811&amp;col=6&amp;number=3.7&amp;sourceID=14","3.7")</f>
        <v>3.7</v>
      </c>
      <c r="G811" s="4" t="str">
        <f>HYPERLINK("http://141.218.60.56/~jnz1568/getInfo.php?workbook=11_02.xlsx&amp;sheet=U0&amp;row=811&amp;col=7&amp;number=1.41e-05&amp;sourceID=14","1.41e-05")</f>
        <v>1.41e-05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HYPERLINK("http://141.218.60.56/~jnz1568/getInfo.php?workbook=11_02.xlsx&amp;sheet=U0&amp;row=812&amp;col=6&amp;number=3.8&amp;sourceID=14","3.8")</f>
        <v>3.8</v>
      </c>
      <c r="G812" s="4" t="str">
        <f>HYPERLINK("http://141.218.60.56/~jnz1568/getInfo.php?workbook=11_02.xlsx&amp;sheet=U0&amp;row=812&amp;col=7&amp;number=1.41e-05&amp;sourceID=14","1.41e-05")</f>
        <v>1.41e-05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HYPERLINK("http://141.218.60.56/~jnz1568/getInfo.php?workbook=11_02.xlsx&amp;sheet=U0&amp;row=813&amp;col=6&amp;number=3.9&amp;sourceID=14","3.9")</f>
        <v>3.9</v>
      </c>
      <c r="G813" s="4" t="str">
        <f>HYPERLINK("http://141.218.60.56/~jnz1568/getInfo.php?workbook=11_02.xlsx&amp;sheet=U0&amp;row=813&amp;col=7&amp;number=1.4e-05&amp;sourceID=14","1.4e-05")</f>
        <v>1.4e-05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HYPERLINK("http://141.218.60.56/~jnz1568/getInfo.php?workbook=11_02.xlsx&amp;sheet=U0&amp;row=814&amp;col=6&amp;number=4&amp;sourceID=14","4")</f>
        <v>4</v>
      </c>
      <c r="G814" s="4" t="str">
        <f>HYPERLINK("http://141.218.60.56/~jnz1568/getInfo.php?workbook=11_02.xlsx&amp;sheet=U0&amp;row=814&amp;col=7&amp;number=1.4e-05&amp;sourceID=14","1.4e-05")</f>
        <v>1.4e-05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HYPERLINK("http://141.218.60.56/~jnz1568/getInfo.php?workbook=11_02.xlsx&amp;sheet=U0&amp;row=815&amp;col=6&amp;number=4.1&amp;sourceID=14","4.1")</f>
        <v>4.1</v>
      </c>
      <c r="G815" s="4" t="str">
        <f>HYPERLINK("http://141.218.60.56/~jnz1568/getInfo.php?workbook=11_02.xlsx&amp;sheet=U0&amp;row=815&amp;col=7&amp;number=1.4e-05&amp;sourceID=14","1.4e-05")</f>
        <v>1.4e-05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HYPERLINK("http://141.218.60.56/~jnz1568/getInfo.php?workbook=11_02.xlsx&amp;sheet=U0&amp;row=816&amp;col=6&amp;number=4.2&amp;sourceID=14","4.2")</f>
        <v>4.2</v>
      </c>
      <c r="G816" s="4" t="str">
        <f>HYPERLINK("http://141.218.60.56/~jnz1568/getInfo.php?workbook=11_02.xlsx&amp;sheet=U0&amp;row=816&amp;col=7&amp;number=1.39e-05&amp;sourceID=14","1.39e-05")</f>
        <v>1.39e-05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HYPERLINK("http://141.218.60.56/~jnz1568/getInfo.php?workbook=11_02.xlsx&amp;sheet=U0&amp;row=817&amp;col=6&amp;number=4.3&amp;sourceID=14","4.3")</f>
        <v>4.3</v>
      </c>
      <c r="G817" s="4" t="str">
        <f>HYPERLINK("http://141.218.60.56/~jnz1568/getInfo.php?workbook=11_02.xlsx&amp;sheet=U0&amp;row=817&amp;col=7&amp;number=1.39e-05&amp;sourceID=14","1.39e-05")</f>
        <v>1.39e-05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HYPERLINK("http://141.218.60.56/~jnz1568/getInfo.php?workbook=11_02.xlsx&amp;sheet=U0&amp;row=818&amp;col=6&amp;number=4.4&amp;sourceID=14","4.4")</f>
        <v>4.4</v>
      </c>
      <c r="G818" s="4" t="str">
        <f>HYPERLINK("http://141.218.60.56/~jnz1568/getInfo.php?workbook=11_02.xlsx&amp;sheet=U0&amp;row=818&amp;col=7&amp;number=1.38e-05&amp;sourceID=14","1.38e-05")</f>
        <v>1.38e-05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HYPERLINK("http://141.218.60.56/~jnz1568/getInfo.php?workbook=11_02.xlsx&amp;sheet=U0&amp;row=819&amp;col=6&amp;number=4.5&amp;sourceID=14","4.5")</f>
        <v>4.5</v>
      </c>
      <c r="G819" s="4" t="str">
        <f>HYPERLINK("http://141.218.60.56/~jnz1568/getInfo.php?workbook=11_02.xlsx&amp;sheet=U0&amp;row=819&amp;col=7&amp;number=1.37e-05&amp;sourceID=14","1.37e-05")</f>
        <v>1.37e-05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HYPERLINK("http://141.218.60.56/~jnz1568/getInfo.php?workbook=11_02.xlsx&amp;sheet=U0&amp;row=820&amp;col=6&amp;number=4.6&amp;sourceID=14","4.6")</f>
        <v>4.6</v>
      </c>
      <c r="G820" s="4" t="str">
        <f>HYPERLINK("http://141.218.60.56/~jnz1568/getInfo.php?workbook=11_02.xlsx&amp;sheet=U0&amp;row=820&amp;col=7&amp;number=1.36e-05&amp;sourceID=14","1.36e-05")</f>
        <v>1.36e-05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HYPERLINK("http://141.218.60.56/~jnz1568/getInfo.php?workbook=11_02.xlsx&amp;sheet=U0&amp;row=821&amp;col=6&amp;number=4.7&amp;sourceID=14","4.7")</f>
        <v>4.7</v>
      </c>
      <c r="G821" s="4" t="str">
        <f>HYPERLINK("http://141.218.60.56/~jnz1568/getInfo.php?workbook=11_02.xlsx&amp;sheet=U0&amp;row=821&amp;col=7&amp;number=1.35e-05&amp;sourceID=14","1.35e-05")</f>
        <v>1.35e-05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HYPERLINK("http://141.218.60.56/~jnz1568/getInfo.php?workbook=11_02.xlsx&amp;sheet=U0&amp;row=822&amp;col=6&amp;number=4.8&amp;sourceID=14","4.8")</f>
        <v>4.8</v>
      </c>
      <c r="G822" s="4" t="str">
        <f>HYPERLINK("http://141.218.60.56/~jnz1568/getInfo.php?workbook=11_02.xlsx&amp;sheet=U0&amp;row=822&amp;col=7&amp;number=1.33e-05&amp;sourceID=14","1.33e-05")</f>
        <v>1.33e-05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HYPERLINK("http://141.218.60.56/~jnz1568/getInfo.php?workbook=11_02.xlsx&amp;sheet=U0&amp;row=823&amp;col=6&amp;number=4.9&amp;sourceID=14","4.9")</f>
        <v>4.9</v>
      </c>
      <c r="G823" s="4" t="str">
        <f>HYPERLINK("http://141.218.60.56/~jnz1568/getInfo.php?workbook=11_02.xlsx&amp;sheet=U0&amp;row=823&amp;col=7&amp;number=1.31e-05&amp;sourceID=14","1.31e-05")</f>
        <v>1.31e-05</v>
      </c>
    </row>
    <row r="824" spans="1:7">
      <c r="A824" s="3">
        <v>11</v>
      </c>
      <c r="B824" s="3">
        <v>2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HYPERLINK("http://141.218.60.56/~jnz1568/getInfo.php?workbook=11_02.xlsx&amp;sheet=U0&amp;row=824&amp;col=6&amp;number=3&amp;sourceID=14","3")</f>
        <v>3</v>
      </c>
      <c r="G824" s="4" t="str">
        <f>HYPERLINK("http://141.218.60.56/~jnz1568/getInfo.php?workbook=11_02.xlsx&amp;sheet=U0&amp;row=824&amp;col=7&amp;number=1.53e-05&amp;sourceID=14","1.53e-05")</f>
        <v>1.53e-05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HYPERLINK("http://141.218.60.56/~jnz1568/getInfo.php?workbook=11_02.xlsx&amp;sheet=U0&amp;row=825&amp;col=6&amp;number=3.1&amp;sourceID=14","3.1")</f>
        <v>3.1</v>
      </c>
      <c r="G825" s="4" t="str">
        <f>HYPERLINK("http://141.218.60.56/~jnz1568/getInfo.php?workbook=11_02.xlsx&amp;sheet=U0&amp;row=825&amp;col=7&amp;number=1.53e-05&amp;sourceID=14","1.53e-05")</f>
        <v>1.53e-05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HYPERLINK("http://141.218.60.56/~jnz1568/getInfo.php?workbook=11_02.xlsx&amp;sheet=U0&amp;row=826&amp;col=6&amp;number=3.2&amp;sourceID=14","3.2")</f>
        <v>3.2</v>
      </c>
      <c r="G826" s="4" t="str">
        <f>HYPERLINK("http://141.218.60.56/~jnz1568/getInfo.php?workbook=11_02.xlsx&amp;sheet=U0&amp;row=826&amp;col=7&amp;number=1.53e-05&amp;sourceID=14","1.53e-05")</f>
        <v>1.53e-05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HYPERLINK("http://141.218.60.56/~jnz1568/getInfo.php?workbook=11_02.xlsx&amp;sheet=U0&amp;row=827&amp;col=6&amp;number=3.3&amp;sourceID=14","3.3")</f>
        <v>3.3</v>
      </c>
      <c r="G827" s="4" t="str">
        <f>HYPERLINK("http://141.218.60.56/~jnz1568/getInfo.php?workbook=11_02.xlsx&amp;sheet=U0&amp;row=827&amp;col=7&amp;number=1.53e-05&amp;sourceID=14","1.53e-05")</f>
        <v>1.53e-05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HYPERLINK("http://141.218.60.56/~jnz1568/getInfo.php?workbook=11_02.xlsx&amp;sheet=U0&amp;row=828&amp;col=6&amp;number=3.4&amp;sourceID=14","3.4")</f>
        <v>3.4</v>
      </c>
      <c r="G828" s="4" t="str">
        <f>HYPERLINK("http://141.218.60.56/~jnz1568/getInfo.php?workbook=11_02.xlsx&amp;sheet=U0&amp;row=828&amp;col=7&amp;number=1.52e-05&amp;sourceID=14","1.52e-05")</f>
        <v>1.52e-05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HYPERLINK("http://141.218.60.56/~jnz1568/getInfo.php?workbook=11_02.xlsx&amp;sheet=U0&amp;row=829&amp;col=6&amp;number=3.5&amp;sourceID=14","3.5")</f>
        <v>3.5</v>
      </c>
      <c r="G829" s="4" t="str">
        <f>HYPERLINK("http://141.218.60.56/~jnz1568/getInfo.php?workbook=11_02.xlsx&amp;sheet=U0&amp;row=829&amp;col=7&amp;number=1.52e-05&amp;sourceID=14","1.52e-05")</f>
        <v>1.52e-05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HYPERLINK("http://141.218.60.56/~jnz1568/getInfo.php?workbook=11_02.xlsx&amp;sheet=U0&amp;row=830&amp;col=6&amp;number=3.6&amp;sourceID=14","3.6")</f>
        <v>3.6</v>
      </c>
      <c r="G830" s="4" t="str">
        <f>HYPERLINK("http://141.218.60.56/~jnz1568/getInfo.php?workbook=11_02.xlsx&amp;sheet=U0&amp;row=830&amp;col=7&amp;number=1.52e-05&amp;sourceID=14","1.52e-05")</f>
        <v>1.52e-05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HYPERLINK("http://141.218.60.56/~jnz1568/getInfo.php?workbook=11_02.xlsx&amp;sheet=U0&amp;row=831&amp;col=6&amp;number=3.7&amp;sourceID=14","3.7")</f>
        <v>3.7</v>
      </c>
      <c r="G831" s="4" t="str">
        <f>HYPERLINK("http://141.218.60.56/~jnz1568/getInfo.php?workbook=11_02.xlsx&amp;sheet=U0&amp;row=831&amp;col=7&amp;number=1.52e-05&amp;sourceID=14","1.52e-05")</f>
        <v>1.52e-05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HYPERLINK("http://141.218.60.56/~jnz1568/getInfo.php?workbook=11_02.xlsx&amp;sheet=U0&amp;row=832&amp;col=6&amp;number=3.8&amp;sourceID=14","3.8")</f>
        <v>3.8</v>
      </c>
      <c r="G832" s="4" t="str">
        <f>HYPERLINK("http://141.218.60.56/~jnz1568/getInfo.php?workbook=11_02.xlsx&amp;sheet=U0&amp;row=832&amp;col=7&amp;number=1.52e-05&amp;sourceID=14","1.52e-05")</f>
        <v>1.52e-05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HYPERLINK("http://141.218.60.56/~jnz1568/getInfo.php?workbook=11_02.xlsx&amp;sheet=U0&amp;row=833&amp;col=6&amp;number=3.9&amp;sourceID=14","3.9")</f>
        <v>3.9</v>
      </c>
      <c r="G833" s="4" t="str">
        <f>HYPERLINK("http://141.218.60.56/~jnz1568/getInfo.php?workbook=11_02.xlsx&amp;sheet=U0&amp;row=833&amp;col=7&amp;number=1.51e-05&amp;sourceID=14","1.51e-05")</f>
        <v>1.51e-05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HYPERLINK("http://141.218.60.56/~jnz1568/getInfo.php?workbook=11_02.xlsx&amp;sheet=U0&amp;row=834&amp;col=6&amp;number=4&amp;sourceID=14","4")</f>
        <v>4</v>
      </c>
      <c r="G834" s="4" t="str">
        <f>HYPERLINK("http://141.218.60.56/~jnz1568/getInfo.php?workbook=11_02.xlsx&amp;sheet=U0&amp;row=834&amp;col=7&amp;number=1.51e-05&amp;sourceID=14","1.51e-05")</f>
        <v>1.51e-05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HYPERLINK("http://141.218.60.56/~jnz1568/getInfo.php?workbook=11_02.xlsx&amp;sheet=U0&amp;row=835&amp;col=6&amp;number=4.1&amp;sourceID=14","4.1")</f>
        <v>4.1</v>
      </c>
      <c r="G835" s="4" t="str">
        <f>HYPERLINK("http://141.218.60.56/~jnz1568/getInfo.php?workbook=11_02.xlsx&amp;sheet=U0&amp;row=835&amp;col=7&amp;number=1.5e-05&amp;sourceID=14","1.5e-05")</f>
        <v>1.5e-05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HYPERLINK("http://141.218.60.56/~jnz1568/getInfo.php?workbook=11_02.xlsx&amp;sheet=U0&amp;row=836&amp;col=6&amp;number=4.2&amp;sourceID=14","4.2")</f>
        <v>4.2</v>
      </c>
      <c r="G836" s="4" t="str">
        <f>HYPERLINK("http://141.218.60.56/~jnz1568/getInfo.php?workbook=11_02.xlsx&amp;sheet=U0&amp;row=836&amp;col=7&amp;number=1.5e-05&amp;sourceID=14","1.5e-05")</f>
        <v>1.5e-05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HYPERLINK("http://141.218.60.56/~jnz1568/getInfo.php?workbook=11_02.xlsx&amp;sheet=U0&amp;row=837&amp;col=6&amp;number=4.3&amp;sourceID=14","4.3")</f>
        <v>4.3</v>
      </c>
      <c r="G837" s="4" t="str">
        <f>HYPERLINK("http://141.218.60.56/~jnz1568/getInfo.php?workbook=11_02.xlsx&amp;sheet=U0&amp;row=837&amp;col=7&amp;number=1.49e-05&amp;sourceID=14","1.49e-05")</f>
        <v>1.49e-05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HYPERLINK("http://141.218.60.56/~jnz1568/getInfo.php?workbook=11_02.xlsx&amp;sheet=U0&amp;row=838&amp;col=6&amp;number=4.4&amp;sourceID=14","4.4")</f>
        <v>4.4</v>
      </c>
      <c r="G838" s="4" t="str">
        <f>HYPERLINK("http://141.218.60.56/~jnz1568/getInfo.php?workbook=11_02.xlsx&amp;sheet=U0&amp;row=838&amp;col=7&amp;number=1.48e-05&amp;sourceID=14","1.48e-05")</f>
        <v>1.48e-05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HYPERLINK("http://141.218.60.56/~jnz1568/getInfo.php?workbook=11_02.xlsx&amp;sheet=U0&amp;row=839&amp;col=6&amp;number=4.5&amp;sourceID=14","4.5")</f>
        <v>4.5</v>
      </c>
      <c r="G839" s="4" t="str">
        <f>HYPERLINK("http://141.218.60.56/~jnz1568/getInfo.php?workbook=11_02.xlsx&amp;sheet=U0&amp;row=839&amp;col=7&amp;number=1.47e-05&amp;sourceID=14","1.47e-05")</f>
        <v>1.47e-05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HYPERLINK("http://141.218.60.56/~jnz1568/getInfo.php?workbook=11_02.xlsx&amp;sheet=U0&amp;row=840&amp;col=6&amp;number=4.6&amp;sourceID=14","4.6")</f>
        <v>4.6</v>
      </c>
      <c r="G840" s="4" t="str">
        <f>HYPERLINK("http://141.218.60.56/~jnz1568/getInfo.php?workbook=11_02.xlsx&amp;sheet=U0&amp;row=840&amp;col=7&amp;number=1.45e-05&amp;sourceID=14","1.45e-05")</f>
        <v>1.45e-05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HYPERLINK("http://141.218.60.56/~jnz1568/getInfo.php?workbook=11_02.xlsx&amp;sheet=U0&amp;row=841&amp;col=6&amp;number=4.7&amp;sourceID=14","4.7")</f>
        <v>4.7</v>
      </c>
      <c r="G841" s="4" t="str">
        <f>HYPERLINK("http://141.218.60.56/~jnz1568/getInfo.php?workbook=11_02.xlsx&amp;sheet=U0&amp;row=841&amp;col=7&amp;number=1.43e-05&amp;sourceID=14","1.43e-05")</f>
        <v>1.43e-05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HYPERLINK("http://141.218.60.56/~jnz1568/getInfo.php?workbook=11_02.xlsx&amp;sheet=U0&amp;row=842&amp;col=6&amp;number=4.8&amp;sourceID=14","4.8")</f>
        <v>4.8</v>
      </c>
      <c r="G842" s="4" t="str">
        <f>HYPERLINK("http://141.218.60.56/~jnz1568/getInfo.php?workbook=11_02.xlsx&amp;sheet=U0&amp;row=842&amp;col=7&amp;number=1.41e-05&amp;sourceID=14","1.41e-05")</f>
        <v>1.41e-05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HYPERLINK("http://141.218.60.56/~jnz1568/getInfo.php?workbook=11_02.xlsx&amp;sheet=U0&amp;row=843&amp;col=6&amp;number=4.9&amp;sourceID=14","4.9")</f>
        <v>4.9</v>
      </c>
      <c r="G843" s="4" t="str">
        <f>HYPERLINK("http://141.218.60.56/~jnz1568/getInfo.php?workbook=11_02.xlsx&amp;sheet=U0&amp;row=843&amp;col=7&amp;number=1.38e-05&amp;sourceID=14","1.38e-05")</f>
        <v>1.38e-05</v>
      </c>
    </row>
    <row r="844" spans="1:7">
      <c r="A844" s="3">
        <v>11</v>
      </c>
      <c r="B844" s="3">
        <v>2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HYPERLINK("http://141.218.60.56/~jnz1568/getInfo.php?workbook=11_02.xlsx&amp;sheet=U0&amp;row=844&amp;col=6&amp;number=3&amp;sourceID=14","3")</f>
        <v>3</v>
      </c>
      <c r="G844" s="4" t="str">
        <f>HYPERLINK("http://141.218.60.56/~jnz1568/getInfo.php?workbook=11_02.xlsx&amp;sheet=U0&amp;row=844&amp;col=7&amp;number=6.65e-07&amp;sourceID=14","6.65e-07")</f>
        <v>6.65e-07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HYPERLINK("http://141.218.60.56/~jnz1568/getInfo.php?workbook=11_02.xlsx&amp;sheet=U0&amp;row=845&amp;col=6&amp;number=3.1&amp;sourceID=14","3.1")</f>
        <v>3.1</v>
      </c>
      <c r="G845" s="4" t="str">
        <f>HYPERLINK("http://141.218.60.56/~jnz1568/getInfo.php?workbook=11_02.xlsx&amp;sheet=U0&amp;row=845&amp;col=7&amp;number=6.65e-07&amp;sourceID=14","6.65e-07")</f>
        <v>6.65e-07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HYPERLINK("http://141.218.60.56/~jnz1568/getInfo.php?workbook=11_02.xlsx&amp;sheet=U0&amp;row=846&amp;col=6&amp;number=3.2&amp;sourceID=14","3.2")</f>
        <v>3.2</v>
      </c>
      <c r="G846" s="4" t="str">
        <f>HYPERLINK("http://141.218.60.56/~jnz1568/getInfo.php?workbook=11_02.xlsx&amp;sheet=U0&amp;row=846&amp;col=7&amp;number=6.65e-07&amp;sourceID=14","6.65e-07")</f>
        <v>6.65e-07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HYPERLINK("http://141.218.60.56/~jnz1568/getInfo.php?workbook=11_02.xlsx&amp;sheet=U0&amp;row=847&amp;col=6&amp;number=3.3&amp;sourceID=14","3.3")</f>
        <v>3.3</v>
      </c>
      <c r="G847" s="4" t="str">
        <f>HYPERLINK("http://141.218.60.56/~jnz1568/getInfo.php?workbook=11_02.xlsx&amp;sheet=U0&amp;row=847&amp;col=7&amp;number=6.64e-07&amp;sourceID=14","6.64e-07")</f>
        <v>6.64e-07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HYPERLINK("http://141.218.60.56/~jnz1568/getInfo.php?workbook=11_02.xlsx&amp;sheet=U0&amp;row=848&amp;col=6&amp;number=3.4&amp;sourceID=14","3.4")</f>
        <v>3.4</v>
      </c>
      <c r="G848" s="4" t="str">
        <f>HYPERLINK("http://141.218.60.56/~jnz1568/getInfo.php?workbook=11_02.xlsx&amp;sheet=U0&amp;row=848&amp;col=7&amp;number=6.64e-07&amp;sourceID=14","6.64e-07")</f>
        <v>6.64e-07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HYPERLINK("http://141.218.60.56/~jnz1568/getInfo.php?workbook=11_02.xlsx&amp;sheet=U0&amp;row=849&amp;col=6&amp;number=3.5&amp;sourceID=14","3.5")</f>
        <v>3.5</v>
      </c>
      <c r="G849" s="4" t="str">
        <f>HYPERLINK("http://141.218.60.56/~jnz1568/getInfo.php?workbook=11_02.xlsx&amp;sheet=U0&amp;row=849&amp;col=7&amp;number=6.63e-07&amp;sourceID=14","6.63e-07")</f>
        <v>6.63e-07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HYPERLINK("http://141.218.60.56/~jnz1568/getInfo.php?workbook=11_02.xlsx&amp;sheet=U0&amp;row=850&amp;col=6&amp;number=3.6&amp;sourceID=14","3.6")</f>
        <v>3.6</v>
      </c>
      <c r="G850" s="4" t="str">
        <f>HYPERLINK("http://141.218.60.56/~jnz1568/getInfo.php?workbook=11_02.xlsx&amp;sheet=U0&amp;row=850&amp;col=7&amp;number=6.62e-07&amp;sourceID=14","6.62e-07")</f>
        <v>6.62e-07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HYPERLINK("http://141.218.60.56/~jnz1568/getInfo.php?workbook=11_02.xlsx&amp;sheet=U0&amp;row=851&amp;col=6&amp;number=3.7&amp;sourceID=14","3.7")</f>
        <v>3.7</v>
      </c>
      <c r="G851" s="4" t="str">
        <f>HYPERLINK("http://141.218.60.56/~jnz1568/getInfo.php?workbook=11_02.xlsx&amp;sheet=U0&amp;row=851&amp;col=7&amp;number=6.61e-07&amp;sourceID=14","6.61e-07")</f>
        <v>6.61e-07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HYPERLINK("http://141.218.60.56/~jnz1568/getInfo.php?workbook=11_02.xlsx&amp;sheet=U0&amp;row=852&amp;col=6&amp;number=3.8&amp;sourceID=14","3.8")</f>
        <v>3.8</v>
      </c>
      <c r="G852" s="4" t="str">
        <f>HYPERLINK("http://141.218.60.56/~jnz1568/getInfo.php?workbook=11_02.xlsx&amp;sheet=U0&amp;row=852&amp;col=7&amp;number=6.59e-07&amp;sourceID=14","6.59e-07")</f>
        <v>6.59e-07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HYPERLINK("http://141.218.60.56/~jnz1568/getInfo.php?workbook=11_02.xlsx&amp;sheet=U0&amp;row=853&amp;col=6&amp;number=3.9&amp;sourceID=14","3.9")</f>
        <v>3.9</v>
      </c>
      <c r="G853" s="4" t="str">
        <f>HYPERLINK("http://141.218.60.56/~jnz1568/getInfo.php?workbook=11_02.xlsx&amp;sheet=U0&amp;row=853&amp;col=7&amp;number=6.57e-07&amp;sourceID=14","6.57e-07")</f>
        <v>6.57e-07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HYPERLINK("http://141.218.60.56/~jnz1568/getInfo.php?workbook=11_02.xlsx&amp;sheet=U0&amp;row=854&amp;col=6&amp;number=4&amp;sourceID=14","4")</f>
        <v>4</v>
      </c>
      <c r="G854" s="4" t="str">
        <f>HYPERLINK("http://141.218.60.56/~jnz1568/getInfo.php?workbook=11_02.xlsx&amp;sheet=U0&amp;row=854&amp;col=7&amp;number=6.55e-07&amp;sourceID=14","6.55e-07")</f>
        <v>6.55e-07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HYPERLINK("http://141.218.60.56/~jnz1568/getInfo.php?workbook=11_02.xlsx&amp;sheet=U0&amp;row=855&amp;col=6&amp;number=4.1&amp;sourceID=14","4.1")</f>
        <v>4.1</v>
      </c>
      <c r="G855" s="4" t="str">
        <f>HYPERLINK("http://141.218.60.56/~jnz1568/getInfo.php?workbook=11_02.xlsx&amp;sheet=U0&amp;row=855&amp;col=7&amp;number=6.52e-07&amp;sourceID=14","6.52e-07")</f>
        <v>6.52e-07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HYPERLINK("http://141.218.60.56/~jnz1568/getInfo.php?workbook=11_02.xlsx&amp;sheet=U0&amp;row=856&amp;col=6&amp;number=4.2&amp;sourceID=14","4.2")</f>
        <v>4.2</v>
      </c>
      <c r="G856" s="4" t="str">
        <f>HYPERLINK("http://141.218.60.56/~jnz1568/getInfo.php?workbook=11_02.xlsx&amp;sheet=U0&amp;row=856&amp;col=7&amp;number=6.49e-07&amp;sourceID=14","6.49e-07")</f>
        <v>6.49e-07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HYPERLINK("http://141.218.60.56/~jnz1568/getInfo.php?workbook=11_02.xlsx&amp;sheet=U0&amp;row=857&amp;col=6&amp;number=4.3&amp;sourceID=14","4.3")</f>
        <v>4.3</v>
      </c>
      <c r="G857" s="4" t="str">
        <f>HYPERLINK("http://141.218.60.56/~jnz1568/getInfo.php?workbook=11_02.xlsx&amp;sheet=U0&amp;row=857&amp;col=7&amp;number=6.44e-07&amp;sourceID=14","6.44e-07")</f>
        <v>6.44e-07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HYPERLINK("http://141.218.60.56/~jnz1568/getInfo.php?workbook=11_02.xlsx&amp;sheet=U0&amp;row=858&amp;col=6&amp;number=4.4&amp;sourceID=14","4.4")</f>
        <v>4.4</v>
      </c>
      <c r="G858" s="4" t="str">
        <f>HYPERLINK("http://141.218.60.56/~jnz1568/getInfo.php?workbook=11_02.xlsx&amp;sheet=U0&amp;row=858&amp;col=7&amp;number=6.38e-07&amp;sourceID=14","6.38e-07")</f>
        <v>6.38e-07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HYPERLINK("http://141.218.60.56/~jnz1568/getInfo.php?workbook=11_02.xlsx&amp;sheet=U0&amp;row=859&amp;col=6&amp;number=4.5&amp;sourceID=14","4.5")</f>
        <v>4.5</v>
      </c>
      <c r="G859" s="4" t="str">
        <f>HYPERLINK("http://141.218.60.56/~jnz1568/getInfo.php?workbook=11_02.xlsx&amp;sheet=U0&amp;row=859&amp;col=7&amp;number=6.31e-07&amp;sourceID=14","6.31e-07")</f>
        <v>6.31e-07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HYPERLINK("http://141.218.60.56/~jnz1568/getInfo.php?workbook=11_02.xlsx&amp;sheet=U0&amp;row=860&amp;col=6&amp;number=4.6&amp;sourceID=14","4.6")</f>
        <v>4.6</v>
      </c>
      <c r="G860" s="4" t="str">
        <f>HYPERLINK("http://141.218.60.56/~jnz1568/getInfo.php?workbook=11_02.xlsx&amp;sheet=U0&amp;row=860&amp;col=7&amp;number=6.23e-07&amp;sourceID=14","6.23e-07")</f>
        <v>6.23e-07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HYPERLINK("http://141.218.60.56/~jnz1568/getInfo.php?workbook=11_02.xlsx&amp;sheet=U0&amp;row=861&amp;col=6&amp;number=4.7&amp;sourceID=14","4.7")</f>
        <v>4.7</v>
      </c>
      <c r="G861" s="4" t="str">
        <f>HYPERLINK("http://141.218.60.56/~jnz1568/getInfo.php?workbook=11_02.xlsx&amp;sheet=U0&amp;row=861&amp;col=7&amp;number=6.12e-07&amp;sourceID=14","6.12e-07")</f>
        <v>6.12e-07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HYPERLINK("http://141.218.60.56/~jnz1568/getInfo.php?workbook=11_02.xlsx&amp;sheet=U0&amp;row=862&amp;col=6&amp;number=4.8&amp;sourceID=14","4.8")</f>
        <v>4.8</v>
      </c>
      <c r="G862" s="4" t="str">
        <f>HYPERLINK("http://141.218.60.56/~jnz1568/getInfo.php?workbook=11_02.xlsx&amp;sheet=U0&amp;row=862&amp;col=7&amp;number=5.99e-07&amp;sourceID=14","5.99e-07")</f>
        <v>5.99e-07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HYPERLINK("http://141.218.60.56/~jnz1568/getInfo.php?workbook=11_02.xlsx&amp;sheet=U0&amp;row=863&amp;col=6&amp;number=4.9&amp;sourceID=14","4.9")</f>
        <v>4.9</v>
      </c>
      <c r="G863" s="4" t="str">
        <f>HYPERLINK("http://141.218.60.56/~jnz1568/getInfo.php?workbook=11_02.xlsx&amp;sheet=U0&amp;row=863&amp;col=7&amp;number=5.83e-07&amp;sourceID=14","5.83e-07")</f>
        <v>5.83e-07</v>
      </c>
    </row>
    <row r="864" spans="1:7">
      <c r="A864" s="3">
        <v>11</v>
      </c>
      <c r="B864" s="3">
        <v>2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HYPERLINK("http://141.218.60.56/~jnz1568/getInfo.php?workbook=11_02.xlsx&amp;sheet=U0&amp;row=864&amp;col=6&amp;number=3&amp;sourceID=14","3")</f>
        <v>3</v>
      </c>
      <c r="G864" s="4" t="str">
        <f>HYPERLINK("http://141.218.60.56/~jnz1568/getInfo.php?workbook=11_02.xlsx&amp;sheet=U0&amp;row=864&amp;col=7&amp;number=1.05e-06&amp;sourceID=14","1.05e-06")</f>
        <v>1.05e-06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HYPERLINK("http://141.218.60.56/~jnz1568/getInfo.php?workbook=11_02.xlsx&amp;sheet=U0&amp;row=865&amp;col=6&amp;number=3.1&amp;sourceID=14","3.1")</f>
        <v>3.1</v>
      </c>
      <c r="G865" s="4" t="str">
        <f>HYPERLINK("http://141.218.60.56/~jnz1568/getInfo.php?workbook=11_02.xlsx&amp;sheet=U0&amp;row=865&amp;col=7&amp;number=1.05e-06&amp;sourceID=14","1.05e-06")</f>
        <v>1.05e-06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HYPERLINK("http://141.218.60.56/~jnz1568/getInfo.php?workbook=11_02.xlsx&amp;sheet=U0&amp;row=866&amp;col=6&amp;number=3.2&amp;sourceID=14","3.2")</f>
        <v>3.2</v>
      </c>
      <c r="G866" s="4" t="str">
        <f>HYPERLINK("http://141.218.60.56/~jnz1568/getInfo.php?workbook=11_02.xlsx&amp;sheet=U0&amp;row=866&amp;col=7&amp;number=1.05e-06&amp;sourceID=14","1.05e-06")</f>
        <v>1.05e-06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HYPERLINK("http://141.218.60.56/~jnz1568/getInfo.php?workbook=11_02.xlsx&amp;sheet=U0&amp;row=867&amp;col=6&amp;number=3.3&amp;sourceID=14","3.3")</f>
        <v>3.3</v>
      </c>
      <c r="G867" s="4" t="str">
        <f>HYPERLINK("http://141.218.60.56/~jnz1568/getInfo.php?workbook=11_02.xlsx&amp;sheet=U0&amp;row=867&amp;col=7&amp;number=1.05e-06&amp;sourceID=14","1.05e-06")</f>
        <v>1.05e-06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HYPERLINK("http://141.218.60.56/~jnz1568/getInfo.php?workbook=11_02.xlsx&amp;sheet=U0&amp;row=868&amp;col=6&amp;number=3.4&amp;sourceID=14","3.4")</f>
        <v>3.4</v>
      </c>
      <c r="G868" s="4" t="str">
        <f>HYPERLINK("http://141.218.60.56/~jnz1568/getInfo.php?workbook=11_02.xlsx&amp;sheet=U0&amp;row=868&amp;col=7&amp;number=1.05e-06&amp;sourceID=14","1.05e-06")</f>
        <v>1.05e-06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HYPERLINK("http://141.218.60.56/~jnz1568/getInfo.php?workbook=11_02.xlsx&amp;sheet=U0&amp;row=869&amp;col=6&amp;number=3.5&amp;sourceID=14","3.5")</f>
        <v>3.5</v>
      </c>
      <c r="G869" s="4" t="str">
        <f>HYPERLINK("http://141.218.60.56/~jnz1568/getInfo.php?workbook=11_02.xlsx&amp;sheet=U0&amp;row=869&amp;col=7&amp;number=1.05e-06&amp;sourceID=14","1.05e-06")</f>
        <v>1.05e-06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HYPERLINK("http://141.218.60.56/~jnz1568/getInfo.php?workbook=11_02.xlsx&amp;sheet=U0&amp;row=870&amp;col=6&amp;number=3.6&amp;sourceID=14","3.6")</f>
        <v>3.6</v>
      </c>
      <c r="G870" s="4" t="str">
        <f>HYPERLINK("http://141.218.60.56/~jnz1568/getInfo.php?workbook=11_02.xlsx&amp;sheet=U0&amp;row=870&amp;col=7&amp;number=1.04e-06&amp;sourceID=14","1.04e-06")</f>
        <v>1.04e-06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HYPERLINK("http://141.218.60.56/~jnz1568/getInfo.php?workbook=11_02.xlsx&amp;sheet=U0&amp;row=871&amp;col=6&amp;number=3.7&amp;sourceID=14","3.7")</f>
        <v>3.7</v>
      </c>
      <c r="G871" s="4" t="str">
        <f>HYPERLINK("http://141.218.60.56/~jnz1568/getInfo.php?workbook=11_02.xlsx&amp;sheet=U0&amp;row=871&amp;col=7&amp;number=1.04e-06&amp;sourceID=14","1.04e-06")</f>
        <v>1.04e-06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HYPERLINK("http://141.218.60.56/~jnz1568/getInfo.php?workbook=11_02.xlsx&amp;sheet=U0&amp;row=872&amp;col=6&amp;number=3.8&amp;sourceID=14","3.8")</f>
        <v>3.8</v>
      </c>
      <c r="G872" s="4" t="str">
        <f>HYPERLINK("http://141.218.60.56/~jnz1568/getInfo.php?workbook=11_02.xlsx&amp;sheet=U0&amp;row=872&amp;col=7&amp;number=1.04e-06&amp;sourceID=14","1.04e-06")</f>
        <v>1.04e-06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HYPERLINK("http://141.218.60.56/~jnz1568/getInfo.php?workbook=11_02.xlsx&amp;sheet=U0&amp;row=873&amp;col=6&amp;number=3.9&amp;sourceID=14","3.9")</f>
        <v>3.9</v>
      </c>
      <c r="G873" s="4" t="str">
        <f>HYPERLINK("http://141.218.60.56/~jnz1568/getInfo.php?workbook=11_02.xlsx&amp;sheet=U0&amp;row=873&amp;col=7&amp;number=1.04e-06&amp;sourceID=14","1.04e-06")</f>
        <v>1.04e-06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HYPERLINK("http://141.218.60.56/~jnz1568/getInfo.php?workbook=11_02.xlsx&amp;sheet=U0&amp;row=874&amp;col=6&amp;number=4&amp;sourceID=14","4")</f>
        <v>4</v>
      </c>
      <c r="G874" s="4" t="str">
        <f>HYPERLINK("http://141.218.60.56/~jnz1568/getInfo.php?workbook=11_02.xlsx&amp;sheet=U0&amp;row=874&amp;col=7&amp;number=1.03e-06&amp;sourceID=14","1.03e-06")</f>
        <v>1.03e-06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HYPERLINK("http://141.218.60.56/~jnz1568/getInfo.php?workbook=11_02.xlsx&amp;sheet=U0&amp;row=875&amp;col=6&amp;number=4.1&amp;sourceID=14","4.1")</f>
        <v>4.1</v>
      </c>
      <c r="G875" s="4" t="str">
        <f>HYPERLINK("http://141.218.60.56/~jnz1568/getInfo.php?workbook=11_02.xlsx&amp;sheet=U0&amp;row=875&amp;col=7&amp;number=1.03e-06&amp;sourceID=14","1.03e-06")</f>
        <v>1.03e-06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HYPERLINK("http://141.218.60.56/~jnz1568/getInfo.php?workbook=11_02.xlsx&amp;sheet=U0&amp;row=876&amp;col=6&amp;number=4.2&amp;sourceID=14","4.2")</f>
        <v>4.2</v>
      </c>
      <c r="G876" s="4" t="str">
        <f>HYPERLINK("http://141.218.60.56/~jnz1568/getInfo.php?workbook=11_02.xlsx&amp;sheet=U0&amp;row=876&amp;col=7&amp;number=1.02e-06&amp;sourceID=14","1.02e-06")</f>
        <v>1.02e-06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HYPERLINK("http://141.218.60.56/~jnz1568/getInfo.php?workbook=11_02.xlsx&amp;sheet=U0&amp;row=877&amp;col=6&amp;number=4.3&amp;sourceID=14","4.3")</f>
        <v>4.3</v>
      </c>
      <c r="G877" s="4" t="str">
        <f>HYPERLINK("http://141.218.60.56/~jnz1568/getInfo.php?workbook=11_02.xlsx&amp;sheet=U0&amp;row=877&amp;col=7&amp;number=1.01e-06&amp;sourceID=14","1.01e-06")</f>
        <v>1.01e-06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HYPERLINK("http://141.218.60.56/~jnz1568/getInfo.php?workbook=11_02.xlsx&amp;sheet=U0&amp;row=878&amp;col=6&amp;number=4.4&amp;sourceID=14","4.4")</f>
        <v>4.4</v>
      </c>
      <c r="G878" s="4" t="str">
        <f>HYPERLINK("http://141.218.60.56/~jnz1568/getInfo.php?workbook=11_02.xlsx&amp;sheet=U0&amp;row=878&amp;col=7&amp;number=1.01e-06&amp;sourceID=14","1.01e-06")</f>
        <v>1.01e-06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HYPERLINK("http://141.218.60.56/~jnz1568/getInfo.php?workbook=11_02.xlsx&amp;sheet=U0&amp;row=879&amp;col=6&amp;number=4.5&amp;sourceID=14","4.5")</f>
        <v>4.5</v>
      </c>
      <c r="G879" s="4" t="str">
        <f>HYPERLINK("http://141.218.60.56/~jnz1568/getInfo.php?workbook=11_02.xlsx&amp;sheet=U0&amp;row=879&amp;col=7&amp;number=9.94e-07&amp;sourceID=14","9.94e-07")</f>
        <v>9.94e-07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HYPERLINK("http://141.218.60.56/~jnz1568/getInfo.php?workbook=11_02.xlsx&amp;sheet=U0&amp;row=880&amp;col=6&amp;number=4.6&amp;sourceID=14","4.6")</f>
        <v>4.6</v>
      </c>
      <c r="G880" s="4" t="str">
        <f>HYPERLINK("http://141.218.60.56/~jnz1568/getInfo.php?workbook=11_02.xlsx&amp;sheet=U0&amp;row=880&amp;col=7&amp;number=9.79e-07&amp;sourceID=14","9.79e-07")</f>
        <v>9.79e-07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HYPERLINK("http://141.218.60.56/~jnz1568/getInfo.php?workbook=11_02.xlsx&amp;sheet=U0&amp;row=881&amp;col=6&amp;number=4.7&amp;sourceID=14","4.7")</f>
        <v>4.7</v>
      </c>
      <c r="G881" s="4" t="str">
        <f>HYPERLINK("http://141.218.60.56/~jnz1568/getInfo.php?workbook=11_02.xlsx&amp;sheet=U0&amp;row=881&amp;col=7&amp;number=9.62e-07&amp;sourceID=14","9.62e-07")</f>
        <v>9.62e-07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HYPERLINK("http://141.218.60.56/~jnz1568/getInfo.php?workbook=11_02.xlsx&amp;sheet=U0&amp;row=882&amp;col=6&amp;number=4.8&amp;sourceID=14","4.8")</f>
        <v>4.8</v>
      </c>
      <c r="G882" s="4" t="str">
        <f>HYPERLINK("http://141.218.60.56/~jnz1568/getInfo.php?workbook=11_02.xlsx&amp;sheet=U0&amp;row=882&amp;col=7&amp;number=9.4e-07&amp;sourceID=14","9.4e-07")</f>
        <v>9.4e-07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HYPERLINK("http://141.218.60.56/~jnz1568/getInfo.php?workbook=11_02.xlsx&amp;sheet=U0&amp;row=883&amp;col=6&amp;number=4.9&amp;sourceID=14","4.9")</f>
        <v>4.9</v>
      </c>
      <c r="G883" s="4" t="str">
        <f>HYPERLINK("http://141.218.60.56/~jnz1568/getInfo.php?workbook=11_02.xlsx&amp;sheet=U0&amp;row=883&amp;col=7&amp;number=9.15e-07&amp;sourceID=14","9.15e-07")</f>
        <v>9.15e-07</v>
      </c>
    </row>
    <row r="884" spans="1:7">
      <c r="A884" s="3">
        <v>11</v>
      </c>
      <c r="B884" s="3">
        <v>2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HYPERLINK("http://141.218.60.56/~jnz1568/getInfo.php?workbook=11_02.xlsx&amp;sheet=U0&amp;row=884&amp;col=6&amp;number=3&amp;sourceID=14","3")</f>
        <v>3</v>
      </c>
      <c r="G884" s="4" t="str">
        <f>HYPERLINK("http://141.218.60.56/~jnz1568/getInfo.php?workbook=11_02.xlsx&amp;sheet=U0&amp;row=884&amp;col=7&amp;number=0.000127&amp;sourceID=14","0.000127")</f>
        <v>0.000127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HYPERLINK("http://141.218.60.56/~jnz1568/getInfo.php?workbook=11_02.xlsx&amp;sheet=U0&amp;row=885&amp;col=6&amp;number=3.1&amp;sourceID=14","3.1")</f>
        <v>3.1</v>
      </c>
      <c r="G885" s="4" t="str">
        <f>HYPERLINK("http://141.218.60.56/~jnz1568/getInfo.php?workbook=11_02.xlsx&amp;sheet=U0&amp;row=885&amp;col=7&amp;number=0.000127&amp;sourceID=14","0.000127")</f>
        <v>0.000127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HYPERLINK("http://141.218.60.56/~jnz1568/getInfo.php?workbook=11_02.xlsx&amp;sheet=U0&amp;row=886&amp;col=6&amp;number=3.2&amp;sourceID=14","3.2")</f>
        <v>3.2</v>
      </c>
      <c r="G886" s="4" t="str">
        <f>HYPERLINK("http://141.218.60.56/~jnz1568/getInfo.php?workbook=11_02.xlsx&amp;sheet=U0&amp;row=886&amp;col=7&amp;number=0.000127&amp;sourceID=14","0.000127")</f>
        <v>0.000127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HYPERLINK("http://141.218.60.56/~jnz1568/getInfo.php?workbook=11_02.xlsx&amp;sheet=U0&amp;row=887&amp;col=6&amp;number=3.3&amp;sourceID=14","3.3")</f>
        <v>3.3</v>
      </c>
      <c r="G887" s="4" t="str">
        <f>HYPERLINK("http://141.218.60.56/~jnz1568/getInfo.php?workbook=11_02.xlsx&amp;sheet=U0&amp;row=887&amp;col=7&amp;number=0.000127&amp;sourceID=14","0.000127")</f>
        <v>0.000127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HYPERLINK("http://141.218.60.56/~jnz1568/getInfo.php?workbook=11_02.xlsx&amp;sheet=U0&amp;row=888&amp;col=6&amp;number=3.4&amp;sourceID=14","3.4")</f>
        <v>3.4</v>
      </c>
      <c r="G888" s="4" t="str">
        <f>HYPERLINK("http://141.218.60.56/~jnz1568/getInfo.php?workbook=11_02.xlsx&amp;sheet=U0&amp;row=888&amp;col=7&amp;number=0.000126&amp;sourceID=14","0.000126")</f>
        <v>0.000126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HYPERLINK("http://141.218.60.56/~jnz1568/getInfo.php?workbook=11_02.xlsx&amp;sheet=U0&amp;row=889&amp;col=6&amp;number=3.5&amp;sourceID=14","3.5")</f>
        <v>3.5</v>
      </c>
      <c r="G889" s="4" t="str">
        <f>HYPERLINK("http://141.218.60.56/~jnz1568/getInfo.php?workbook=11_02.xlsx&amp;sheet=U0&amp;row=889&amp;col=7&amp;number=0.000126&amp;sourceID=14","0.000126")</f>
        <v>0.000126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HYPERLINK("http://141.218.60.56/~jnz1568/getInfo.php?workbook=11_02.xlsx&amp;sheet=U0&amp;row=890&amp;col=6&amp;number=3.6&amp;sourceID=14","3.6")</f>
        <v>3.6</v>
      </c>
      <c r="G890" s="4" t="str">
        <f>HYPERLINK("http://141.218.60.56/~jnz1568/getInfo.php?workbook=11_02.xlsx&amp;sheet=U0&amp;row=890&amp;col=7&amp;number=0.000126&amp;sourceID=14","0.000126")</f>
        <v>0.000126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HYPERLINK("http://141.218.60.56/~jnz1568/getInfo.php?workbook=11_02.xlsx&amp;sheet=U0&amp;row=891&amp;col=6&amp;number=3.7&amp;sourceID=14","3.7")</f>
        <v>3.7</v>
      </c>
      <c r="G891" s="4" t="str">
        <f>HYPERLINK("http://141.218.60.56/~jnz1568/getInfo.php?workbook=11_02.xlsx&amp;sheet=U0&amp;row=891&amp;col=7&amp;number=0.000126&amp;sourceID=14","0.000126")</f>
        <v>0.000126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HYPERLINK("http://141.218.60.56/~jnz1568/getInfo.php?workbook=11_02.xlsx&amp;sheet=U0&amp;row=892&amp;col=6&amp;number=3.8&amp;sourceID=14","3.8")</f>
        <v>3.8</v>
      </c>
      <c r="G892" s="4" t="str">
        <f>HYPERLINK("http://141.218.60.56/~jnz1568/getInfo.php?workbook=11_02.xlsx&amp;sheet=U0&amp;row=892&amp;col=7&amp;number=0.000126&amp;sourceID=14","0.000126")</f>
        <v>0.000126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HYPERLINK("http://141.218.60.56/~jnz1568/getInfo.php?workbook=11_02.xlsx&amp;sheet=U0&amp;row=893&amp;col=6&amp;number=3.9&amp;sourceID=14","3.9")</f>
        <v>3.9</v>
      </c>
      <c r="G893" s="4" t="str">
        <f>HYPERLINK("http://141.218.60.56/~jnz1568/getInfo.php?workbook=11_02.xlsx&amp;sheet=U0&amp;row=893&amp;col=7&amp;number=0.000126&amp;sourceID=14","0.000126")</f>
        <v>0.000126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HYPERLINK("http://141.218.60.56/~jnz1568/getInfo.php?workbook=11_02.xlsx&amp;sheet=U0&amp;row=894&amp;col=6&amp;number=4&amp;sourceID=14","4")</f>
        <v>4</v>
      </c>
      <c r="G894" s="4" t="str">
        <f>HYPERLINK("http://141.218.60.56/~jnz1568/getInfo.php?workbook=11_02.xlsx&amp;sheet=U0&amp;row=894&amp;col=7&amp;number=0.000125&amp;sourceID=14","0.000125")</f>
        <v>0.000125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HYPERLINK("http://141.218.60.56/~jnz1568/getInfo.php?workbook=11_02.xlsx&amp;sheet=U0&amp;row=895&amp;col=6&amp;number=4.1&amp;sourceID=14","4.1")</f>
        <v>4.1</v>
      </c>
      <c r="G895" s="4" t="str">
        <f>HYPERLINK("http://141.218.60.56/~jnz1568/getInfo.php?workbook=11_02.xlsx&amp;sheet=U0&amp;row=895&amp;col=7&amp;number=0.000125&amp;sourceID=14","0.000125")</f>
        <v>0.000125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HYPERLINK("http://141.218.60.56/~jnz1568/getInfo.php?workbook=11_02.xlsx&amp;sheet=U0&amp;row=896&amp;col=6&amp;number=4.2&amp;sourceID=14","4.2")</f>
        <v>4.2</v>
      </c>
      <c r="G896" s="4" t="str">
        <f>HYPERLINK("http://141.218.60.56/~jnz1568/getInfo.php?workbook=11_02.xlsx&amp;sheet=U0&amp;row=896&amp;col=7&amp;number=0.000125&amp;sourceID=14","0.000125")</f>
        <v>0.000125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HYPERLINK("http://141.218.60.56/~jnz1568/getInfo.php?workbook=11_02.xlsx&amp;sheet=U0&amp;row=897&amp;col=6&amp;number=4.3&amp;sourceID=14","4.3")</f>
        <v>4.3</v>
      </c>
      <c r="G897" s="4" t="str">
        <f>HYPERLINK("http://141.218.60.56/~jnz1568/getInfo.php?workbook=11_02.xlsx&amp;sheet=U0&amp;row=897&amp;col=7&amp;number=0.000124&amp;sourceID=14","0.000124")</f>
        <v>0.000124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HYPERLINK("http://141.218.60.56/~jnz1568/getInfo.php?workbook=11_02.xlsx&amp;sheet=U0&amp;row=898&amp;col=6&amp;number=4.4&amp;sourceID=14","4.4")</f>
        <v>4.4</v>
      </c>
      <c r="G898" s="4" t="str">
        <f>HYPERLINK("http://141.218.60.56/~jnz1568/getInfo.php?workbook=11_02.xlsx&amp;sheet=U0&amp;row=898&amp;col=7&amp;number=0.000123&amp;sourceID=14","0.000123")</f>
        <v>0.000123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HYPERLINK("http://141.218.60.56/~jnz1568/getInfo.php?workbook=11_02.xlsx&amp;sheet=U0&amp;row=899&amp;col=6&amp;number=4.5&amp;sourceID=14","4.5")</f>
        <v>4.5</v>
      </c>
      <c r="G899" s="4" t="str">
        <f>HYPERLINK("http://141.218.60.56/~jnz1568/getInfo.php?workbook=11_02.xlsx&amp;sheet=U0&amp;row=899&amp;col=7&amp;number=0.000122&amp;sourceID=14","0.000122")</f>
        <v>0.000122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HYPERLINK("http://141.218.60.56/~jnz1568/getInfo.php?workbook=11_02.xlsx&amp;sheet=U0&amp;row=900&amp;col=6&amp;number=4.6&amp;sourceID=14","4.6")</f>
        <v>4.6</v>
      </c>
      <c r="G900" s="4" t="str">
        <f>HYPERLINK("http://141.218.60.56/~jnz1568/getInfo.php?workbook=11_02.xlsx&amp;sheet=U0&amp;row=900&amp;col=7&amp;number=0.000121&amp;sourceID=14","0.000121")</f>
        <v>0.000121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HYPERLINK("http://141.218.60.56/~jnz1568/getInfo.php?workbook=11_02.xlsx&amp;sheet=U0&amp;row=901&amp;col=6&amp;number=4.7&amp;sourceID=14","4.7")</f>
        <v>4.7</v>
      </c>
      <c r="G901" s="4" t="str">
        <f>HYPERLINK("http://141.218.60.56/~jnz1568/getInfo.php?workbook=11_02.xlsx&amp;sheet=U0&amp;row=901&amp;col=7&amp;number=0.00012&amp;sourceID=14","0.00012")</f>
        <v>0.00012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HYPERLINK("http://141.218.60.56/~jnz1568/getInfo.php?workbook=11_02.xlsx&amp;sheet=U0&amp;row=902&amp;col=6&amp;number=4.8&amp;sourceID=14","4.8")</f>
        <v>4.8</v>
      </c>
      <c r="G902" s="4" t="str">
        <f>HYPERLINK("http://141.218.60.56/~jnz1568/getInfo.php?workbook=11_02.xlsx&amp;sheet=U0&amp;row=902&amp;col=7&amp;number=0.000118&amp;sourceID=14","0.000118")</f>
        <v>0.000118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HYPERLINK("http://141.218.60.56/~jnz1568/getInfo.php?workbook=11_02.xlsx&amp;sheet=U0&amp;row=903&amp;col=6&amp;number=4.9&amp;sourceID=14","4.9")</f>
        <v>4.9</v>
      </c>
      <c r="G903" s="4" t="str">
        <f>HYPERLINK("http://141.218.60.56/~jnz1568/getInfo.php?workbook=11_02.xlsx&amp;sheet=U0&amp;row=903&amp;col=7&amp;number=0.000116&amp;sourceID=14","0.000116")</f>
        <v>0.000116</v>
      </c>
    </row>
    <row r="904" spans="1:7">
      <c r="A904" s="3">
        <v>11</v>
      </c>
      <c r="B904" s="3">
        <v>2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HYPERLINK("http://141.218.60.56/~jnz1568/getInfo.php?workbook=11_02.xlsx&amp;sheet=U0&amp;row=904&amp;col=6&amp;number=3&amp;sourceID=14","3")</f>
        <v>3</v>
      </c>
      <c r="G904" s="4" t="str">
        <f>HYPERLINK("http://141.218.60.56/~jnz1568/getInfo.php?workbook=11_02.xlsx&amp;sheet=U0&amp;row=904&amp;col=7&amp;number=1.04e-06&amp;sourceID=14","1.04e-06")</f>
        <v>1.04e-06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HYPERLINK("http://141.218.60.56/~jnz1568/getInfo.php?workbook=11_02.xlsx&amp;sheet=U0&amp;row=905&amp;col=6&amp;number=3.1&amp;sourceID=14","3.1")</f>
        <v>3.1</v>
      </c>
      <c r="G905" s="4" t="str">
        <f>HYPERLINK("http://141.218.60.56/~jnz1568/getInfo.php?workbook=11_02.xlsx&amp;sheet=U0&amp;row=905&amp;col=7&amp;number=1.04e-06&amp;sourceID=14","1.04e-06")</f>
        <v>1.04e-06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HYPERLINK("http://141.218.60.56/~jnz1568/getInfo.php?workbook=11_02.xlsx&amp;sheet=U0&amp;row=906&amp;col=6&amp;number=3.2&amp;sourceID=14","3.2")</f>
        <v>3.2</v>
      </c>
      <c r="G906" s="4" t="str">
        <f>HYPERLINK("http://141.218.60.56/~jnz1568/getInfo.php?workbook=11_02.xlsx&amp;sheet=U0&amp;row=906&amp;col=7&amp;number=1.04e-06&amp;sourceID=14","1.04e-06")</f>
        <v>1.04e-06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HYPERLINK("http://141.218.60.56/~jnz1568/getInfo.php?workbook=11_02.xlsx&amp;sheet=U0&amp;row=907&amp;col=6&amp;number=3.3&amp;sourceID=14","3.3")</f>
        <v>3.3</v>
      </c>
      <c r="G907" s="4" t="str">
        <f>HYPERLINK("http://141.218.60.56/~jnz1568/getInfo.php?workbook=11_02.xlsx&amp;sheet=U0&amp;row=907&amp;col=7&amp;number=1.04e-06&amp;sourceID=14","1.04e-06")</f>
        <v>1.04e-06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HYPERLINK("http://141.218.60.56/~jnz1568/getInfo.php?workbook=11_02.xlsx&amp;sheet=U0&amp;row=908&amp;col=6&amp;number=3.4&amp;sourceID=14","3.4")</f>
        <v>3.4</v>
      </c>
      <c r="G908" s="4" t="str">
        <f>HYPERLINK("http://141.218.60.56/~jnz1568/getInfo.php?workbook=11_02.xlsx&amp;sheet=U0&amp;row=908&amp;col=7&amp;number=1.04e-06&amp;sourceID=14","1.04e-06")</f>
        <v>1.04e-06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HYPERLINK("http://141.218.60.56/~jnz1568/getInfo.php?workbook=11_02.xlsx&amp;sheet=U0&amp;row=909&amp;col=6&amp;number=3.5&amp;sourceID=14","3.5")</f>
        <v>3.5</v>
      </c>
      <c r="G909" s="4" t="str">
        <f>HYPERLINK("http://141.218.60.56/~jnz1568/getInfo.php?workbook=11_02.xlsx&amp;sheet=U0&amp;row=909&amp;col=7&amp;number=1.04e-06&amp;sourceID=14","1.04e-06")</f>
        <v>1.04e-06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HYPERLINK("http://141.218.60.56/~jnz1568/getInfo.php?workbook=11_02.xlsx&amp;sheet=U0&amp;row=910&amp;col=6&amp;number=3.6&amp;sourceID=14","3.6")</f>
        <v>3.6</v>
      </c>
      <c r="G910" s="4" t="str">
        <f>HYPERLINK("http://141.218.60.56/~jnz1568/getInfo.php?workbook=11_02.xlsx&amp;sheet=U0&amp;row=910&amp;col=7&amp;number=1.04e-06&amp;sourceID=14","1.04e-06")</f>
        <v>1.04e-06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HYPERLINK("http://141.218.60.56/~jnz1568/getInfo.php?workbook=11_02.xlsx&amp;sheet=U0&amp;row=911&amp;col=6&amp;number=3.7&amp;sourceID=14","3.7")</f>
        <v>3.7</v>
      </c>
      <c r="G911" s="4" t="str">
        <f>HYPERLINK("http://141.218.60.56/~jnz1568/getInfo.php?workbook=11_02.xlsx&amp;sheet=U0&amp;row=911&amp;col=7&amp;number=1.03e-06&amp;sourceID=14","1.03e-06")</f>
        <v>1.03e-06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HYPERLINK("http://141.218.60.56/~jnz1568/getInfo.php?workbook=11_02.xlsx&amp;sheet=U0&amp;row=912&amp;col=6&amp;number=3.8&amp;sourceID=14","3.8")</f>
        <v>3.8</v>
      </c>
      <c r="G912" s="4" t="str">
        <f>HYPERLINK("http://141.218.60.56/~jnz1568/getInfo.php?workbook=11_02.xlsx&amp;sheet=U0&amp;row=912&amp;col=7&amp;number=1.03e-06&amp;sourceID=14","1.03e-06")</f>
        <v>1.03e-06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HYPERLINK("http://141.218.60.56/~jnz1568/getInfo.php?workbook=11_02.xlsx&amp;sheet=U0&amp;row=913&amp;col=6&amp;number=3.9&amp;sourceID=14","3.9")</f>
        <v>3.9</v>
      </c>
      <c r="G913" s="4" t="str">
        <f>HYPERLINK("http://141.218.60.56/~jnz1568/getInfo.php?workbook=11_02.xlsx&amp;sheet=U0&amp;row=913&amp;col=7&amp;number=1.03e-06&amp;sourceID=14","1.03e-06")</f>
        <v>1.03e-06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HYPERLINK("http://141.218.60.56/~jnz1568/getInfo.php?workbook=11_02.xlsx&amp;sheet=U0&amp;row=914&amp;col=6&amp;number=4&amp;sourceID=14","4")</f>
        <v>4</v>
      </c>
      <c r="G914" s="4" t="str">
        <f>HYPERLINK("http://141.218.60.56/~jnz1568/getInfo.php?workbook=11_02.xlsx&amp;sheet=U0&amp;row=914&amp;col=7&amp;number=1.03e-06&amp;sourceID=14","1.03e-06")</f>
        <v>1.03e-06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HYPERLINK("http://141.218.60.56/~jnz1568/getInfo.php?workbook=11_02.xlsx&amp;sheet=U0&amp;row=915&amp;col=6&amp;number=4.1&amp;sourceID=14","4.1")</f>
        <v>4.1</v>
      </c>
      <c r="G915" s="4" t="str">
        <f>HYPERLINK("http://141.218.60.56/~jnz1568/getInfo.php?workbook=11_02.xlsx&amp;sheet=U0&amp;row=915&amp;col=7&amp;number=1.02e-06&amp;sourceID=14","1.02e-06")</f>
        <v>1.02e-06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HYPERLINK("http://141.218.60.56/~jnz1568/getInfo.php?workbook=11_02.xlsx&amp;sheet=U0&amp;row=916&amp;col=6&amp;number=4.2&amp;sourceID=14","4.2")</f>
        <v>4.2</v>
      </c>
      <c r="G916" s="4" t="str">
        <f>HYPERLINK("http://141.218.60.56/~jnz1568/getInfo.php?workbook=11_02.xlsx&amp;sheet=U0&amp;row=916&amp;col=7&amp;number=1.02e-06&amp;sourceID=14","1.02e-06")</f>
        <v>1.02e-06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HYPERLINK("http://141.218.60.56/~jnz1568/getInfo.php?workbook=11_02.xlsx&amp;sheet=U0&amp;row=917&amp;col=6&amp;number=4.3&amp;sourceID=14","4.3")</f>
        <v>4.3</v>
      </c>
      <c r="G917" s="4" t="str">
        <f>HYPERLINK("http://141.218.60.56/~jnz1568/getInfo.php?workbook=11_02.xlsx&amp;sheet=U0&amp;row=917&amp;col=7&amp;number=1.01e-06&amp;sourceID=14","1.01e-06")</f>
        <v>1.01e-06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HYPERLINK("http://141.218.60.56/~jnz1568/getInfo.php?workbook=11_02.xlsx&amp;sheet=U0&amp;row=918&amp;col=6&amp;number=4.4&amp;sourceID=14","4.4")</f>
        <v>4.4</v>
      </c>
      <c r="G918" s="4" t="str">
        <f>HYPERLINK("http://141.218.60.56/~jnz1568/getInfo.php?workbook=11_02.xlsx&amp;sheet=U0&amp;row=918&amp;col=7&amp;number=1e-06&amp;sourceID=14","1e-06")</f>
        <v>1e-06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HYPERLINK("http://141.218.60.56/~jnz1568/getInfo.php?workbook=11_02.xlsx&amp;sheet=U0&amp;row=919&amp;col=6&amp;number=4.5&amp;sourceID=14","4.5")</f>
        <v>4.5</v>
      </c>
      <c r="G919" s="4" t="str">
        <f>HYPERLINK("http://141.218.60.56/~jnz1568/getInfo.php?workbook=11_02.xlsx&amp;sheet=U0&amp;row=919&amp;col=7&amp;number=9.89e-07&amp;sourceID=14","9.89e-07")</f>
        <v>9.89e-07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HYPERLINK("http://141.218.60.56/~jnz1568/getInfo.php?workbook=11_02.xlsx&amp;sheet=U0&amp;row=920&amp;col=6&amp;number=4.6&amp;sourceID=14","4.6")</f>
        <v>4.6</v>
      </c>
      <c r="G920" s="4" t="str">
        <f>HYPERLINK("http://141.218.60.56/~jnz1568/getInfo.php?workbook=11_02.xlsx&amp;sheet=U0&amp;row=920&amp;col=7&amp;number=9.75e-07&amp;sourceID=14","9.75e-07")</f>
        <v>9.75e-07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HYPERLINK("http://141.218.60.56/~jnz1568/getInfo.php?workbook=11_02.xlsx&amp;sheet=U0&amp;row=921&amp;col=6&amp;number=4.7&amp;sourceID=14","4.7")</f>
        <v>4.7</v>
      </c>
      <c r="G921" s="4" t="str">
        <f>HYPERLINK("http://141.218.60.56/~jnz1568/getInfo.php?workbook=11_02.xlsx&amp;sheet=U0&amp;row=921&amp;col=7&amp;number=9.58e-07&amp;sourceID=14","9.58e-07")</f>
        <v>9.58e-07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HYPERLINK("http://141.218.60.56/~jnz1568/getInfo.php?workbook=11_02.xlsx&amp;sheet=U0&amp;row=922&amp;col=6&amp;number=4.8&amp;sourceID=14","4.8")</f>
        <v>4.8</v>
      </c>
      <c r="G922" s="4" t="str">
        <f>HYPERLINK("http://141.218.60.56/~jnz1568/getInfo.php?workbook=11_02.xlsx&amp;sheet=U0&amp;row=922&amp;col=7&amp;number=9.38e-07&amp;sourceID=14","9.38e-07")</f>
        <v>9.38e-07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HYPERLINK("http://141.218.60.56/~jnz1568/getInfo.php?workbook=11_02.xlsx&amp;sheet=U0&amp;row=923&amp;col=6&amp;number=4.9&amp;sourceID=14","4.9")</f>
        <v>4.9</v>
      </c>
      <c r="G923" s="4" t="str">
        <f>HYPERLINK("http://141.218.60.56/~jnz1568/getInfo.php?workbook=11_02.xlsx&amp;sheet=U0&amp;row=923&amp;col=7&amp;number=9.13e-07&amp;sourceID=14","9.13e-07")</f>
        <v>9.13e-07</v>
      </c>
    </row>
    <row r="924" spans="1:7">
      <c r="A924" s="3">
        <v>11</v>
      </c>
      <c r="B924" s="3">
        <v>2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HYPERLINK("http://141.218.60.56/~jnz1568/getInfo.php?workbook=11_02.xlsx&amp;sheet=U0&amp;row=924&amp;col=6&amp;number=3&amp;sourceID=14","3")</f>
        <v>3</v>
      </c>
      <c r="G924" s="4" t="str">
        <f>HYPERLINK("http://141.218.60.56/~jnz1568/getInfo.php?workbook=11_02.xlsx&amp;sheet=U0&amp;row=924&amp;col=7&amp;number=1.11e-06&amp;sourceID=14","1.11e-06")</f>
        <v>1.11e-06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HYPERLINK("http://141.218.60.56/~jnz1568/getInfo.php?workbook=11_02.xlsx&amp;sheet=U0&amp;row=925&amp;col=6&amp;number=3.1&amp;sourceID=14","3.1")</f>
        <v>3.1</v>
      </c>
      <c r="G925" s="4" t="str">
        <f>HYPERLINK("http://141.218.60.56/~jnz1568/getInfo.php?workbook=11_02.xlsx&amp;sheet=U0&amp;row=925&amp;col=7&amp;number=1.11e-06&amp;sourceID=14","1.11e-06")</f>
        <v>1.11e-06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HYPERLINK("http://141.218.60.56/~jnz1568/getInfo.php?workbook=11_02.xlsx&amp;sheet=U0&amp;row=926&amp;col=6&amp;number=3.2&amp;sourceID=14","3.2")</f>
        <v>3.2</v>
      </c>
      <c r="G926" s="4" t="str">
        <f>HYPERLINK("http://141.218.60.56/~jnz1568/getInfo.php?workbook=11_02.xlsx&amp;sheet=U0&amp;row=926&amp;col=7&amp;number=1.11e-06&amp;sourceID=14","1.11e-06")</f>
        <v>1.11e-06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HYPERLINK("http://141.218.60.56/~jnz1568/getInfo.php?workbook=11_02.xlsx&amp;sheet=U0&amp;row=927&amp;col=6&amp;number=3.3&amp;sourceID=14","3.3")</f>
        <v>3.3</v>
      </c>
      <c r="G927" s="4" t="str">
        <f>HYPERLINK("http://141.218.60.56/~jnz1568/getInfo.php?workbook=11_02.xlsx&amp;sheet=U0&amp;row=927&amp;col=7&amp;number=1.1e-06&amp;sourceID=14","1.1e-06")</f>
        <v>1.1e-06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HYPERLINK("http://141.218.60.56/~jnz1568/getInfo.php?workbook=11_02.xlsx&amp;sheet=U0&amp;row=928&amp;col=6&amp;number=3.4&amp;sourceID=14","3.4")</f>
        <v>3.4</v>
      </c>
      <c r="G928" s="4" t="str">
        <f>HYPERLINK("http://141.218.60.56/~jnz1568/getInfo.php?workbook=11_02.xlsx&amp;sheet=U0&amp;row=928&amp;col=7&amp;number=1.1e-06&amp;sourceID=14","1.1e-06")</f>
        <v>1.1e-06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HYPERLINK("http://141.218.60.56/~jnz1568/getInfo.php?workbook=11_02.xlsx&amp;sheet=U0&amp;row=929&amp;col=6&amp;number=3.5&amp;sourceID=14","3.5")</f>
        <v>3.5</v>
      </c>
      <c r="G929" s="4" t="str">
        <f>HYPERLINK("http://141.218.60.56/~jnz1568/getInfo.php?workbook=11_02.xlsx&amp;sheet=U0&amp;row=929&amp;col=7&amp;number=1.1e-06&amp;sourceID=14","1.1e-06")</f>
        <v>1.1e-06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HYPERLINK("http://141.218.60.56/~jnz1568/getInfo.php?workbook=11_02.xlsx&amp;sheet=U0&amp;row=930&amp;col=6&amp;number=3.6&amp;sourceID=14","3.6")</f>
        <v>3.6</v>
      </c>
      <c r="G930" s="4" t="str">
        <f>HYPERLINK("http://141.218.60.56/~jnz1568/getInfo.php?workbook=11_02.xlsx&amp;sheet=U0&amp;row=930&amp;col=7&amp;number=1.1e-06&amp;sourceID=14","1.1e-06")</f>
        <v>1.1e-06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HYPERLINK("http://141.218.60.56/~jnz1568/getInfo.php?workbook=11_02.xlsx&amp;sheet=U0&amp;row=931&amp;col=6&amp;number=3.7&amp;sourceID=14","3.7")</f>
        <v>3.7</v>
      </c>
      <c r="G931" s="4" t="str">
        <f>HYPERLINK("http://141.218.60.56/~jnz1568/getInfo.php?workbook=11_02.xlsx&amp;sheet=U0&amp;row=931&amp;col=7&amp;number=1.1e-06&amp;sourceID=14","1.1e-06")</f>
        <v>1.1e-06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HYPERLINK("http://141.218.60.56/~jnz1568/getInfo.php?workbook=11_02.xlsx&amp;sheet=U0&amp;row=932&amp;col=6&amp;number=3.8&amp;sourceID=14","3.8")</f>
        <v>3.8</v>
      </c>
      <c r="G932" s="4" t="str">
        <f>HYPERLINK("http://141.218.60.56/~jnz1568/getInfo.php?workbook=11_02.xlsx&amp;sheet=U0&amp;row=932&amp;col=7&amp;number=1.1e-06&amp;sourceID=14","1.1e-06")</f>
        <v>1.1e-06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HYPERLINK("http://141.218.60.56/~jnz1568/getInfo.php?workbook=11_02.xlsx&amp;sheet=U0&amp;row=933&amp;col=6&amp;number=3.9&amp;sourceID=14","3.9")</f>
        <v>3.9</v>
      </c>
      <c r="G933" s="4" t="str">
        <f>HYPERLINK("http://141.218.60.56/~jnz1568/getInfo.php?workbook=11_02.xlsx&amp;sheet=U0&amp;row=933&amp;col=7&amp;number=1.09e-06&amp;sourceID=14","1.09e-06")</f>
        <v>1.09e-06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HYPERLINK("http://141.218.60.56/~jnz1568/getInfo.php?workbook=11_02.xlsx&amp;sheet=U0&amp;row=934&amp;col=6&amp;number=4&amp;sourceID=14","4")</f>
        <v>4</v>
      </c>
      <c r="G934" s="4" t="str">
        <f>HYPERLINK("http://141.218.60.56/~jnz1568/getInfo.php?workbook=11_02.xlsx&amp;sheet=U0&amp;row=934&amp;col=7&amp;number=1.09e-06&amp;sourceID=14","1.09e-06")</f>
        <v>1.09e-06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HYPERLINK("http://141.218.60.56/~jnz1568/getInfo.php?workbook=11_02.xlsx&amp;sheet=U0&amp;row=935&amp;col=6&amp;number=4.1&amp;sourceID=14","4.1")</f>
        <v>4.1</v>
      </c>
      <c r="G935" s="4" t="str">
        <f>HYPERLINK("http://141.218.60.56/~jnz1568/getInfo.php?workbook=11_02.xlsx&amp;sheet=U0&amp;row=935&amp;col=7&amp;number=1.08e-06&amp;sourceID=14","1.08e-06")</f>
        <v>1.08e-06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HYPERLINK("http://141.218.60.56/~jnz1568/getInfo.php?workbook=11_02.xlsx&amp;sheet=U0&amp;row=936&amp;col=6&amp;number=4.2&amp;sourceID=14","4.2")</f>
        <v>4.2</v>
      </c>
      <c r="G936" s="4" t="str">
        <f>HYPERLINK("http://141.218.60.56/~jnz1568/getInfo.php?workbook=11_02.xlsx&amp;sheet=U0&amp;row=936&amp;col=7&amp;number=1.08e-06&amp;sourceID=14","1.08e-06")</f>
        <v>1.08e-06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HYPERLINK("http://141.218.60.56/~jnz1568/getInfo.php?workbook=11_02.xlsx&amp;sheet=U0&amp;row=937&amp;col=6&amp;number=4.3&amp;sourceID=14","4.3")</f>
        <v>4.3</v>
      </c>
      <c r="G937" s="4" t="str">
        <f>HYPERLINK("http://141.218.60.56/~jnz1568/getInfo.php?workbook=11_02.xlsx&amp;sheet=U0&amp;row=937&amp;col=7&amp;number=1.07e-06&amp;sourceID=14","1.07e-06")</f>
        <v>1.07e-06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HYPERLINK("http://141.218.60.56/~jnz1568/getInfo.php?workbook=11_02.xlsx&amp;sheet=U0&amp;row=938&amp;col=6&amp;number=4.4&amp;sourceID=14","4.4")</f>
        <v>4.4</v>
      </c>
      <c r="G938" s="4" t="str">
        <f>HYPERLINK("http://141.218.60.56/~jnz1568/getInfo.php?workbook=11_02.xlsx&amp;sheet=U0&amp;row=938&amp;col=7&amp;number=1.06e-06&amp;sourceID=14","1.06e-06")</f>
        <v>1.06e-06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HYPERLINK("http://141.218.60.56/~jnz1568/getInfo.php?workbook=11_02.xlsx&amp;sheet=U0&amp;row=939&amp;col=6&amp;number=4.5&amp;sourceID=14","4.5")</f>
        <v>4.5</v>
      </c>
      <c r="G939" s="4" t="str">
        <f>HYPERLINK("http://141.218.60.56/~jnz1568/getInfo.php?workbook=11_02.xlsx&amp;sheet=U0&amp;row=939&amp;col=7&amp;number=1.05e-06&amp;sourceID=14","1.05e-06")</f>
        <v>1.05e-06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HYPERLINK("http://141.218.60.56/~jnz1568/getInfo.php?workbook=11_02.xlsx&amp;sheet=U0&amp;row=940&amp;col=6&amp;number=4.6&amp;sourceID=14","4.6")</f>
        <v>4.6</v>
      </c>
      <c r="G940" s="4" t="str">
        <f>HYPERLINK("http://141.218.60.56/~jnz1568/getInfo.php?workbook=11_02.xlsx&amp;sheet=U0&amp;row=940&amp;col=7&amp;number=1.03e-06&amp;sourceID=14","1.03e-06")</f>
        <v>1.03e-06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HYPERLINK("http://141.218.60.56/~jnz1568/getInfo.php?workbook=11_02.xlsx&amp;sheet=U0&amp;row=941&amp;col=6&amp;number=4.7&amp;sourceID=14","4.7")</f>
        <v>4.7</v>
      </c>
      <c r="G941" s="4" t="str">
        <f>HYPERLINK("http://141.218.60.56/~jnz1568/getInfo.php?workbook=11_02.xlsx&amp;sheet=U0&amp;row=941&amp;col=7&amp;number=1.01e-06&amp;sourceID=14","1.01e-06")</f>
        <v>1.01e-06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HYPERLINK("http://141.218.60.56/~jnz1568/getInfo.php?workbook=11_02.xlsx&amp;sheet=U0&amp;row=942&amp;col=6&amp;number=4.8&amp;sourceID=14","4.8")</f>
        <v>4.8</v>
      </c>
      <c r="G942" s="4" t="str">
        <f>HYPERLINK("http://141.218.60.56/~jnz1568/getInfo.php?workbook=11_02.xlsx&amp;sheet=U0&amp;row=942&amp;col=7&amp;number=9.9e-07&amp;sourceID=14","9.9e-07")</f>
        <v>9.9e-07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HYPERLINK("http://141.218.60.56/~jnz1568/getInfo.php?workbook=11_02.xlsx&amp;sheet=U0&amp;row=943&amp;col=6&amp;number=4.9&amp;sourceID=14","4.9")</f>
        <v>4.9</v>
      </c>
      <c r="G943" s="4" t="str">
        <f>HYPERLINK("http://141.218.60.56/~jnz1568/getInfo.php?workbook=11_02.xlsx&amp;sheet=U0&amp;row=943&amp;col=7&amp;number=9.62e-07&amp;sourceID=14","9.62e-07")</f>
        <v>9.62e-07</v>
      </c>
    </row>
    <row r="944" spans="1:7">
      <c r="A944" s="3">
        <v>11</v>
      </c>
      <c r="B944" s="3">
        <v>2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HYPERLINK("http://141.218.60.56/~jnz1568/getInfo.php?workbook=11_02.xlsx&amp;sheet=U0&amp;row=944&amp;col=6&amp;number=3&amp;sourceID=14","3")</f>
        <v>3</v>
      </c>
      <c r="G944" s="4" t="str">
        <f>HYPERLINK("http://141.218.60.56/~jnz1568/getInfo.php?workbook=11_02.xlsx&amp;sheet=U0&amp;row=944&amp;col=7&amp;number=0.000445&amp;sourceID=14","0.000445")</f>
        <v>0.000445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HYPERLINK("http://141.218.60.56/~jnz1568/getInfo.php?workbook=11_02.xlsx&amp;sheet=U0&amp;row=945&amp;col=6&amp;number=3.1&amp;sourceID=14","3.1")</f>
        <v>3.1</v>
      </c>
      <c r="G945" s="4" t="str">
        <f>HYPERLINK("http://141.218.60.56/~jnz1568/getInfo.php?workbook=11_02.xlsx&amp;sheet=U0&amp;row=945&amp;col=7&amp;number=0.000445&amp;sourceID=14","0.000445")</f>
        <v>0.000445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HYPERLINK("http://141.218.60.56/~jnz1568/getInfo.php?workbook=11_02.xlsx&amp;sheet=U0&amp;row=946&amp;col=6&amp;number=3.2&amp;sourceID=14","3.2")</f>
        <v>3.2</v>
      </c>
      <c r="G946" s="4" t="str">
        <f>HYPERLINK("http://141.218.60.56/~jnz1568/getInfo.php?workbook=11_02.xlsx&amp;sheet=U0&amp;row=946&amp;col=7&amp;number=0.000445&amp;sourceID=14","0.000445")</f>
        <v>0.000445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HYPERLINK("http://141.218.60.56/~jnz1568/getInfo.php?workbook=11_02.xlsx&amp;sheet=U0&amp;row=947&amp;col=6&amp;number=3.3&amp;sourceID=14","3.3")</f>
        <v>3.3</v>
      </c>
      <c r="G947" s="4" t="str">
        <f>HYPERLINK("http://141.218.60.56/~jnz1568/getInfo.php?workbook=11_02.xlsx&amp;sheet=U0&amp;row=947&amp;col=7&amp;number=0.000445&amp;sourceID=14","0.000445")</f>
        <v>0.000445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HYPERLINK("http://141.218.60.56/~jnz1568/getInfo.php?workbook=11_02.xlsx&amp;sheet=U0&amp;row=948&amp;col=6&amp;number=3.4&amp;sourceID=14","3.4")</f>
        <v>3.4</v>
      </c>
      <c r="G948" s="4" t="str">
        <f>HYPERLINK("http://141.218.60.56/~jnz1568/getInfo.php?workbook=11_02.xlsx&amp;sheet=U0&amp;row=948&amp;col=7&amp;number=0.000445&amp;sourceID=14","0.000445")</f>
        <v>0.000445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HYPERLINK("http://141.218.60.56/~jnz1568/getInfo.php?workbook=11_02.xlsx&amp;sheet=U0&amp;row=949&amp;col=6&amp;number=3.5&amp;sourceID=14","3.5")</f>
        <v>3.5</v>
      </c>
      <c r="G949" s="4" t="str">
        <f>HYPERLINK("http://141.218.60.56/~jnz1568/getInfo.php?workbook=11_02.xlsx&amp;sheet=U0&amp;row=949&amp;col=7&amp;number=0.000445&amp;sourceID=14","0.000445")</f>
        <v>0.000445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HYPERLINK("http://141.218.60.56/~jnz1568/getInfo.php?workbook=11_02.xlsx&amp;sheet=U0&amp;row=950&amp;col=6&amp;number=3.6&amp;sourceID=14","3.6")</f>
        <v>3.6</v>
      </c>
      <c r="G950" s="4" t="str">
        <f>HYPERLINK("http://141.218.60.56/~jnz1568/getInfo.php?workbook=11_02.xlsx&amp;sheet=U0&amp;row=950&amp;col=7&amp;number=0.000445&amp;sourceID=14","0.000445")</f>
        <v>0.000445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HYPERLINK("http://141.218.60.56/~jnz1568/getInfo.php?workbook=11_02.xlsx&amp;sheet=U0&amp;row=951&amp;col=6&amp;number=3.7&amp;sourceID=14","3.7")</f>
        <v>3.7</v>
      </c>
      <c r="G951" s="4" t="str">
        <f>HYPERLINK("http://141.218.60.56/~jnz1568/getInfo.php?workbook=11_02.xlsx&amp;sheet=U0&amp;row=951&amp;col=7&amp;number=0.000446&amp;sourceID=14","0.000446")</f>
        <v>0.000446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HYPERLINK("http://141.218.60.56/~jnz1568/getInfo.php?workbook=11_02.xlsx&amp;sheet=U0&amp;row=952&amp;col=6&amp;number=3.8&amp;sourceID=14","3.8")</f>
        <v>3.8</v>
      </c>
      <c r="G952" s="4" t="str">
        <f>HYPERLINK("http://141.218.60.56/~jnz1568/getInfo.php?workbook=11_02.xlsx&amp;sheet=U0&amp;row=952&amp;col=7&amp;number=0.000446&amp;sourceID=14","0.000446")</f>
        <v>0.000446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HYPERLINK("http://141.218.60.56/~jnz1568/getInfo.php?workbook=11_02.xlsx&amp;sheet=U0&amp;row=953&amp;col=6&amp;number=3.9&amp;sourceID=14","3.9")</f>
        <v>3.9</v>
      </c>
      <c r="G953" s="4" t="str">
        <f>HYPERLINK("http://141.218.60.56/~jnz1568/getInfo.php?workbook=11_02.xlsx&amp;sheet=U0&amp;row=953&amp;col=7&amp;number=0.000446&amp;sourceID=14","0.000446")</f>
        <v>0.000446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HYPERLINK("http://141.218.60.56/~jnz1568/getInfo.php?workbook=11_02.xlsx&amp;sheet=U0&amp;row=954&amp;col=6&amp;number=4&amp;sourceID=14","4")</f>
        <v>4</v>
      </c>
      <c r="G954" s="4" t="str">
        <f>HYPERLINK("http://141.218.60.56/~jnz1568/getInfo.php?workbook=11_02.xlsx&amp;sheet=U0&amp;row=954&amp;col=7&amp;number=0.000446&amp;sourceID=14","0.000446")</f>
        <v>0.000446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HYPERLINK("http://141.218.60.56/~jnz1568/getInfo.php?workbook=11_02.xlsx&amp;sheet=U0&amp;row=955&amp;col=6&amp;number=4.1&amp;sourceID=14","4.1")</f>
        <v>4.1</v>
      </c>
      <c r="G955" s="4" t="str">
        <f>HYPERLINK("http://141.218.60.56/~jnz1568/getInfo.php?workbook=11_02.xlsx&amp;sheet=U0&amp;row=955&amp;col=7&amp;number=0.000446&amp;sourceID=14","0.000446")</f>
        <v>0.000446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HYPERLINK("http://141.218.60.56/~jnz1568/getInfo.php?workbook=11_02.xlsx&amp;sheet=U0&amp;row=956&amp;col=6&amp;number=4.2&amp;sourceID=14","4.2")</f>
        <v>4.2</v>
      </c>
      <c r="G956" s="4" t="str">
        <f>HYPERLINK("http://141.218.60.56/~jnz1568/getInfo.php?workbook=11_02.xlsx&amp;sheet=U0&amp;row=956&amp;col=7&amp;number=0.000447&amp;sourceID=14","0.000447")</f>
        <v>0.000447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HYPERLINK("http://141.218.60.56/~jnz1568/getInfo.php?workbook=11_02.xlsx&amp;sheet=U0&amp;row=957&amp;col=6&amp;number=4.3&amp;sourceID=14","4.3")</f>
        <v>4.3</v>
      </c>
      <c r="G957" s="4" t="str">
        <f>HYPERLINK("http://141.218.60.56/~jnz1568/getInfo.php?workbook=11_02.xlsx&amp;sheet=U0&amp;row=957&amp;col=7&amp;number=0.000447&amp;sourceID=14","0.000447")</f>
        <v>0.000447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HYPERLINK("http://141.218.60.56/~jnz1568/getInfo.php?workbook=11_02.xlsx&amp;sheet=U0&amp;row=958&amp;col=6&amp;number=4.4&amp;sourceID=14","4.4")</f>
        <v>4.4</v>
      </c>
      <c r="G958" s="4" t="str">
        <f>HYPERLINK("http://141.218.60.56/~jnz1568/getInfo.php?workbook=11_02.xlsx&amp;sheet=U0&amp;row=958&amp;col=7&amp;number=0.000448&amp;sourceID=14","0.000448")</f>
        <v>0.000448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HYPERLINK("http://141.218.60.56/~jnz1568/getInfo.php?workbook=11_02.xlsx&amp;sheet=U0&amp;row=959&amp;col=6&amp;number=4.5&amp;sourceID=14","4.5")</f>
        <v>4.5</v>
      </c>
      <c r="G959" s="4" t="str">
        <f>HYPERLINK("http://141.218.60.56/~jnz1568/getInfo.php?workbook=11_02.xlsx&amp;sheet=U0&amp;row=959&amp;col=7&amp;number=0.000448&amp;sourceID=14","0.000448")</f>
        <v>0.000448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HYPERLINK("http://141.218.60.56/~jnz1568/getInfo.php?workbook=11_02.xlsx&amp;sheet=U0&amp;row=960&amp;col=6&amp;number=4.6&amp;sourceID=14","4.6")</f>
        <v>4.6</v>
      </c>
      <c r="G960" s="4" t="str">
        <f>HYPERLINK("http://141.218.60.56/~jnz1568/getInfo.php?workbook=11_02.xlsx&amp;sheet=U0&amp;row=960&amp;col=7&amp;number=0.000449&amp;sourceID=14","0.000449")</f>
        <v>0.000449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HYPERLINK("http://141.218.60.56/~jnz1568/getInfo.php?workbook=11_02.xlsx&amp;sheet=U0&amp;row=961&amp;col=6&amp;number=4.7&amp;sourceID=14","4.7")</f>
        <v>4.7</v>
      </c>
      <c r="G961" s="4" t="str">
        <f>HYPERLINK("http://141.218.60.56/~jnz1568/getInfo.php?workbook=11_02.xlsx&amp;sheet=U0&amp;row=961&amp;col=7&amp;number=0.00045&amp;sourceID=14","0.00045")</f>
        <v>0.00045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HYPERLINK("http://141.218.60.56/~jnz1568/getInfo.php?workbook=11_02.xlsx&amp;sheet=U0&amp;row=962&amp;col=6&amp;number=4.8&amp;sourceID=14","4.8")</f>
        <v>4.8</v>
      </c>
      <c r="G962" s="4" t="str">
        <f>HYPERLINK("http://141.218.60.56/~jnz1568/getInfo.php?workbook=11_02.xlsx&amp;sheet=U0&amp;row=962&amp;col=7&amp;number=0.000451&amp;sourceID=14","0.000451")</f>
        <v>0.000451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HYPERLINK("http://141.218.60.56/~jnz1568/getInfo.php?workbook=11_02.xlsx&amp;sheet=U0&amp;row=963&amp;col=6&amp;number=4.9&amp;sourceID=14","4.9")</f>
        <v>4.9</v>
      </c>
      <c r="G963" s="4" t="str">
        <f>HYPERLINK("http://141.218.60.56/~jnz1568/getInfo.php?workbook=11_02.xlsx&amp;sheet=U0&amp;row=963&amp;col=7&amp;number=0.000453&amp;sourceID=14","0.000453")</f>
        <v>0.000453</v>
      </c>
    </row>
    <row r="964" spans="1:7">
      <c r="A964" s="3">
        <v>11</v>
      </c>
      <c r="B964" s="3">
        <v>2</v>
      </c>
      <c r="C964" s="3">
        <v>2</v>
      </c>
      <c r="D964" s="3">
        <v>6</v>
      </c>
      <c r="E964" s="3">
        <v>1</v>
      </c>
      <c r="F964" s="4" t="str">
        <f>HYPERLINK("http://141.218.60.56/~jnz1568/getInfo.php?workbook=11_02.xlsx&amp;sheet=U0&amp;row=964&amp;col=6&amp;number=3&amp;sourceID=14","3")</f>
        <v>3</v>
      </c>
      <c r="G964" s="4" t="str">
        <f>HYPERLINK("http://141.218.60.56/~jnz1568/getInfo.php?workbook=11_02.xlsx&amp;sheet=U0&amp;row=964&amp;col=7&amp;number=0.0283&amp;sourceID=14","0.0283")</f>
        <v>0.0283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HYPERLINK("http://141.218.60.56/~jnz1568/getInfo.php?workbook=11_02.xlsx&amp;sheet=U0&amp;row=965&amp;col=6&amp;number=3.1&amp;sourceID=14","3.1")</f>
        <v>3.1</v>
      </c>
      <c r="G965" s="4" t="str">
        <f>HYPERLINK("http://141.218.60.56/~jnz1568/getInfo.php?workbook=11_02.xlsx&amp;sheet=U0&amp;row=965&amp;col=7&amp;number=0.0283&amp;sourceID=14","0.0283")</f>
        <v>0.0283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HYPERLINK("http://141.218.60.56/~jnz1568/getInfo.php?workbook=11_02.xlsx&amp;sheet=U0&amp;row=966&amp;col=6&amp;number=3.2&amp;sourceID=14","3.2")</f>
        <v>3.2</v>
      </c>
      <c r="G966" s="4" t="str">
        <f>HYPERLINK("http://141.218.60.56/~jnz1568/getInfo.php?workbook=11_02.xlsx&amp;sheet=U0&amp;row=966&amp;col=7&amp;number=0.0283&amp;sourceID=14","0.0283")</f>
        <v>0.0283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HYPERLINK("http://141.218.60.56/~jnz1568/getInfo.php?workbook=11_02.xlsx&amp;sheet=U0&amp;row=967&amp;col=6&amp;number=3.3&amp;sourceID=14","3.3")</f>
        <v>3.3</v>
      </c>
      <c r="G967" s="4" t="str">
        <f>HYPERLINK("http://141.218.60.56/~jnz1568/getInfo.php?workbook=11_02.xlsx&amp;sheet=U0&amp;row=967&amp;col=7&amp;number=0.0283&amp;sourceID=14","0.0283")</f>
        <v>0.0283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HYPERLINK("http://141.218.60.56/~jnz1568/getInfo.php?workbook=11_02.xlsx&amp;sheet=U0&amp;row=968&amp;col=6&amp;number=3.4&amp;sourceID=14","3.4")</f>
        <v>3.4</v>
      </c>
      <c r="G968" s="4" t="str">
        <f>HYPERLINK("http://141.218.60.56/~jnz1568/getInfo.php?workbook=11_02.xlsx&amp;sheet=U0&amp;row=968&amp;col=7&amp;number=0.0283&amp;sourceID=14","0.0283")</f>
        <v>0.0283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HYPERLINK("http://141.218.60.56/~jnz1568/getInfo.php?workbook=11_02.xlsx&amp;sheet=U0&amp;row=969&amp;col=6&amp;number=3.5&amp;sourceID=14","3.5")</f>
        <v>3.5</v>
      </c>
      <c r="G969" s="4" t="str">
        <f>HYPERLINK("http://141.218.60.56/~jnz1568/getInfo.php?workbook=11_02.xlsx&amp;sheet=U0&amp;row=969&amp;col=7&amp;number=0.0283&amp;sourceID=14","0.0283")</f>
        <v>0.0283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HYPERLINK("http://141.218.60.56/~jnz1568/getInfo.php?workbook=11_02.xlsx&amp;sheet=U0&amp;row=970&amp;col=6&amp;number=3.6&amp;sourceID=14","3.6")</f>
        <v>3.6</v>
      </c>
      <c r="G970" s="4" t="str">
        <f>HYPERLINK("http://141.218.60.56/~jnz1568/getInfo.php?workbook=11_02.xlsx&amp;sheet=U0&amp;row=970&amp;col=7&amp;number=0.0282&amp;sourceID=14","0.0282")</f>
        <v>0.0282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HYPERLINK("http://141.218.60.56/~jnz1568/getInfo.php?workbook=11_02.xlsx&amp;sheet=U0&amp;row=971&amp;col=6&amp;number=3.7&amp;sourceID=14","3.7")</f>
        <v>3.7</v>
      </c>
      <c r="G971" s="4" t="str">
        <f>HYPERLINK("http://141.218.60.56/~jnz1568/getInfo.php?workbook=11_02.xlsx&amp;sheet=U0&amp;row=971&amp;col=7&amp;number=0.0282&amp;sourceID=14","0.0282")</f>
        <v>0.0282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HYPERLINK("http://141.218.60.56/~jnz1568/getInfo.php?workbook=11_02.xlsx&amp;sheet=U0&amp;row=972&amp;col=6&amp;number=3.8&amp;sourceID=14","3.8")</f>
        <v>3.8</v>
      </c>
      <c r="G972" s="4" t="str">
        <f>HYPERLINK("http://141.218.60.56/~jnz1568/getInfo.php?workbook=11_02.xlsx&amp;sheet=U0&amp;row=972&amp;col=7&amp;number=0.0282&amp;sourceID=14","0.0282")</f>
        <v>0.0282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HYPERLINK("http://141.218.60.56/~jnz1568/getInfo.php?workbook=11_02.xlsx&amp;sheet=U0&amp;row=973&amp;col=6&amp;number=3.9&amp;sourceID=14","3.9")</f>
        <v>3.9</v>
      </c>
      <c r="G973" s="4" t="str">
        <f>HYPERLINK("http://141.218.60.56/~jnz1568/getInfo.php?workbook=11_02.xlsx&amp;sheet=U0&amp;row=973&amp;col=7&amp;number=0.0282&amp;sourceID=14","0.0282")</f>
        <v>0.0282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HYPERLINK("http://141.218.60.56/~jnz1568/getInfo.php?workbook=11_02.xlsx&amp;sheet=U0&amp;row=974&amp;col=6&amp;number=4&amp;sourceID=14","4")</f>
        <v>4</v>
      </c>
      <c r="G974" s="4" t="str">
        <f>HYPERLINK("http://141.218.60.56/~jnz1568/getInfo.php?workbook=11_02.xlsx&amp;sheet=U0&amp;row=974&amp;col=7&amp;number=0.0282&amp;sourceID=14","0.0282")</f>
        <v>0.0282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HYPERLINK("http://141.218.60.56/~jnz1568/getInfo.php?workbook=11_02.xlsx&amp;sheet=U0&amp;row=975&amp;col=6&amp;number=4.1&amp;sourceID=14","4.1")</f>
        <v>4.1</v>
      </c>
      <c r="G975" s="4" t="str">
        <f>HYPERLINK("http://141.218.60.56/~jnz1568/getInfo.php?workbook=11_02.xlsx&amp;sheet=U0&amp;row=975&amp;col=7&amp;number=0.0281&amp;sourceID=14","0.0281")</f>
        <v>0.0281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HYPERLINK("http://141.218.60.56/~jnz1568/getInfo.php?workbook=11_02.xlsx&amp;sheet=U0&amp;row=976&amp;col=6&amp;number=4.2&amp;sourceID=14","4.2")</f>
        <v>4.2</v>
      </c>
      <c r="G976" s="4" t="str">
        <f>HYPERLINK("http://141.218.60.56/~jnz1568/getInfo.php?workbook=11_02.xlsx&amp;sheet=U0&amp;row=976&amp;col=7&amp;number=0.0281&amp;sourceID=14","0.0281")</f>
        <v>0.0281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HYPERLINK("http://141.218.60.56/~jnz1568/getInfo.php?workbook=11_02.xlsx&amp;sheet=U0&amp;row=977&amp;col=6&amp;number=4.3&amp;sourceID=14","4.3")</f>
        <v>4.3</v>
      </c>
      <c r="G977" s="4" t="str">
        <f>HYPERLINK("http://141.218.60.56/~jnz1568/getInfo.php?workbook=11_02.xlsx&amp;sheet=U0&amp;row=977&amp;col=7&amp;number=0.0281&amp;sourceID=14","0.0281")</f>
        <v>0.0281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HYPERLINK("http://141.218.60.56/~jnz1568/getInfo.php?workbook=11_02.xlsx&amp;sheet=U0&amp;row=978&amp;col=6&amp;number=4.4&amp;sourceID=14","4.4")</f>
        <v>4.4</v>
      </c>
      <c r="G978" s="4" t="str">
        <f>HYPERLINK("http://141.218.60.56/~jnz1568/getInfo.php?workbook=11_02.xlsx&amp;sheet=U0&amp;row=978&amp;col=7&amp;number=0.028&amp;sourceID=14","0.028")</f>
        <v>0.028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HYPERLINK("http://141.218.60.56/~jnz1568/getInfo.php?workbook=11_02.xlsx&amp;sheet=U0&amp;row=979&amp;col=6&amp;number=4.5&amp;sourceID=14","4.5")</f>
        <v>4.5</v>
      </c>
      <c r="G979" s="4" t="str">
        <f>HYPERLINK("http://141.218.60.56/~jnz1568/getInfo.php?workbook=11_02.xlsx&amp;sheet=U0&amp;row=979&amp;col=7&amp;number=0.0279&amp;sourceID=14","0.0279")</f>
        <v>0.0279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HYPERLINK("http://141.218.60.56/~jnz1568/getInfo.php?workbook=11_02.xlsx&amp;sheet=U0&amp;row=980&amp;col=6&amp;number=4.6&amp;sourceID=14","4.6")</f>
        <v>4.6</v>
      </c>
      <c r="G980" s="4" t="str">
        <f>HYPERLINK("http://141.218.60.56/~jnz1568/getInfo.php?workbook=11_02.xlsx&amp;sheet=U0&amp;row=980&amp;col=7&amp;number=0.0278&amp;sourceID=14","0.0278")</f>
        <v>0.0278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HYPERLINK("http://141.218.60.56/~jnz1568/getInfo.php?workbook=11_02.xlsx&amp;sheet=U0&amp;row=981&amp;col=6&amp;number=4.7&amp;sourceID=14","4.7")</f>
        <v>4.7</v>
      </c>
      <c r="G981" s="4" t="str">
        <f>HYPERLINK("http://141.218.60.56/~jnz1568/getInfo.php?workbook=11_02.xlsx&amp;sheet=U0&amp;row=981&amp;col=7&amp;number=0.0277&amp;sourceID=14","0.0277")</f>
        <v>0.0277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HYPERLINK("http://141.218.60.56/~jnz1568/getInfo.php?workbook=11_02.xlsx&amp;sheet=U0&amp;row=982&amp;col=6&amp;number=4.8&amp;sourceID=14","4.8")</f>
        <v>4.8</v>
      </c>
      <c r="G982" s="4" t="str">
        <f>HYPERLINK("http://141.218.60.56/~jnz1568/getInfo.php?workbook=11_02.xlsx&amp;sheet=U0&amp;row=982&amp;col=7&amp;number=0.0276&amp;sourceID=14","0.0276")</f>
        <v>0.0276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HYPERLINK("http://141.218.60.56/~jnz1568/getInfo.php?workbook=11_02.xlsx&amp;sheet=U0&amp;row=983&amp;col=6&amp;number=4.9&amp;sourceID=14","4.9")</f>
        <v>4.9</v>
      </c>
      <c r="G983" s="4" t="str">
        <f>HYPERLINK("http://141.218.60.56/~jnz1568/getInfo.php?workbook=11_02.xlsx&amp;sheet=U0&amp;row=983&amp;col=7&amp;number=0.0274&amp;sourceID=14","0.0274")</f>
        <v>0.0274</v>
      </c>
    </row>
    <row r="984" spans="1:7">
      <c r="A984" s="3">
        <v>11</v>
      </c>
      <c r="B984" s="3">
        <v>2</v>
      </c>
      <c r="C984" s="3">
        <v>3</v>
      </c>
      <c r="D984" s="3">
        <v>6</v>
      </c>
      <c r="E984" s="3">
        <v>1</v>
      </c>
      <c r="F984" s="4" t="str">
        <f>HYPERLINK("http://141.218.60.56/~jnz1568/getInfo.php?workbook=11_02.xlsx&amp;sheet=U0&amp;row=984&amp;col=6&amp;number=3&amp;sourceID=14","3")</f>
        <v>3</v>
      </c>
      <c r="G984" s="4" t="str">
        <f>HYPERLINK("http://141.218.60.56/~jnz1568/getInfo.php?workbook=11_02.xlsx&amp;sheet=U0&amp;row=984&amp;col=7&amp;number=0.00809&amp;sourceID=14","0.00809")</f>
        <v>0.00809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HYPERLINK("http://141.218.60.56/~jnz1568/getInfo.php?workbook=11_02.xlsx&amp;sheet=U0&amp;row=985&amp;col=6&amp;number=3.1&amp;sourceID=14","3.1")</f>
        <v>3.1</v>
      </c>
      <c r="G985" s="4" t="str">
        <f>HYPERLINK("http://141.218.60.56/~jnz1568/getInfo.php?workbook=11_02.xlsx&amp;sheet=U0&amp;row=985&amp;col=7&amp;number=0.00808&amp;sourceID=14","0.00808")</f>
        <v>0.00808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HYPERLINK("http://141.218.60.56/~jnz1568/getInfo.php?workbook=11_02.xlsx&amp;sheet=U0&amp;row=986&amp;col=6&amp;number=3.2&amp;sourceID=14","3.2")</f>
        <v>3.2</v>
      </c>
      <c r="G986" s="4" t="str">
        <f>HYPERLINK("http://141.218.60.56/~jnz1568/getInfo.php?workbook=11_02.xlsx&amp;sheet=U0&amp;row=986&amp;col=7&amp;number=0.00808&amp;sourceID=14","0.00808")</f>
        <v>0.00808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HYPERLINK("http://141.218.60.56/~jnz1568/getInfo.php?workbook=11_02.xlsx&amp;sheet=U0&amp;row=987&amp;col=6&amp;number=3.3&amp;sourceID=14","3.3")</f>
        <v>3.3</v>
      </c>
      <c r="G987" s="4" t="str">
        <f>HYPERLINK("http://141.218.60.56/~jnz1568/getInfo.php?workbook=11_02.xlsx&amp;sheet=U0&amp;row=987&amp;col=7&amp;number=0.00807&amp;sourceID=14","0.00807")</f>
        <v>0.00807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HYPERLINK("http://141.218.60.56/~jnz1568/getInfo.php?workbook=11_02.xlsx&amp;sheet=U0&amp;row=988&amp;col=6&amp;number=3.4&amp;sourceID=14","3.4")</f>
        <v>3.4</v>
      </c>
      <c r="G988" s="4" t="str">
        <f>HYPERLINK("http://141.218.60.56/~jnz1568/getInfo.php?workbook=11_02.xlsx&amp;sheet=U0&amp;row=988&amp;col=7&amp;number=0.00807&amp;sourceID=14","0.00807")</f>
        <v>0.00807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HYPERLINK("http://141.218.60.56/~jnz1568/getInfo.php?workbook=11_02.xlsx&amp;sheet=U0&amp;row=989&amp;col=6&amp;number=3.5&amp;sourceID=14","3.5")</f>
        <v>3.5</v>
      </c>
      <c r="G989" s="4" t="str">
        <f>HYPERLINK("http://141.218.60.56/~jnz1568/getInfo.php?workbook=11_02.xlsx&amp;sheet=U0&amp;row=989&amp;col=7&amp;number=0.00806&amp;sourceID=14","0.00806")</f>
        <v>0.00806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HYPERLINK("http://141.218.60.56/~jnz1568/getInfo.php?workbook=11_02.xlsx&amp;sheet=U0&amp;row=990&amp;col=6&amp;number=3.6&amp;sourceID=14","3.6")</f>
        <v>3.6</v>
      </c>
      <c r="G990" s="4" t="str">
        <f>HYPERLINK("http://141.218.60.56/~jnz1568/getInfo.php?workbook=11_02.xlsx&amp;sheet=U0&amp;row=990&amp;col=7&amp;number=0.00805&amp;sourceID=14","0.00805")</f>
        <v>0.00805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HYPERLINK("http://141.218.60.56/~jnz1568/getInfo.php?workbook=11_02.xlsx&amp;sheet=U0&amp;row=991&amp;col=6&amp;number=3.7&amp;sourceID=14","3.7")</f>
        <v>3.7</v>
      </c>
      <c r="G991" s="4" t="str">
        <f>HYPERLINK("http://141.218.60.56/~jnz1568/getInfo.php?workbook=11_02.xlsx&amp;sheet=U0&amp;row=991&amp;col=7&amp;number=0.00804&amp;sourceID=14","0.00804")</f>
        <v>0.00804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HYPERLINK("http://141.218.60.56/~jnz1568/getInfo.php?workbook=11_02.xlsx&amp;sheet=U0&amp;row=992&amp;col=6&amp;number=3.8&amp;sourceID=14","3.8")</f>
        <v>3.8</v>
      </c>
      <c r="G992" s="4" t="str">
        <f>HYPERLINK("http://141.218.60.56/~jnz1568/getInfo.php?workbook=11_02.xlsx&amp;sheet=U0&amp;row=992&amp;col=7&amp;number=0.00802&amp;sourceID=14","0.00802")</f>
        <v>0.00802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HYPERLINK("http://141.218.60.56/~jnz1568/getInfo.php?workbook=11_02.xlsx&amp;sheet=U0&amp;row=993&amp;col=6&amp;number=3.9&amp;sourceID=14","3.9")</f>
        <v>3.9</v>
      </c>
      <c r="G993" s="4" t="str">
        <f>HYPERLINK("http://141.218.60.56/~jnz1568/getInfo.php?workbook=11_02.xlsx&amp;sheet=U0&amp;row=993&amp;col=7&amp;number=0.008&amp;sourceID=14","0.008")</f>
        <v>0.008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HYPERLINK("http://141.218.60.56/~jnz1568/getInfo.php?workbook=11_02.xlsx&amp;sheet=U0&amp;row=994&amp;col=6&amp;number=4&amp;sourceID=14","4")</f>
        <v>4</v>
      </c>
      <c r="G994" s="4" t="str">
        <f>HYPERLINK("http://141.218.60.56/~jnz1568/getInfo.php?workbook=11_02.xlsx&amp;sheet=U0&amp;row=994&amp;col=7&amp;number=0.00797&amp;sourceID=14","0.00797")</f>
        <v>0.00797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HYPERLINK("http://141.218.60.56/~jnz1568/getInfo.php?workbook=11_02.xlsx&amp;sheet=U0&amp;row=995&amp;col=6&amp;number=4.1&amp;sourceID=14","4.1")</f>
        <v>4.1</v>
      </c>
      <c r="G995" s="4" t="str">
        <f>HYPERLINK("http://141.218.60.56/~jnz1568/getInfo.php?workbook=11_02.xlsx&amp;sheet=U0&amp;row=995&amp;col=7&amp;number=0.00794&amp;sourceID=14","0.00794")</f>
        <v>0.00794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HYPERLINK("http://141.218.60.56/~jnz1568/getInfo.php?workbook=11_02.xlsx&amp;sheet=U0&amp;row=996&amp;col=6&amp;number=4.2&amp;sourceID=14","4.2")</f>
        <v>4.2</v>
      </c>
      <c r="G996" s="4" t="str">
        <f>HYPERLINK("http://141.218.60.56/~jnz1568/getInfo.php?workbook=11_02.xlsx&amp;sheet=U0&amp;row=996&amp;col=7&amp;number=0.0079&amp;sourceID=14","0.0079")</f>
        <v>0.0079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HYPERLINK("http://141.218.60.56/~jnz1568/getInfo.php?workbook=11_02.xlsx&amp;sheet=U0&amp;row=997&amp;col=6&amp;number=4.3&amp;sourceID=14","4.3")</f>
        <v>4.3</v>
      </c>
      <c r="G997" s="4" t="str">
        <f>HYPERLINK("http://141.218.60.56/~jnz1568/getInfo.php?workbook=11_02.xlsx&amp;sheet=U0&amp;row=997&amp;col=7&amp;number=0.00785&amp;sourceID=14","0.00785")</f>
        <v>0.00785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HYPERLINK("http://141.218.60.56/~jnz1568/getInfo.php?workbook=11_02.xlsx&amp;sheet=U0&amp;row=998&amp;col=6&amp;number=4.4&amp;sourceID=14","4.4")</f>
        <v>4.4</v>
      </c>
      <c r="G998" s="4" t="str">
        <f>HYPERLINK("http://141.218.60.56/~jnz1568/getInfo.php?workbook=11_02.xlsx&amp;sheet=U0&amp;row=998&amp;col=7&amp;number=0.00779&amp;sourceID=14","0.00779")</f>
        <v>0.00779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HYPERLINK("http://141.218.60.56/~jnz1568/getInfo.php?workbook=11_02.xlsx&amp;sheet=U0&amp;row=999&amp;col=6&amp;number=4.5&amp;sourceID=14","4.5")</f>
        <v>4.5</v>
      </c>
      <c r="G999" s="4" t="str">
        <f>HYPERLINK("http://141.218.60.56/~jnz1568/getInfo.php?workbook=11_02.xlsx&amp;sheet=U0&amp;row=999&amp;col=7&amp;number=0.00771&amp;sourceID=14","0.00771")</f>
        <v>0.00771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HYPERLINK("http://141.218.60.56/~jnz1568/getInfo.php?workbook=11_02.xlsx&amp;sheet=U0&amp;row=1000&amp;col=6&amp;number=4.6&amp;sourceID=14","4.6")</f>
        <v>4.6</v>
      </c>
      <c r="G1000" s="4" t="str">
        <f>HYPERLINK("http://141.218.60.56/~jnz1568/getInfo.php?workbook=11_02.xlsx&amp;sheet=U0&amp;row=1000&amp;col=7&amp;number=0.00762&amp;sourceID=14","0.00762")</f>
        <v>0.00762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HYPERLINK("http://141.218.60.56/~jnz1568/getInfo.php?workbook=11_02.xlsx&amp;sheet=U0&amp;row=1001&amp;col=6&amp;number=4.7&amp;sourceID=14","4.7")</f>
        <v>4.7</v>
      </c>
      <c r="G1001" s="4" t="str">
        <f>HYPERLINK("http://141.218.60.56/~jnz1568/getInfo.php?workbook=11_02.xlsx&amp;sheet=U0&amp;row=1001&amp;col=7&amp;number=0.00751&amp;sourceID=14","0.00751")</f>
        <v>0.00751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HYPERLINK("http://141.218.60.56/~jnz1568/getInfo.php?workbook=11_02.xlsx&amp;sheet=U0&amp;row=1002&amp;col=6&amp;number=4.8&amp;sourceID=14","4.8")</f>
        <v>4.8</v>
      </c>
      <c r="G1002" s="4" t="str">
        <f>HYPERLINK("http://141.218.60.56/~jnz1568/getInfo.php?workbook=11_02.xlsx&amp;sheet=U0&amp;row=1002&amp;col=7&amp;number=0.00737&amp;sourceID=14","0.00737")</f>
        <v>0.00737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HYPERLINK("http://141.218.60.56/~jnz1568/getInfo.php?workbook=11_02.xlsx&amp;sheet=U0&amp;row=1003&amp;col=6&amp;number=4.9&amp;sourceID=14","4.9")</f>
        <v>4.9</v>
      </c>
      <c r="G1003" s="4" t="str">
        <f>HYPERLINK("http://141.218.60.56/~jnz1568/getInfo.php?workbook=11_02.xlsx&amp;sheet=U0&amp;row=1003&amp;col=7&amp;number=0.00721&amp;sourceID=14","0.00721")</f>
        <v>0.00721</v>
      </c>
    </row>
    <row r="1004" spans="1:7">
      <c r="A1004" s="3">
        <v>11</v>
      </c>
      <c r="B1004" s="3">
        <v>2</v>
      </c>
      <c r="C1004" s="3">
        <v>4</v>
      </c>
      <c r="D1004" s="3">
        <v>6</v>
      </c>
      <c r="E1004" s="3">
        <v>1</v>
      </c>
      <c r="F1004" s="4" t="str">
        <f>HYPERLINK("http://141.218.60.56/~jnz1568/getInfo.php?workbook=11_02.xlsx&amp;sheet=U0&amp;row=1004&amp;col=6&amp;number=3&amp;sourceID=14","3")</f>
        <v>3</v>
      </c>
      <c r="G1004" s="4" t="str">
        <f>HYPERLINK("http://141.218.60.56/~jnz1568/getInfo.php?workbook=11_02.xlsx&amp;sheet=U0&amp;row=1004&amp;col=7&amp;number=0.0259&amp;sourceID=14","0.0259")</f>
        <v>0.0259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HYPERLINK("http://141.218.60.56/~jnz1568/getInfo.php?workbook=11_02.xlsx&amp;sheet=U0&amp;row=1005&amp;col=6&amp;number=3.1&amp;sourceID=14","3.1")</f>
        <v>3.1</v>
      </c>
      <c r="G1005" s="4" t="str">
        <f>HYPERLINK("http://141.218.60.56/~jnz1568/getInfo.php?workbook=11_02.xlsx&amp;sheet=U0&amp;row=1005&amp;col=7&amp;number=0.0259&amp;sourceID=14","0.0259")</f>
        <v>0.0259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HYPERLINK("http://141.218.60.56/~jnz1568/getInfo.php?workbook=11_02.xlsx&amp;sheet=U0&amp;row=1006&amp;col=6&amp;number=3.2&amp;sourceID=14","3.2")</f>
        <v>3.2</v>
      </c>
      <c r="G1006" s="4" t="str">
        <f>HYPERLINK("http://141.218.60.56/~jnz1568/getInfo.php?workbook=11_02.xlsx&amp;sheet=U0&amp;row=1006&amp;col=7&amp;number=0.0259&amp;sourceID=14","0.0259")</f>
        <v>0.0259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HYPERLINK("http://141.218.60.56/~jnz1568/getInfo.php?workbook=11_02.xlsx&amp;sheet=U0&amp;row=1007&amp;col=6&amp;number=3.3&amp;sourceID=14","3.3")</f>
        <v>3.3</v>
      </c>
      <c r="G1007" s="4" t="str">
        <f>HYPERLINK("http://141.218.60.56/~jnz1568/getInfo.php?workbook=11_02.xlsx&amp;sheet=U0&amp;row=1007&amp;col=7&amp;number=0.0259&amp;sourceID=14","0.0259")</f>
        <v>0.0259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HYPERLINK("http://141.218.60.56/~jnz1568/getInfo.php?workbook=11_02.xlsx&amp;sheet=U0&amp;row=1008&amp;col=6&amp;number=3.4&amp;sourceID=14","3.4")</f>
        <v>3.4</v>
      </c>
      <c r="G1008" s="4" t="str">
        <f>HYPERLINK("http://141.218.60.56/~jnz1568/getInfo.php?workbook=11_02.xlsx&amp;sheet=U0&amp;row=1008&amp;col=7&amp;number=0.0259&amp;sourceID=14","0.0259")</f>
        <v>0.0259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HYPERLINK("http://141.218.60.56/~jnz1568/getInfo.php?workbook=11_02.xlsx&amp;sheet=U0&amp;row=1009&amp;col=6&amp;number=3.5&amp;sourceID=14","3.5")</f>
        <v>3.5</v>
      </c>
      <c r="G1009" s="4" t="str">
        <f>HYPERLINK("http://141.218.60.56/~jnz1568/getInfo.php?workbook=11_02.xlsx&amp;sheet=U0&amp;row=1009&amp;col=7&amp;number=0.0258&amp;sourceID=14","0.0258")</f>
        <v>0.0258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HYPERLINK("http://141.218.60.56/~jnz1568/getInfo.php?workbook=11_02.xlsx&amp;sheet=U0&amp;row=1010&amp;col=6&amp;number=3.6&amp;sourceID=14","3.6")</f>
        <v>3.6</v>
      </c>
      <c r="G1010" s="4" t="str">
        <f>HYPERLINK("http://141.218.60.56/~jnz1568/getInfo.php?workbook=11_02.xlsx&amp;sheet=U0&amp;row=1010&amp;col=7&amp;number=0.0258&amp;sourceID=14","0.0258")</f>
        <v>0.0258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HYPERLINK("http://141.218.60.56/~jnz1568/getInfo.php?workbook=11_02.xlsx&amp;sheet=U0&amp;row=1011&amp;col=6&amp;number=3.7&amp;sourceID=14","3.7")</f>
        <v>3.7</v>
      </c>
      <c r="G1011" s="4" t="str">
        <f>HYPERLINK("http://141.218.60.56/~jnz1568/getInfo.php?workbook=11_02.xlsx&amp;sheet=U0&amp;row=1011&amp;col=7&amp;number=0.0258&amp;sourceID=14","0.0258")</f>
        <v>0.0258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HYPERLINK("http://141.218.60.56/~jnz1568/getInfo.php?workbook=11_02.xlsx&amp;sheet=U0&amp;row=1012&amp;col=6&amp;number=3.8&amp;sourceID=14","3.8")</f>
        <v>3.8</v>
      </c>
      <c r="G1012" s="4" t="str">
        <f>HYPERLINK("http://141.218.60.56/~jnz1568/getInfo.php?workbook=11_02.xlsx&amp;sheet=U0&amp;row=1012&amp;col=7&amp;number=0.0257&amp;sourceID=14","0.0257")</f>
        <v>0.0257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HYPERLINK("http://141.218.60.56/~jnz1568/getInfo.php?workbook=11_02.xlsx&amp;sheet=U0&amp;row=1013&amp;col=6&amp;number=3.9&amp;sourceID=14","3.9")</f>
        <v>3.9</v>
      </c>
      <c r="G1013" s="4" t="str">
        <f>HYPERLINK("http://141.218.60.56/~jnz1568/getInfo.php?workbook=11_02.xlsx&amp;sheet=U0&amp;row=1013&amp;col=7&amp;number=0.0256&amp;sourceID=14","0.0256")</f>
        <v>0.0256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HYPERLINK("http://141.218.60.56/~jnz1568/getInfo.php?workbook=11_02.xlsx&amp;sheet=U0&amp;row=1014&amp;col=6&amp;number=4&amp;sourceID=14","4")</f>
        <v>4</v>
      </c>
      <c r="G1014" s="4" t="str">
        <f>HYPERLINK("http://141.218.60.56/~jnz1568/getInfo.php?workbook=11_02.xlsx&amp;sheet=U0&amp;row=1014&amp;col=7&amp;number=0.0256&amp;sourceID=14","0.0256")</f>
        <v>0.0256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HYPERLINK("http://141.218.60.56/~jnz1568/getInfo.php?workbook=11_02.xlsx&amp;sheet=U0&amp;row=1015&amp;col=6&amp;number=4.1&amp;sourceID=14","4.1")</f>
        <v>4.1</v>
      </c>
      <c r="G1015" s="4" t="str">
        <f>HYPERLINK("http://141.218.60.56/~jnz1568/getInfo.php?workbook=11_02.xlsx&amp;sheet=U0&amp;row=1015&amp;col=7&amp;number=0.0255&amp;sourceID=14","0.0255")</f>
        <v>0.0255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HYPERLINK("http://141.218.60.56/~jnz1568/getInfo.php?workbook=11_02.xlsx&amp;sheet=U0&amp;row=1016&amp;col=6&amp;number=4.2&amp;sourceID=14","4.2")</f>
        <v>4.2</v>
      </c>
      <c r="G1016" s="4" t="str">
        <f>HYPERLINK("http://141.218.60.56/~jnz1568/getInfo.php?workbook=11_02.xlsx&amp;sheet=U0&amp;row=1016&amp;col=7&amp;number=0.0253&amp;sourceID=14","0.0253")</f>
        <v>0.0253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HYPERLINK("http://141.218.60.56/~jnz1568/getInfo.php?workbook=11_02.xlsx&amp;sheet=U0&amp;row=1017&amp;col=6&amp;number=4.3&amp;sourceID=14","4.3")</f>
        <v>4.3</v>
      </c>
      <c r="G1017" s="4" t="str">
        <f>HYPERLINK("http://141.218.60.56/~jnz1568/getInfo.php?workbook=11_02.xlsx&amp;sheet=U0&amp;row=1017&amp;col=7&amp;number=0.0252&amp;sourceID=14","0.0252")</f>
        <v>0.0252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HYPERLINK("http://141.218.60.56/~jnz1568/getInfo.php?workbook=11_02.xlsx&amp;sheet=U0&amp;row=1018&amp;col=6&amp;number=4.4&amp;sourceID=14","4.4")</f>
        <v>4.4</v>
      </c>
      <c r="G1018" s="4" t="str">
        <f>HYPERLINK("http://141.218.60.56/~jnz1568/getInfo.php?workbook=11_02.xlsx&amp;sheet=U0&amp;row=1018&amp;col=7&amp;number=0.025&amp;sourceID=14","0.025")</f>
        <v>0.025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HYPERLINK("http://141.218.60.56/~jnz1568/getInfo.php?workbook=11_02.xlsx&amp;sheet=U0&amp;row=1019&amp;col=6&amp;number=4.5&amp;sourceID=14","4.5")</f>
        <v>4.5</v>
      </c>
      <c r="G1019" s="4" t="str">
        <f>HYPERLINK("http://141.218.60.56/~jnz1568/getInfo.php?workbook=11_02.xlsx&amp;sheet=U0&amp;row=1019&amp;col=7&amp;number=0.0248&amp;sourceID=14","0.0248")</f>
        <v>0.0248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HYPERLINK("http://141.218.60.56/~jnz1568/getInfo.php?workbook=11_02.xlsx&amp;sheet=U0&amp;row=1020&amp;col=6&amp;number=4.6&amp;sourceID=14","4.6")</f>
        <v>4.6</v>
      </c>
      <c r="G1020" s="4" t="str">
        <f>HYPERLINK("http://141.218.60.56/~jnz1568/getInfo.php?workbook=11_02.xlsx&amp;sheet=U0&amp;row=1020&amp;col=7&amp;number=0.0245&amp;sourceID=14","0.0245")</f>
        <v>0.0245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HYPERLINK("http://141.218.60.56/~jnz1568/getInfo.php?workbook=11_02.xlsx&amp;sheet=U0&amp;row=1021&amp;col=6&amp;number=4.7&amp;sourceID=14","4.7")</f>
        <v>4.7</v>
      </c>
      <c r="G1021" s="4" t="str">
        <f>HYPERLINK("http://141.218.60.56/~jnz1568/getInfo.php?workbook=11_02.xlsx&amp;sheet=U0&amp;row=1021&amp;col=7&amp;number=0.0241&amp;sourceID=14","0.0241")</f>
        <v>0.0241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HYPERLINK("http://141.218.60.56/~jnz1568/getInfo.php?workbook=11_02.xlsx&amp;sheet=U0&amp;row=1022&amp;col=6&amp;number=4.8&amp;sourceID=14","4.8")</f>
        <v>4.8</v>
      </c>
      <c r="G1022" s="4" t="str">
        <f>HYPERLINK("http://141.218.60.56/~jnz1568/getInfo.php?workbook=11_02.xlsx&amp;sheet=U0&amp;row=1022&amp;col=7&amp;number=0.0237&amp;sourceID=14","0.0237")</f>
        <v>0.0237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HYPERLINK("http://141.218.60.56/~jnz1568/getInfo.php?workbook=11_02.xlsx&amp;sheet=U0&amp;row=1023&amp;col=6&amp;number=4.9&amp;sourceID=14","4.9")</f>
        <v>4.9</v>
      </c>
      <c r="G1023" s="4" t="str">
        <f>HYPERLINK("http://141.218.60.56/~jnz1568/getInfo.php?workbook=11_02.xlsx&amp;sheet=U0&amp;row=1023&amp;col=7&amp;number=0.0232&amp;sourceID=14","0.0232")</f>
        <v>0.0232</v>
      </c>
    </row>
    <row r="1024" spans="1:7">
      <c r="A1024" s="3">
        <v>11</v>
      </c>
      <c r="B1024" s="3">
        <v>2</v>
      </c>
      <c r="C1024" s="3">
        <v>5</v>
      </c>
      <c r="D1024" s="3">
        <v>6</v>
      </c>
      <c r="E1024" s="3">
        <v>1</v>
      </c>
      <c r="F1024" s="4" t="str">
        <f>HYPERLINK("http://141.218.60.56/~jnz1568/getInfo.php?workbook=11_02.xlsx&amp;sheet=U0&amp;row=1024&amp;col=6&amp;number=3&amp;sourceID=14","3")</f>
        <v>3</v>
      </c>
      <c r="G1024" s="4" t="str">
        <f>HYPERLINK("http://141.218.60.56/~jnz1568/getInfo.php?workbook=11_02.xlsx&amp;sheet=U0&amp;row=1024&amp;col=7&amp;number=0.0427&amp;sourceID=14","0.0427")</f>
        <v>0.0427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HYPERLINK("http://141.218.60.56/~jnz1568/getInfo.php?workbook=11_02.xlsx&amp;sheet=U0&amp;row=1025&amp;col=6&amp;number=3.1&amp;sourceID=14","3.1")</f>
        <v>3.1</v>
      </c>
      <c r="G1025" s="4" t="str">
        <f>HYPERLINK("http://141.218.60.56/~jnz1568/getInfo.php?workbook=11_02.xlsx&amp;sheet=U0&amp;row=1025&amp;col=7&amp;number=0.0427&amp;sourceID=14","0.0427")</f>
        <v>0.0427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HYPERLINK("http://141.218.60.56/~jnz1568/getInfo.php?workbook=11_02.xlsx&amp;sheet=U0&amp;row=1026&amp;col=6&amp;number=3.2&amp;sourceID=14","3.2")</f>
        <v>3.2</v>
      </c>
      <c r="G1026" s="4" t="str">
        <f>HYPERLINK("http://141.218.60.56/~jnz1568/getInfo.php?workbook=11_02.xlsx&amp;sheet=U0&amp;row=1026&amp;col=7&amp;number=0.0427&amp;sourceID=14","0.0427")</f>
        <v>0.0427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HYPERLINK("http://141.218.60.56/~jnz1568/getInfo.php?workbook=11_02.xlsx&amp;sheet=U0&amp;row=1027&amp;col=6&amp;number=3.3&amp;sourceID=14","3.3")</f>
        <v>3.3</v>
      </c>
      <c r="G1027" s="4" t="str">
        <f>HYPERLINK("http://141.218.60.56/~jnz1568/getInfo.php?workbook=11_02.xlsx&amp;sheet=U0&amp;row=1027&amp;col=7&amp;number=0.0427&amp;sourceID=14","0.0427")</f>
        <v>0.0427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HYPERLINK("http://141.218.60.56/~jnz1568/getInfo.php?workbook=11_02.xlsx&amp;sheet=U0&amp;row=1028&amp;col=6&amp;number=3.4&amp;sourceID=14","3.4")</f>
        <v>3.4</v>
      </c>
      <c r="G1028" s="4" t="str">
        <f>HYPERLINK("http://141.218.60.56/~jnz1568/getInfo.php?workbook=11_02.xlsx&amp;sheet=U0&amp;row=1028&amp;col=7&amp;number=0.0426&amp;sourceID=14","0.0426")</f>
        <v>0.0426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HYPERLINK("http://141.218.60.56/~jnz1568/getInfo.php?workbook=11_02.xlsx&amp;sheet=U0&amp;row=1029&amp;col=6&amp;number=3.5&amp;sourceID=14","3.5")</f>
        <v>3.5</v>
      </c>
      <c r="G1029" s="4" t="str">
        <f>HYPERLINK("http://141.218.60.56/~jnz1568/getInfo.php?workbook=11_02.xlsx&amp;sheet=U0&amp;row=1029&amp;col=7&amp;number=0.0426&amp;sourceID=14","0.0426")</f>
        <v>0.0426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HYPERLINK("http://141.218.60.56/~jnz1568/getInfo.php?workbook=11_02.xlsx&amp;sheet=U0&amp;row=1030&amp;col=6&amp;number=3.6&amp;sourceID=14","3.6")</f>
        <v>3.6</v>
      </c>
      <c r="G1030" s="4" t="str">
        <f>HYPERLINK("http://141.218.60.56/~jnz1568/getInfo.php?workbook=11_02.xlsx&amp;sheet=U0&amp;row=1030&amp;col=7&amp;number=0.0425&amp;sourceID=14","0.0425")</f>
        <v>0.0425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HYPERLINK("http://141.218.60.56/~jnz1568/getInfo.php?workbook=11_02.xlsx&amp;sheet=U0&amp;row=1031&amp;col=6&amp;number=3.7&amp;sourceID=14","3.7")</f>
        <v>3.7</v>
      </c>
      <c r="G1031" s="4" t="str">
        <f>HYPERLINK("http://141.218.60.56/~jnz1568/getInfo.php?workbook=11_02.xlsx&amp;sheet=U0&amp;row=1031&amp;col=7&amp;number=0.0425&amp;sourceID=14","0.0425")</f>
        <v>0.0425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HYPERLINK("http://141.218.60.56/~jnz1568/getInfo.php?workbook=11_02.xlsx&amp;sheet=U0&amp;row=1032&amp;col=6&amp;number=3.8&amp;sourceID=14","3.8")</f>
        <v>3.8</v>
      </c>
      <c r="G1032" s="4" t="str">
        <f>HYPERLINK("http://141.218.60.56/~jnz1568/getInfo.php?workbook=11_02.xlsx&amp;sheet=U0&amp;row=1032&amp;col=7&amp;number=0.0424&amp;sourceID=14","0.0424")</f>
        <v>0.0424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HYPERLINK("http://141.218.60.56/~jnz1568/getInfo.php?workbook=11_02.xlsx&amp;sheet=U0&amp;row=1033&amp;col=6&amp;number=3.9&amp;sourceID=14","3.9")</f>
        <v>3.9</v>
      </c>
      <c r="G1033" s="4" t="str">
        <f>HYPERLINK("http://141.218.60.56/~jnz1568/getInfo.php?workbook=11_02.xlsx&amp;sheet=U0&amp;row=1033&amp;col=7&amp;number=0.0422&amp;sourceID=14","0.0422")</f>
        <v>0.0422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HYPERLINK("http://141.218.60.56/~jnz1568/getInfo.php?workbook=11_02.xlsx&amp;sheet=U0&amp;row=1034&amp;col=6&amp;number=4&amp;sourceID=14","4")</f>
        <v>4</v>
      </c>
      <c r="G1034" s="4" t="str">
        <f>HYPERLINK("http://141.218.60.56/~jnz1568/getInfo.php?workbook=11_02.xlsx&amp;sheet=U0&amp;row=1034&amp;col=7&amp;number=0.0421&amp;sourceID=14","0.0421")</f>
        <v>0.0421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HYPERLINK("http://141.218.60.56/~jnz1568/getInfo.php?workbook=11_02.xlsx&amp;sheet=U0&amp;row=1035&amp;col=6&amp;number=4.1&amp;sourceID=14","4.1")</f>
        <v>4.1</v>
      </c>
      <c r="G1035" s="4" t="str">
        <f>HYPERLINK("http://141.218.60.56/~jnz1568/getInfo.php?workbook=11_02.xlsx&amp;sheet=U0&amp;row=1035&amp;col=7&amp;number=0.0419&amp;sourceID=14","0.0419")</f>
        <v>0.0419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HYPERLINK("http://141.218.60.56/~jnz1568/getInfo.php?workbook=11_02.xlsx&amp;sheet=U0&amp;row=1036&amp;col=6&amp;number=4.2&amp;sourceID=14","4.2")</f>
        <v>4.2</v>
      </c>
      <c r="G1036" s="4" t="str">
        <f>HYPERLINK("http://141.218.60.56/~jnz1568/getInfo.php?workbook=11_02.xlsx&amp;sheet=U0&amp;row=1036&amp;col=7&amp;number=0.0417&amp;sourceID=14","0.0417")</f>
        <v>0.0417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HYPERLINK("http://141.218.60.56/~jnz1568/getInfo.php?workbook=11_02.xlsx&amp;sheet=U0&amp;row=1037&amp;col=6&amp;number=4.3&amp;sourceID=14","4.3")</f>
        <v>4.3</v>
      </c>
      <c r="G1037" s="4" t="str">
        <f>HYPERLINK("http://141.218.60.56/~jnz1568/getInfo.php?workbook=11_02.xlsx&amp;sheet=U0&amp;row=1037&amp;col=7&amp;number=0.0414&amp;sourceID=14","0.0414")</f>
        <v>0.0414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HYPERLINK("http://141.218.60.56/~jnz1568/getInfo.php?workbook=11_02.xlsx&amp;sheet=U0&amp;row=1038&amp;col=6&amp;number=4.4&amp;sourceID=14","4.4")</f>
        <v>4.4</v>
      </c>
      <c r="G1038" s="4" t="str">
        <f>HYPERLINK("http://141.218.60.56/~jnz1568/getInfo.php?workbook=11_02.xlsx&amp;sheet=U0&amp;row=1038&amp;col=7&amp;number=0.0411&amp;sourceID=14","0.0411")</f>
        <v>0.0411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HYPERLINK("http://141.218.60.56/~jnz1568/getInfo.php?workbook=11_02.xlsx&amp;sheet=U0&amp;row=1039&amp;col=6&amp;number=4.5&amp;sourceID=14","4.5")</f>
        <v>4.5</v>
      </c>
      <c r="G1039" s="4" t="str">
        <f>HYPERLINK("http://141.218.60.56/~jnz1568/getInfo.php?workbook=11_02.xlsx&amp;sheet=U0&amp;row=1039&amp;col=7&amp;number=0.0406&amp;sourceID=14","0.0406")</f>
        <v>0.0406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HYPERLINK("http://141.218.60.56/~jnz1568/getInfo.php?workbook=11_02.xlsx&amp;sheet=U0&amp;row=1040&amp;col=6&amp;number=4.6&amp;sourceID=14","4.6")</f>
        <v>4.6</v>
      </c>
      <c r="G1040" s="4" t="str">
        <f>HYPERLINK("http://141.218.60.56/~jnz1568/getInfo.php?workbook=11_02.xlsx&amp;sheet=U0&amp;row=1040&amp;col=7&amp;number=0.0401&amp;sourceID=14","0.0401")</f>
        <v>0.0401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HYPERLINK("http://141.218.60.56/~jnz1568/getInfo.php?workbook=11_02.xlsx&amp;sheet=U0&amp;row=1041&amp;col=6&amp;number=4.7&amp;sourceID=14","4.7")</f>
        <v>4.7</v>
      </c>
      <c r="G1041" s="4" t="str">
        <f>HYPERLINK("http://141.218.60.56/~jnz1568/getInfo.php?workbook=11_02.xlsx&amp;sheet=U0&amp;row=1041&amp;col=7&amp;number=0.0394&amp;sourceID=14","0.0394")</f>
        <v>0.0394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HYPERLINK("http://141.218.60.56/~jnz1568/getInfo.php?workbook=11_02.xlsx&amp;sheet=U0&amp;row=1042&amp;col=6&amp;number=4.8&amp;sourceID=14","4.8")</f>
        <v>4.8</v>
      </c>
      <c r="G1042" s="4" t="str">
        <f>HYPERLINK("http://141.218.60.56/~jnz1568/getInfo.php?workbook=11_02.xlsx&amp;sheet=U0&amp;row=1042&amp;col=7&amp;number=0.0387&amp;sourceID=14","0.0387")</f>
        <v>0.0387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HYPERLINK("http://141.218.60.56/~jnz1568/getInfo.php?workbook=11_02.xlsx&amp;sheet=U0&amp;row=1043&amp;col=6&amp;number=4.9&amp;sourceID=14","4.9")</f>
        <v>4.9</v>
      </c>
      <c r="G1043" s="4" t="str">
        <f>HYPERLINK("http://141.218.60.56/~jnz1568/getInfo.php?workbook=11_02.xlsx&amp;sheet=U0&amp;row=1043&amp;col=7&amp;number=0.0378&amp;sourceID=14","0.0378")</f>
        <v>0.0378</v>
      </c>
    </row>
    <row r="1044" spans="1:7">
      <c r="A1044" s="3">
        <v>11</v>
      </c>
      <c r="B1044" s="3">
        <v>2</v>
      </c>
      <c r="C1044" s="3">
        <v>6</v>
      </c>
      <c r="D1044" s="3">
        <v>7</v>
      </c>
      <c r="E1044" s="3">
        <v>1</v>
      </c>
      <c r="F1044" s="4" t="str">
        <f>HYPERLINK("http://141.218.60.56/~jnz1568/getInfo.php?workbook=11_02.xlsx&amp;sheet=U0&amp;row=1044&amp;col=6&amp;number=3&amp;sourceID=14","3")</f>
        <v>3</v>
      </c>
      <c r="G1044" s="4" t="str">
        <f>HYPERLINK("http://141.218.60.56/~jnz1568/getInfo.php?workbook=11_02.xlsx&amp;sheet=U0&amp;row=1044&amp;col=7&amp;number=1.23&amp;sourceID=14","1.23")</f>
        <v>1.23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HYPERLINK("http://141.218.60.56/~jnz1568/getInfo.php?workbook=11_02.xlsx&amp;sheet=U0&amp;row=1045&amp;col=6&amp;number=3.1&amp;sourceID=14","3.1")</f>
        <v>3.1</v>
      </c>
      <c r="G1045" s="4" t="str">
        <f>HYPERLINK("http://141.218.60.56/~jnz1568/getInfo.php?workbook=11_02.xlsx&amp;sheet=U0&amp;row=1045&amp;col=7&amp;number=1.23&amp;sourceID=14","1.23")</f>
        <v>1.23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HYPERLINK("http://141.218.60.56/~jnz1568/getInfo.php?workbook=11_02.xlsx&amp;sheet=U0&amp;row=1046&amp;col=6&amp;number=3.2&amp;sourceID=14","3.2")</f>
        <v>3.2</v>
      </c>
      <c r="G1046" s="4" t="str">
        <f>HYPERLINK("http://141.218.60.56/~jnz1568/getInfo.php?workbook=11_02.xlsx&amp;sheet=U0&amp;row=1046&amp;col=7&amp;number=1.23&amp;sourceID=14","1.23")</f>
        <v>1.23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HYPERLINK("http://141.218.60.56/~jnz1568/getInfo.php?workbook=11_02.xlsx&amp;sheet=U0&amp;row=1047&amp;col=6&amp;number=3.3&amp;sourceID=14","3.3")</f>
        <v>3.3</v>
      </c>
      <c r="G1047" s="4" t="str">
        <f>HYPERLINK("http://141.218.60.56/~jnz1568/getInfo.php?workbook=11_02.xlsx&amp;sheet=U0&amp;row=1047&amp;col=7&amp;number=1.23&amp;sourceID=14","1.23")</f>
        <v>1.23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HYPERLINK("http://141.218.60.56/~jnz1568/getInfo.php?workbook=11_02.xlsx&amp;sheet=U0&amp;row=1048&amp;col=6&amp;number=3.4&amp;sourceID=14","3.4")</f>
        <v>3.4</v>
      </c>
      <c r="G1048" s="4" t="str">
        <f>HYPERLINK("http://141.218.60.56/~jnz1568/getInfo.php?workbook=11_02.xlsx&amp;sheet=U0&amp;row=1048&amp;col=7&amp;number=1.23&amp;sourceID=14","1.23")</f>
        <v>1.23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HYPERLINK("http://141.218.60.56/~jnz1568/getInfo.php?workbook=11_02.xlsx&amp;sheet=U0&amp;row=1049&amp;col=6&amp;number=3.5&amp;sourceID=14","3.5")</f>
        <v>3.5</v>
      </c>
      <c r="G1049" s="4" t="str">
        <f>HYPERLINK("http://141.218.60.56/~jnz1568/getInfo.php?workbook=11_02.xlsx&amp;sheet=U0&amp;row=1049&amp;col=7&amp;number=1.23&amp;sourceID=14","1.23")</f>
        <v>1.23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HYPERLINK("http://141.218.60.56/~jnz1568/getInfo.php?workbook=11_02.xlsx&amp;sheet=U0&amp;row=1050&amp;col=6&amp;number=3.6&amp;sourceID=14","3.6")</f>
        <v>3.6</v>
      </c>
      <c r="G1050" s="4" t="str">
        <f>HYPERLINK("http://141.218.60.56/~jnz1568/getInfo.php?workbook=11_02.xlsx&amp;sheet=U0&amp;row=1050&amp;col=7&amp;number=1.24&amp;sourceID=14","1.24")</f>
        <v>1.24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HYPERLINK("http://141.218.60.56/~jnz1568/getInfo.php?workbook=11_02.xlsx&amp;sheet=U0&amp;row=1051&amp;col=6&amp;number=3.7&amp;sourceID=14","3.7")</f>
        <v>3.7</v>
      </c>
      <c r="G1051" s="4" t="str">
        <f>HYPERLINK("http://141.218.60.56/~jnz1568/getInfo.php?workbook=11_02.xlsx&amp;sheet=U0&amp;row=1051&amp;col=7&amp;number=1.24&amp;sourceID=14","1.24")</f>
        <v>1.24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HYPERLINK("http://141.218.60.56/~jnz1568/getInfo.php?workbook=11_02.xlsx&amp;sheet=U0&amp;row=1052&amp;col=6&amp;number=3.8&amp;sourceID=14","3.8")</f>
        <v>3.8</v>
      </c>
      <c r="G1052" s="4" t="str">
        <f>HYPERLINK("http://141.218.60.56/~jnz1568/getInfo.php?workbook=11_02.xlsx&amp;sheet=U0&amp;row=1052&amp;col=7&amp;number=1.24&amp;sourceID=14","1.24")</f>
        <v>1.24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HYPERLINK("http://141.218.60.56/~jnz1568/getInfo.php?workbook=11_02.xlsx&amp;sheet=U0&amp;row=1053&amp;col=6&amp;number=3.9&amp;sourceID=14","3.9")</f>
        <v>3.9</v>
      </c>
      <c r="G1053" s="4" t="str">
        <f>HYPERLINK("http://141.218.60.56/~jnz1568/getInfo.php?workbook=11_02.xlsx&amp;sheet=U0&amp;row=1053&amp;col=7&amp;number=1.25&amp;sourceID=14","1.25")</f>
        <v>1.25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HYPERLINK("http://141.218.60.56/~jnz1568/getInfo.php?workbook=11_02.xlsx&amp;sheet=U0&amp;row=1054&amp;col=6&amp;number=4&amp;sourceID=14","4")</f>
        <v>4</v>
      </c>
      <c r="G1054" s="4" t="str">
        <f>HYPERLINK("http://141.218.60.56/~jnz1568/getInfo.php?workbook=11_02.xlsx&amp;sheet=U0&amp;row=1054&amp;col=7&amp;number=1.25&amp;sourceID=14","1.25")</f>
        <v>1.25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HYPERLINK("http://141.218.60.56/~jnz1568/getInfo.php?workbook=11_02.xlsx&amp;sheet=U0&amp;row=1055&amp;col=6&amp;number=4.1&amp;sourceID=14","4.1")</f>
        <v>4.1</v>
      </c>
      <c r="G1055" s="4" t="str">
        <f>HYPERLINK("http://141.218.60.56/~jnz1568/getInfo.php?workbook=11_02.xlsx&amp;sheet=U0&amp;row=1055&amp;col=7&amp;number=1.26&amp;sourceID=14","1.26")</f>
        <v>1.26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HYPERLINK("http://141.218.60.56/~jnz1568/getInfo.php?workbook=11_02.xlsx&amp;sheet=U0&amp;row=1056&amp;col=6&amp;number=4.2&amp;sourceID=14","4.2")</f>
        <v>4.2</v>
      </c>
      <c r="G1056" s="4" t="str">
        <f>HYPERLINK("http://141.218.60.56/~jnz1568/getInfo.php?workbook=11_02.xlsx&amp;sheet=U0&amp;row=1056&amp;col=7&amp;number=1.26&amp;sourceID=14","1.26")</f>
        <v>1.26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HYPERLINK("http://141.218.60.56/~jnz1568/getInfo.php?workbook=11_02.xlsx&amp;sheet=U0&amp;row=1057&amp;col=6&amp;number=4.3&amp;sourceID=14","4.3")</f>
        <v>4.3</v>
      </c>
      <c r="G1057" s="4" t="str">
        <f>HYPERLINK("http://141.218.60.56/~jnz1568/getInfo.php?workbook=11_02.xlsx&amp;sheet=U0&amp;row=1057&amp;col=7&amp;number=1.27&amp;sourceID=14","1.27")</f>
        <v>1.27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HYPERLINK("http://141.218.60.56/~jnz1568/getInfo.php?workbook=11_02.xlsx&amp;sheet=U0&amp;row=1058&amp;col=6&amp;number=4.4&amp;sourceID=14","4.4")</f>
        <v>4.4</v>
      </c>
      <c r="G1058" s="4" t="str">
        <f>HYPERLINK("http://141.218.60.56/~jnz1568/getInfo.php?workbook=11_02.xlsx&amp;sheet=U0&amp;row=1058&amp;col=7&amp;number=1.28&amp;sourceID=14","1.28")</f>
        <v>1.28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HYPERLINK("http://141.218.60.56/~jnz1568/getInfo.php?workbook=11_02.xlsx&amp;sheet=U0&amp;row=1059&amp;col=6&amp;number=4.5&amp;sourceID=14","4.5")</f>
        <v>4.5</v>
      </c>
      <c r="G1059" s="4" t="str">
        <f>HYPERLINK("http://141.218.60.56/~jnz1568/getInfo.php?workbook=11_02.xlsx&amp;sheet=U0&amp;row=1059&amp;col=7&amp;number=1.29&amp;sourceID=14","1.29")</f>
        <v>1.29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HYPERLINK("http://141.218.60.56/~jnz1568/getInfo.php?workbook=11_02.xlsx&amp;sheet=U0&amp;row=1060&amp;col=6&amp;number=4.6&amp;sourceID=14","4.6")</f>
        <v>4.6</v>
      </c>
      <c r="G1060" s="4" t="str">
        <f>HYPERLINK("http://141.218.60.56/~jnz1568/getInfo.php?workbook=11_02.xlsx&amp;sheet=U0&amp;row=1060&amp;col=7&amp;number=1.31&amp;sourceID=14","1.31")</f>
        <v>1.31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HYPERLINK("http://141.218.60.56/~jnz1568/getInfo.php?workbook=11_02.xlsx&amp;sheet=U0&amp;row=1061&amp;col=6&amp;number=4.7&amp;sourceID=14","4.7")</f>
        <v>4.7</v>
      </c>
      <c r="G1061" s="4" t="str">
        <f>HYPERLINK("http://141.218.60.56/~jnz1568/getInfo.php?workbook=11_02.xlsx&amp;sheet=U0&amp;row=1061&amp;col=7&amp;number=1.32&amp;sourceID=14","1.32")</f>
        <v>1.32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HYPERLINK("http://141.218.60.56/~jnz1568/getInfo.php?workbook=11_02.xlsx&amp;sheet=U0&amp;row=1062&amp;col=6&amp;number=4.8&amp;sourceID=14","4.8")</f>
        <v>4.8</v>
      </c>
      <c r="G1062" s="4" t="str">
        <f>HYPERLINK("http://141.218.60.56/~jnz1568/getInfo.php?workbook=11_02.xlsx&amp;sheet=U0&amp;row=1062&amp;col=7&amp;number=1.34&amp;sourceID=14","1.34")</f>
        <v>1.34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HYPERLINK("http://141.218.60.56/~jnz1568/getInfo.php?workbook=11_02.xlsx&amp;sheet=U0&amp;row=1063&amp;col=6&amp;number=4.9&amp;sourceID=14","4.9")</f>
        <v>4.9</v>
      </c>
      <c r="G1063" s="4" t="str">
        <f>HYPERLINK("http://141.218.60.56/~jnz1568/getInfo.php?workbook=11_02.xlsx&amp;sheet=U0&amp;row=1063&amp;col=7&amp;number=1.36&amp;sourceID=14","1.36")</f>
        <v>1.36</v>
      </c>
    </row>
    <row r="1064" spans="1:7">
      <c r="A1064" s="3">
        <v>11</v>
      </c>
      <c r="B1064" s="3">
        <v>2</v>
      </c>
      <c r="C1064" s="3">
        <v>6</v>
      </c>
      <c r="D1064" s="3">
        <v>8</v>
      </c>
      <c r="E1064" s="3">
        <v>1</v>
      </c>
      <c r="F1064" s="4" t="str">
        <f>HYPERLINK("http://141.218.60.56/~jnz1568/getInfo.php?workbook=11_02.xlsx&amp;sheet=U0&amp;row=1064&amp;col=6&amp;number=3&amp;sourceID=14","3")</f>
        <v>3</v>
      </c>
      <c r="G1064" s="4" t="str">
        <f>HYPERLINK("http://141.218.60.56/~jnz1568/getInfo.php?workbook=11_02.xlsx&amp;sheet=U0&amp;row=1064&amp;col=7&amp;number=0.0361&amp;sourceID=14","0.0361")</f>
        <v>0.0361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HYPERLINK("http://141.218.60.56/~jnz1568/getInfo.php?workbook=11_02.xlsx&amp;sheet=U0&amp;row=1065&amp;col=6&amp;number=3.1&amp;sourceID=14","3.1")</f>
        <v>3.1</v>
      </c>
      <c r="G1065" s="4" t="str">
        <f>HYPERLINK("http://141.218.60.56/~jnz1568/getInfo.php?workbook=11_02.xlsx&amp;sheet=U0&amp;row=1065&amp;col=7&amp;number=0.036&amp;sourceID=14","0.036")</f>
        <v>0.036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HYPERLINK("http://141.218.60.56/~jnz1568/getInfo.php?workbook=11_02.xlsx&amp;sheet=U0&amp;row=1066&amp;col=6&amp;number=3.2&amp;sourceID=14","3.2")</f>
        <v>3.2</v>
      </c>
      <c r="G1066" s="4" t="str">
        <f>HYPERLINK("http://141.218.60.56/~jnz1568/getInfo.php?workbook=11_02.xlsx&amp;sheet=U0&amp;row=1066&amp;col=7&amp;number=0.036&amp;sourceID=14","0.036")</f>
        <v>0.036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HYPERLINK("http://141.218.60.56/~jnz1568/getInfo.php?workbook=11_02.xlsx&amp;sheet=U0&amp;row=1067&amp;col=6&amp;number=3.3&amp;sourceID=14","3.3")</f>
        <v>3.3</v>
      </c>
      <c r="G1067" s="4" t="str">
        <f>HYPERLINK("http://141.218.60.56/~jnz1568/getInfo.php?workbook=11_02.xlsx&amp;sheet=U0&amp;row=1067&amp;col=7&amp;number=0.0359&amp;sourceID=14","0.0359")</f>
        <v>0.0359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HYPERLINK("http://141.218.60.56/~jnz1568/getInfo.php?workbook=11_02.xlsx&amp;sheet=U0&amp;row=1068&amp;col=6&amp;number=3.4&amp;sourceID=14","3.4")</f>
        <v>3.4</v>
      </c>
      <c r="G1068" s="4" t="str">
        <f>HYPERLINK("http://141.218.60.56/~jnz1568/getInfo.php?workbook=11_02.xlsx&amp;sheet=U0&amp;row=1068&amp;col=7&amp;number=0.0358&amp;sourceID=14","0.0358")</f>
        <v>0.0358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HYPERLINK("http://141.218.60.56/~jnz1568/getInfo.php?workbook=11_02.xlsx&amp;sheet=U0&amp;row=1069&amp;col=6&amp;number=3.5&amp;sourceID=14","3.5")</f>
        <v>3.5</v>
      </c>
      <c r="G1069" s="4" t="str">
        <f>HYPERLINK("http://141.218.60.56/~jnz1568/getInfo.php?workbook=11_02.xlsx&amp;sheet=U0&amp;row=1069&amp;col=7&amp;number=0.0357&amp;sourceID=14","0.0357")</f>
        <v>0.0357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HYPERLINK("http://141.218.60.56/~jnz1568/getInfo.php?workbook=11_02.xlsx&amp;sheet=U0&amp;row=1070&amp;col=6&amp;number=3.6&amp;sourceID=14","3.6")</f>
        <v>3.6</v>
      </c>
      <c r="G1070" s="4" t="str">
        <f>HYPERLINK("http://141.218.60.56/~jnz1568/getInfo.php?workbook=11_02.xlsx&amp;sheet=U0&amp;row=1070&amp;col=7&amp;number=0.0356&amp;sourceID=14","0.0356")</f>
        <v>0.0356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HYPERLINK("http://141.218.60.56/~jnz1568/getInfo.php?workbook=11_02.xlsx&amp;sheet=U0&amp;row=1071&amp;col=6&amp;number=3.7&amp;sourceID=14","3.7")</f>
        <v>3.7</v>
      </c>
      <c r="G1071" s="4" t="str">
        <f>HYPERLINK("http://141.218.60.56/~jnz1568/getInfo.php?workbook=11_02.xlsx&amp;sheet=U0&amp;row=1071&amp;col=7&amp;number=0.0354&amp;sourceID=14","0.0354")</f>
        <v>0.0354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HYPERLINK("http://141.218.60.56/~jnz1568/getInfo.php?workbook=11_02.xlsx&amp;sheet=U0&amp;row=1072&amp;col=6&amp;number=3.8&amp;sourceID=14","3.8")</f>
        <v>3.8</v>
      </c>
      <c r="G1072" s="4" t="str">
        <f>HYPERLINK("http://141.218.60.56/~jnz1568/getInfo.php?workbook=11_02.xlsx&amp;sheet=U0&amp;row=1072&amp;col=7&amp;number=0.0352&amp;sourceID=14","0.0352")</f>
        <v>0.0352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HYPERLINK("http://141.218.60.56/~jnz1568/getInfo.php?workbook=11_02.xlsx&amp;sheet=U0&amp;row=1073&amp;col=6&amp;number=3.9&amp;sourceID=14","3.9")</f>
        <v>3.9</v>
      </c>
      <c r="G1073" s="4" t="str">
        <f>HYPERLINK("http://141.218.60.56/~jnz1568/getInfo.php?workbook=11_02.xlsx&amp;sheet=U0&amp;row=1073&amp;col=7&amp;number=0.0349&amp;sourceID=14","0.0349")</f>
        <v>0.0349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HYPERLINK("http://141.218.60.56/~jnz1568/getInfo.php?workbook=11_02.xlsx&amp;sheet=U0&amp;row=1074&amp;col=6&amp;number=4&amp;sourceID=14","4")</f>
        <v>4</v>
      </c>
      <c r="G1074" s="4" t="str">
        <f>HYPERLINK("http://141.218.60.56/~jnz1568/getInfo.php?workbook=11_02.xlsx&amp;sheet=U0&amp;row=1074&amp;col=7&amp;number=0.0346&amp;sourceID=14","0.0346")</f>
        <v>0.0346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HYPERLINK("http://141.218.60.56/~jnz1568/getInfo.php?workbook=11_02.xlsx&amp;sheet=U0&amp;row=1075&amp;col=6&amp;number=4.1&amp;sourceID=14","4.1")</f>
        <v>4.1</v>
      </c>
      <c r="G1075" s="4" t="str">
        <f>HYPERLINK("http://141.218.60.56/~jnz1568/getInfo.php?workbook=11_02.xlsx&amp;sheet=U0&amp;row=1075&amp;col=7&amp;number=0.0342&amp;sourceID=14","0.0342")</f>
        <v>0.0342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HYPERLINK("http://141.218.60.56/~jnz1568/getInfo.php?workbook=11_02.xlsx&amp;sheet=U0&amp;row=1076&amp;col=6&amp;number=4.2&amp;sourceID=14","4.2")</f>
        <v>4.2</v>
      </c>
      <c r="G1076" s="4" t="str">
        <f>HYPERLINK("http://141.218.60.56/~jnz1568/getInfo.php?workbook=11_02.xlsx&amp;sheet=U0&amp;row=1076&amp;col=7&amp;number=0.0337&amp;sourceID=14","0.0337")</f>
        <v>0.0337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HYPERLINK("http://141.218.60.56/~jnz1568/getInfo.php?workbook=11_02.xlsx&amp;sheet=U0&amp;row=1077&amp;col=6&amp;number=4.3&amp;sourceID=14","4.3")</f>
        <v>4.3</v>
      </c>
      <c r="G1077" s="4" t="str">
        <f>HYPERLINK("http://141.218.60.56/~jnz1568/getInfo.php?workbook=11_02.xlsx&amp;sheet=U0&amp;row=1077&amp;col=7&amp;number=0.033&amp;sourceID=14","0.033")</f>
        <v>0.033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HYPERLINK("http://141.218.60.56/~jnz1568/getInfo.php?workbook=11_02.xlsx&amp;sheet=U0&amp;row=1078&amp;col=6&amp;number=4.4&amp;sourceID=14","4.4")</f>
        <v>4.4</v>
      </c>
      <c r="G1078" s="4" t="str">
        <f>HYPERLINK("http://141.218.60.56/~jnz1568/getInfo.php?workbook=11_02.xlsx&amp;sheet=U0&amp;row=1078&amp;col=7&amp;number=0.0322&amp;sourceID=14","0.0322")</f>
        <v>0.0322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HYPERLINK("http://141.218.60.56/~jnz1568/getInfo.php?workbook=11_02.xlsx&amp;sheet=U0&amp;row=1079&amp;col=6&amp;number=4.5&amp;sourceID=14","4.5")</f>
        <v>4.5</v>
      </c>
      <c r="G1079" s="4" t="str">
        <f>HYPERLINK("http://141.218.60.56/~jnz1568/getInfo.php?workbook=11_02.xlsx&amp;sheet=U0&amp;row=1079&amp;col=7&amp;number=0.0312&amp;sourceID=14","0.0312")</f>
        <v>0.0312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HYPERLINK("http://141.218.60.56/~jnz1568/getInfo.php?workbook=11_02.xlsx&amp;sheet=U0&amp;row=1080&amp;col=6&amp;number=4.6&amp;sourceID=14","4.6")</f>
        <v>4.6</v>
      </c>
      <c r="G1080" s="4" t="str">
        <f>HYPERLINK("http://141.218.60.56/~jnz1568/getInfo.php?workbook=11_02.xlsx&amp;sheet=U0&amp;row=1080&amp;col=7&amp;number=0.0301&amp;sourceID=14","0.0301")</f>
        <v>0.0301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HYPERLINK("http://141.218.60.56/~jnz1568/getInfo.php?workbook=11_02.xlsx&amp;sheet=U0&amp;row=1081&amp;col=6&amp;number=4.7&amp;sourceID=14","4.7")</f>
        <v>4.7</v>
      </c>
      <c r="G1081" s="4" t="str">
        <f>HYPERLINK("http://141.218.60.56/~jnz1568/getInfo.php?workbook=11_02.xlsx&amp;sheet=U0&amp;row=1081&amp;col=7&amp;number=0.0286&amp;sourceID=14","0.0286")</f>
        <v>0.0286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HYPERLINK("http://141.218.60.56/~jnz1568/getInfo.php?workbook=11_02.xlsx&amp;sheet=U0&amp;row=1082&amp;col=6&amp;number=4.8&amp;sourceID=14","4.8")</f>
        <v>4.8</v>
      </c>
      <c r="G1082" s="4" t="str">
        <f>HYPERLINK("http://141.218.60.56/~jnz1568/getInfo.php?workbook=11_02.xlsx&amp;sheet=U0&amp;row=1082&amp;col=7&amp;number=0.0269&amp;sourceID=14","0.0269")</f>
        <v>0.0269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HYPERLINK("http://141.218.60.56/~jnz1568/getInfo.php?workbook=11_02.xlsx&amp;sheet=U0&amp;row=1083&amp;col=6&amp;number=4.9&amp;sourceID=14","4.9")</f>
        <v>4.9</v>
      </c>
      <c r="G1083" s="4" t="str">
        <f>HYPERLINK("http://141.218.60.56/~jnz1568/getInfo.php?workbook=11_02.xlsx&amp;sheet=U0&amp;row=1083&amp;col=7&amp;number=0.0249&amp;sourceID=14","0.0249")</f>
        <v>0.0249</v>
      </c>
    </row>
    <row r="1084" spans="1:7">
      <c r="A1084" s="3">
        <v>11</v>
      </c>
      <c r="B1084" s="3">
        <v>2</v>
      </c>
      <c r="C1084" s="3">
        <v>6</v>
      </c>
      <c r="D1084" s="3">
        <v>9</v>
      </c>
      <c r="E1084" s="3">
        <v>1</v>
      </c>
      <c r="F1084" s="4" t="str">
        <f>HYPERLINK("http://141.218.60.56/~jnz1568/getInfo.php?workbook=11_02.xlsx&amp;sheet=U0&amp;row=1084&amp;col=6&amp;number=3&amp;sourceID=14","3")</f>
        <v>3</v>
      </c>
      <c r="G1084" s="4" t="str">
        <f>HYPERLINK("http://141.218.60.56/~jnz1568/getInfo.php?workbook=11_02.xlsx&amp;sheet=U0&amp;row=1084&amp;col=7&amp;number=0.00217&amp;sourceID=14","0.00217")</f>
        <v>0.00217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HYPERLINK("http://141.218.60.56/~jnz1568/getInfo.php?workbook=11_02.xlsx&amp;sheet=U0&amp;row=1085&amp;col=6&amp;number=3.1&amp;sourceID=14","3.1")</f>
        <v>3.1</v>
      </c>
      <c r="G1085" s="4" t="str">
        <f>HYPERLINK("http://141.218.60.56/~jnz1568/getInfo.php?workbook=11_02.xlsx&amp;sheet=U0&amp;row=1085&amp;col=7&amp;number=0.00217&amp;sourceID=14","0.00217")</f>
        <v>0.00217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HYPERLINK("http://141.218.60.56/~jnz1568/getInfo.php?workbook=11_02.xlsx&amp;sheet=U0&amp;row=1086&amp;col=6&amp;number=3.2&amp;sourceID=14","3.2")</f>
        <v>3.2</v>
      </c>
      <c r="G1086" s="4" t="str">
        <f>HYPERLINK("http://141.218.60.56/~jnz1568/getInfo.php?workbook=11_02.xlsx&amp;sheet=U0&amp;row=1086&amp;col=7&amp;number=0.00217&amp;sourceID=14","0.00217")</f>
        <v>0.00217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HYPERLINK("http://141.218.60.56/~jnz1568/getInfo.php?workbook=11_02.xlsx&amp;sheet=U0&amp;row=1087&amp;col=6&amp;number=3.3&amp;sourceID=14","3.3")</f>
        <v>3.3</v>
      </c>
      <c r="G1087" s="4" t="str">
        <f>HYPERLINK("http://141.218.60.56/~jnz1568/getInfo.php?workbook=11_02.xlsx&amp;sheet=U0&amp;row=1087&amp;col=7&amp;number=0.00217&amp;sourceID=14","0.00217")</f>
        <v>0.00217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HYPERLINK("http://141.218.60.56/~jnz1568/getInfo.php?workbook=11_02.xlsx&amp;sheet=U0&amp;row=1088&amp;col=6&amp;number=3.4&amp;sourceID=14","3.4")</f>
        <v>3.4</v>
      </c>
      <c r="G1088" s="4" t="str">
        <f>HYPERLINK("http://141.218.60.56/~jnz1568/getInfo.php?workbook=11_02.xlsx&amp;sheet=U0&amp;row=1088&amp;col=7&amp;number=0.00216&amp;sourceID=14","0.00216")</f>
        <v>0.00216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HYPERLINK("http://141.218.60.56/~jnz1568/getInfo.php?workbook=11_02.xlsx&amp;sheet=U0&amp;row=1089&amp;col=6&amp;number=3.5&amp;sourceID=14","3.5")</f>
        <v>3.5</v>
      </c>
      <c r="G1089" s="4" t="str">
        <f>HYPERLINK("http://141.218.60.56/~jnz1568/getInfo.php?workbook=11_02.xlsx&amp;sheet=U0&amp;row=1089&amp;col=7&amp;number=0.00216&amp;sourceID=14","0.00216")</f>
        <v>0.00216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HYPERLINK("http://141.218.60.56/~jnz1568/getInfo.php?workbook=11_02.xlsx&amp;sheet=U0&amp;row=1090&amp;col=6&amp;number=3.6&amp;sourceID=14","3.6")</f>
        <v>3.6</v>
      </c>
      <c r="G1090" s="4" t="str">
        <f>HYPERLINK("http://141.218.60.56/~jnz1568/getInfo.php?workbook=11_02.xlsx&amp;sheet=U0&amp;row=1090&amp;col=7&amp;number=0.00216&amp;sourceID=14","0.00216")</f>
        <v>0.00216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HYPERLINK("http://141.218.60.56/~jnz1568/getInfo.php?workbook=11_02.xlsx&amp;sheet=U0&amp;row=1091&amp;col=6&amp;number=3.7&amp;sourceID=14","3.7")</f>
        <v>3.7</v>
      </c>
      <c r="G1091" s="4" t="str">
        <f>HYPERLINK("http://141.218.60.56/~jnz1568/getInfo.php?workbook=11_02.xlsx&amp;sheet=U0&amp;row=1091&amp;col=7&amp;number=0.00216&amp;sourceID=14","0.00216")</f>
        <v>0.00216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HYPERLINK("http://141.218.60.56/~jnz1568/getInfo.php?workbook=11_02.xlsx&amp;sheet=U0&amp;row=1092&amp;col=6&amp;number=3.8&amp;sourceID=14","3.8")</f>
        <v>3.8</v>
      </c>
      <c r="G1092" s="4" t="str">
        <f>HYPERLINK("http://141.218.60.56/~jnz1568/getInfo.php?workbook=11_02.xlsx&amp;sheet=U0&amp;row=1092&amp;col=7&amp;number=0.00216&amp;sourceID=14","0.00216")</f>
        <v>0.00216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HYPERLINK("http://141.218.60.56/~jnz1568/getInfo.php?workbook=11_02.xlsx&amp;sheet=U0&amp;row=1093&amp;col=6&amp;number=3.9&amp;sourceID=14","3.9")</f>
        <v>3.9</v>
      </c>
      <c r="G1093" s="4" t="str">
        <f>HYPERLINK("http://141.218.60.56/~jnz1568/getInfo.php?workbook=11_02.xlsx&amp;sheet=U0&amp;row=1093&amp;col=7&amp;number=0.00215&amp;sourceID=14","0.00215")</f>
        <v>0.00215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HYPERLINK("http://141.218.60.56/~jnz1568/getInfo.php?workbook=11_02.xlsx&amp;sheet=U0&amp;row=1094&amp;col=6&amp;number=4&amp;sourceID=14","4")</f>
        <v>4</v>
      </c>
      <c r="G1094" s="4" t="str">
        <f>HYPERLINK("http://141.218.60.56/~jnz1568/getInfo.php?workbook=11_02.xlsx&amp;sheet=U0&amp;row=1094&amp;col=7&amp;number=0.00215&amp;sourceID=14","0.00215")</f>
        <v>0.00215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HYPERLINK("http://141.218.60.56/~jnz1568/getInfo.php?workbook=11_02.xlsx&amp;sheet=U0&amp;row=1095&amp;col=6&amp;number=4.1&amp;sourceID=14","4.1")</f>
        <v>4.1</v>
      </c>
      <c r="G1095" s="4" t="str">
        <f>HYPERLINK("http://141.218.60.56/~jnz1568/getInfo.php?workbook=11_02.xlsx&amp;sheet=U0&amp;row=1095&amp;col=7&amp;number=0.00214&amp;sourceID=14","0.00214")</f>
        <v>0.00214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HYPERLINK("http://141.218.60.56/~jnz1568/getInfo.php?workbook=11_02.xlsx&amp;sheet=U0&amp;row=1096&amp;col=6&amp;number=4.2&amp;sourceID=14","4.2")</f>
        <v>4.2</v>
      </c>
      <c r="G1096" s="4" t="str">
        <f>HYPERLINK("http://141.218.60.56/~jnz1568/getInfo.php?workbook=11_02.xlsx&amp;sheet=U0&amp;row=1096&amp;col=7&amp;number=0.00213&amp;sourceID=14","0.00213")</f>
        <v>0.00213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HYPERLINK("http://141.218.60.56/~jnz1568/getInfo.php?workbook=11_02.xlsx&amp;sheet=U0&amp;row=1097&amp;col=6&amp;number=4.3&amp;sourceID=14","4.3")</f>
        <v>4.3</v>
      </c>
      <c r="G1097" s="4" t="str">
        <f>HYPERLINK("http://141.218.60.56/~jnz1568/getInfo.php?workbook=11_02.xlsx&amp;sheet=U0&amp;row=1097&amp;col=7&amp;number=0.00212&amp;sourceID=14","0.00212")</f>
        <v>0.00212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HYPERLINK("http://141.218.60.56/~jnz1568/getInfo.php?workbook=11_02.xlsx&amp;sheet=U0&amp;row=1098&amp;col=6&amp;number=4.4&amp;sourceID=14","4.4")</f>
        <v>4.4</v>
      </c>
      <c r="G1098" s="4" t="str">
        <f>HYPERLINK("http://141.218.60.56/~jnz1568/getInfo.php?workbook=11_02.xlsx&amp;sheet=U0&amp;row=1098&amp;col=7&amp;number=0.00211&amp;sourceID=14","0.00211")</f>
        <v>0.00211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HYPERLINK("http://141.218.60.56/~jnz1568/getInfo.php?workbook=11_02.xlsx&amp;sheet=U0&amp;row=1099&amp;col=6&amp;number=4.5&amp;sourceID=14","4.5")</f>
        <v>4.5</v>
      </c>
      <c r="G1099" s="4" t="str">
        <f>HYPERLINK("http://141.218.60.56/~jnz1568/getInfo.php?workbook=11_02.xlsx&amp;sheet=U0&amp;row=1099&amp;col=7&amp;number=0.0021&amp;sourceID=14","0.0021")</f>
        <v>0.0021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HYPERLINK("http://141.218.60.56/~jnz1568/getInfo.php?workbook=11_02.xlsx&amp;sheet=U0&amp;row=1100&amp;col=6&amp;number=4.6&amp;sourceID=14","4.6")</f>
        <v>4.6</v>
      </c>
      <c r="G1100" s="4" t="str">
        <f>HYPERLINK("http://141.218.60.56/~jnz1568/getInfo.php?workbook=11_02.xlsx&amp;sheet=U0&amp;row=1100&amp;col=7&amp;number=0.00208&amp;sourceID=14","0.00208")</f>
        <v>0.00208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HYPERLINK("http://141.218.60.56/~jnz1568/getInfo.php?workbook=11_02.xlsx&amp;sheet=U0&amp;row=1101&amp;col=6&amp;number=4.7&amp;sourceID=14","4.7")</f>
        <v>4.7</v>
      </c>
      <c r="G1101" s="4" t="str">
        <f>HYPERLINK("http://141.218.60.56/~jnz1568/getInfo.php?workbook=11_02.xlsx&amp;sheet=U0&amp;row=1101&amp;col=7&amp;number=0.00205&amp;sourceID=14","0.00205")</f>
        <v>0.00205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HYPERLINK("http://141.218.60.56/~jnz1568/getInfo.php?workbook=11_02.xlsx&amp;sheet=U0&amp;row=1102&amp;col=6&amp;number=4.8&amp;sourceID=14","4.8")</f>
        <v>4.8</v>
      </c>
      <c r="G1102" s="4" t="str">
        <f>HYPERLINK("http://141.218.60.56/~jnz1568/getInfo.php?workbook=11_02.xlsx&amp;sheet=U0&amp;row=1102&amp;col=7&amp;number=0.00203&amp;sourceID=14","0.00203")</f>
        <v>0.00203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HYPERLINK("http://141.218.60.56/~jnz1568/getInfo.php?workbook=11_02.xlsx&amp;sheet=U0&amp;row=1103&amp;col=6&amp;number=4.9&amp;sourceID=14","4.9")</f>
        <v>4.9</v>
      </c>
      <c r="G1103" s="4" t="str">
        <f>HYPERLINK("http://141.218.60.56/~jnz1568/getInfo.php?workbook=11_02.xlsx&amp;sheet=U0&amp;row=1103&amp;col=7&amp;number=0.00199&amp;sourceID=14","0.00199")</f>
        <v>0.00199</v>
      </c>
    </row>
    <row r="1104" spans="1:7">
      <c r="A1104" s="3">
        <v>11</v>
      </c>
      <c r="B1104" s="3">
        <v>2</v>
      </c>
      <c r="C1104" s="3">
        <v>6</v>
      </c>
      <c r="D1104" s="3">
        <v>10</v>
      </c>
      <c r="E1104" s="3">
        <v>1</v>
      </c>
      <c r="F1104" s="4" t="str">
        <f>HYPERLINK("http://141.218.60.56/~jnz1568/getInfo.php?workbook=11_02.xlsx&amp;sheet=U0&amp;row=1104&amp;col=6&amp;number=3&amp;sourceID=14","3")</f>
        <v>3</v>
      </c>
      <c r="G1104" s="4" t="str">
        <f>HYPERLINK("http://141.218.60.56/~jnz1568/getInfo.php?workbook=11_02.xlsx&amp;sheet=U0&amp;row=1104&amp;col=7&amp;number=0.00675&amp;sourceID=14","0.00675")</f>
        <v>0.00675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HYPERLINK("http://141.218.60.56/~jnz1568/getInfo.php?workbook=11_02.xlsx&amp;sheet=U0&amp;row=1105&amp;col=6&amp;number=3.1&amp;sourceID=14","3.1")</f>
        <v>3.1</v>
      </c>
      <c r="G1105" s="4" t="str">
        <f>HYPERLINK("http://141.218.60.56/~jnz1568/getInfo.php?workbook=11_02.xlsx&amp;sheet=U0&amp;row=1105&amp;col=7&amp;number=0.00675&amp;sourceID=14","0.00675")</f>
        <v>0.00675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HYPERLINK("http://141.218.60.56/~jnz1568/getInfo.php?workbook=11_02.xlsx&amp;sheet=U0&amp;row=1106&amp;col=6&amp;number=3.2&amp;sourceID=14","3.2")</f>
        <v>3.2</v>
      </c>
      <c r="G1106" s="4" t="str">
        <f>HYPERLINK("http://141.218.60.56/~jnz1568/getInfo.php?workbook=11_02.xlsx&amp;sheet=U0&amp;row=1106&amp;col=7&amp;number=0.00675&amp;sourceID=14","0.00675")</f>
        <v>0.00675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HYPERLINK("http://141.218.60.56/~jnz1568/getInfo.php?workbook=11_02.xlsx&amp;sheet=U0&amp;row=1107&amp;col=6&amp;number=3.3&amp;sourceID=14","3.3")</f>
        <v>3.3</v>
      </c>
      <c r="G1107" s="4" t="str">
        <f>HYPERLINK("http://141.218.60.56/~jnz1568/getInfo.php?workbook=11_02.xlsx&amp;sheet=U0&amp;row=1107&amp;col=7&amp;number=0.00674&amp;sourceID=14","0.00674")</f>
        <v>0.00674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HYPERLINK("http://141.218.60.56/~jnz1568/getInfo.php?workbook=11_02.xlsx&amp;sheet=U0&amp;row=1108&amp;col=6&amp;number=3.4&amp;sourceID=14","3.4")</f>
        <v>3.4</v>
      </c>
      <c r="G1108" s="4" t="str">
        <f>HYPERLINK("http://141.218.60.56/~jnz1568/getInfo.php?workbook=11_02.xlsx&amp;sheet=U0&amp;row=1108&amp;col=7&amp;number=0.00674&amp;sourceID=14","0.00674")</f>
        <v>0.00674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HYPERLINK("http://141.218.60.56/~jnz1568/getInfo.php?workbook=11_02.xlsx&amp;sheet=U0&amp;row=1109&amp;col=6&amp;number=3.5&amp;sourceID=14","3.5")</f>
        <v>3.5</v>
      </c>
      <c r="G1109" s="4" t="str">
        <f>HYPERLINK("http://141.218.60.56/~jnz1568/getInfo.php?workbook=11_02.xlsx&amp;sheet=U0&amp;row=1109&amp;col=7&amp;number=0.00674&amp;sourceID=14","0.00674")</f>
        <v>0.00674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HYPERLINK("http://141.218.60.56/~jnz1568/getInfo.php?workbook=11_02.xlsx&amp;sheet=U0&amp;row=1110&amp;col=6&amp;number=3.6&amp;sourceID=14","3.6")</f>
        <v>3.6</v>
      </c>
      <c r="G1110" s="4" t="str">
        <f>HYPERLINK("http://141.218.60.56/~jnz1568/getInfo.php?workbook=11_02.xlsx&amp;sheet=U0&amp;row=1110&amp;col=7&amp;number=0.00673&amp;sourceID=14","0.00673")</f>
        <v>0.00673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HYPERLINK("http://141.218.60.56/~jnz1568/getInfo.php?workbook=11_02.xlsx&amp;sheet=U0&amp;row=1111&amp;col=6&amp;number=3.7&amp;sourceID=14","3.7")</f>
        <v>3.7</v>
      </c>
      <c r="G1111" s="4" t="str">
        <f>HYPERLINK("http://141.218.60.56/~jnz1568/getInfo.php?workbook=11_02.xlsx&amp;sheet=U0&amp;row=1111&amp;col=7&amp;number=0.00672&amp;sourceID=14","0.00672")</f>
        <v>0.00672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HYPERLINK("http://141.218.60.56/~jnz1568/getInfo.php?workbook=11_02.xlsx&amp;sheet=U0&amp;row=1112&amp;col=6&amp;number=3.8&amp;sourceID=14","3.8")</f>
        <v>3.8</v>
      </c>
      <c r="G1112" s="4" t="str">
        <f>HYPERLINK("http://141.218.60.56/~jnz1568/getInfo.php?workbook=11_02.xlsx&amp;sheet=U0&amp;row=1112&amp;col=7&amp;number=0.00672&amp;sourceID=14","0.00672")</f>
        <v>0.00672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HYPERLINK("http://141.218.60.56/~jnz1568/getInfo.php?workbook=11_02.xlsx&amp;sheet=U0&amp;row=1113&amp;col=6&amp;number=3.9&amp;sourceID=14","3.9")</f>
        <v>3.9</v>
      </c>
      <c r="G1113" s="4" t="str">
        <f>HYPERLINK("http://141.218.60.56/~jnz1568/getInfo.php?workbook=11_02.xlsx&amp;sheet=U0&amp;row=1113&amp;col=7&amp;number=0.0067&amp;sourceID=14","0.0067")</f>
        <v>0.0067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HYPERLINK("http://141.218.60.56/~jnz1568/getInfo.php?workbook=11_02.xlsx&amp;sheet=U0&amp;row=1114&amp;col=6&amp;number=4&amp;sourceID=14","4")</f>
        <v>4</v>
      </c>
      <c r="G1114" s="4" t="str">
        <f>HYPERLINK("http://141.218.60.56/~jnz1568/getInfo.php?workbook=11_02.xlsx&amp;sheet=U0&amp;row=1114&amp;col=7&amp;number=0.00669&amp;sourceID=14","0.00669")</f>
        <v>0.00669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HYPERLINK("http://141.218.60.56/~jnz1568/getInfo.php?workbook=11_02.xlsx&amp;sheet=U0&amp;row=1115&amp;col=6&amp;number=4.1&amp;sourceID=14","4.1")</f>
        <v>4.1</v>
      </c>
      <c r="G1115" s="4" t="str">
        <f>HYPERLINK("http://141.218.60.56/~jnz1568/getInfo.php?workbook=11_02.xlsx&amp;sheet=U0&amp;row=1115&amp;col=7&amp;number=0.00667&amp;sourceID=14","0.00667")</f>
        <v>0.00667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HYPERLINK("http://141.218.60.56/~jnz1568/getInfo.php?workbook=11_02.xlsx&amp;sheet=U0&amp;row=1116&amp;col=6&amp;number=4.2&amp;sourceID=14","4.2")</f>
        <v>4.2</v>
      </c>
      <c r="G1116" s="4" t="str">
        <f>HYPERLINK("http://141.218.60.56/~jnz1568/getInfo.php?workbook=11_02.xlsx&amp;sheet=U0&amp;row=1116&amp;col=7&amp;number=0.00665&amp;sourceID=14","0.00665")</f>
        <v>0.00665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HYPERLINK("http://141.218.60.56/~jnz1568/getInfo.php?workbook=11_02.xlsx&amp;sheet=U0&amp;row=1117&amp;col=6&amp;number=4.3&amp;sourceID=14","4.3")</f>
        <v>4.3</v>
      </c>
      <c r="G1117" s="4" t="str">
        <f>HYPERLINK("http://141.218.60.56/~jnz1568/getInfo.php?workbook=11_02.xlsx&amp;sheet=U0&amp;row=1117&amp;col=7&amp;number=0.00663&amp;sourceID=14","0.00663")</f>
        <v>0.00663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HYPERLINK("http://141.218.60.56/~jnz1568/getInfo.php?workbook=11_02.xlsx&amp;sheet=U0&amp;row=1118&amp;col=6&amp;number=4.4&amp;sourceID=14","4.4")</f>
        <v>4.4</v>
      </c>
      <c r="G1118" s="4" t="str">
        <f>HYPERLINK("http://141.218.60.56/~jnz1568/getInfo.php?workbook=11_02.xlsx&amp;sheet=U0&amp;row=1118&amp;col=7&amp;number=0.0066&amp;sourceID=14","0.0066")</f>
        <v>0.0066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HYPERLINK("http://141.218.60.56/~jnz1568/getInfo.php?workbook=11_02.xlsx&amp;sheet=U0&amp;row=1119&amp;col=6&amp;number=4.5&amp;sourceID=14","4.5")</f>
        <v>4.5</v>
      </c>
      <c r="G1119" s="4" t="str">
        <f>HYPERLINK("http://141.218.60.56/~jnz1568/getInfo.php?workbook=11_02.xlsx&amp;sheet=U0&amp;row=1119&amp;col=7&amp;number=0.00655&amp;sourceID=14","0.00655")</f>
        <v>0.00655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HYPERLINK("http://141.218.60.56/~jnz1568/getInfo.php?workbook=11_02.xlsx&amp;sheet=U0&amp;row=1120&amp;col=6&amp;number=4.6&amp;sourceID=14","4.6")</f>
        <v>4.6</v>
      </c>
      <c r="G1120" s="4" t="str">
        <f>HYPERLINK("http://141.218.60.56/~jnz1568/getInfo.php?workbook=11_02.xlsx&amp;sheet=U0&amp;row=1120&amp;col=7&amp;number=0.0065&amp;sourceID=14","0.0065")</f>
        <v>0.0065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HYPERLINK("http://141.218.60.56/~jnz1568/getInfo.php?workbook=11_02.xlsx&amp;sheet=U0&amp;row=1121&amp;col=6&amp;number=4.7&amp;sourceID=14","4.7")</f>
        <v>4.7</v>
      </c>
      <c r="G1121" s="4" t="str">
        <f>HYPERLINK("http://141.218.60.56/~jnz1568/getInfo.php?workbook=11_02.xlsx&amp;sheet=U0&amp;row=1121&amp;col=7&amp;number=0.00644&amp;sourceID=14","0.00644")</f>
        <v>0.00644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HYPERLINK("http://141.218.60.56/~jnz1568/getInfo.php?workbook=11_02.xlsx&amp;sheet=U0&amp;row=1122&amp;col=6&amp;number=4.8&amp;sourceID=14","4.8")</f>
        <v>4.8</v>
      </c>
      <c r="G1122" s="4" t="str">
        <f>HYPERLINK("http://141.218.60.56/~jnz1568/getInfo.php?workbook=11_02.xlsx&amp;sheet=U0&amp;row=1122&amp;col=7&amp;number=0.00636&amp;sourceID=14","0.00636")</f>
        <v>0.00636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HYPERLINK("http://141.218.60.56/~jnz1568/getInfo.php?workbook=11_02.xlsx&amp;sheet=U0&amp;row=1123&amp;col=6&amp;number=4.9&amp;sourceID=14","4.9")</f>
        <v>4.9</v>
      </c>
      <c r="G1123" s="4" t="str">
        <f>HYPERLINK("http://141.218.60.56/~jnz1568/getInfo.php?workbook=11_02.xlsx&amp;sheet=U0&amp;row=1123&amp;col=7&amp;number=0.00627&amp;sourceID=14","0.00627")</f>
        <v>0.00627</v>
      </c>
    </row>
    <row r="1124" spans="1:7">
      <c r="A1124" s="3">
        <v>11</v>
      </c>
      <c r="B1124" s="3">
        <v>2</v>
      </c>
      <c r="C1124" s="3">
        <v>6</v>
      </c>
      <c r="D1124" s="3">
        <v>11</v>
      </c>
      <c r="E1124" s="3">
        <v>1</v>
      </c>
      <c r="F1124" s="4" t="str">
        <f>HYPERLINK("http://141.218.60.56/~jnz1568/getInfo.php?workbook=11_02.xlsx&amp;sheet=U0&amp;row=1124&amp;col=6&amp;number=3&amp;sourceID=14","3")</f>
        <v>3</v>
      </c>
      <c r="G1124" s="4" t="str">
        <f>HYPERLINK("http://141.218.60.56/~jnz1568/getInfo.php?workbook=11_02.xlsx&amp;sheet=U0&amp;row=1124&amp;col=7&amp;number=0.00963&amp;sourceID=14","0.00963")</f>
        <v>0.00963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HYPERLINK("http://141.218.60.56/~jnz1568/getInfo.php?workbook=11_02.xlsx&amp;sheet=U0&amp;row=1125&amp;col=6&amp;number=3.1&amp;sourceID=14","3.1")</f>
        <v>3.1</v>
      </c>
      <c r="G1125" s="4" t="str">
        <f>HYPERLINK("http://141.218.60.56/~jnz1568/getInfo.php?workbook=11_02.xlsx&amp;sheet=U0&amp;row=1125&amp;col=7&amp;number=0.00963&amp;sourceID=14","0.00963")</f>
        <v>0.00963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HYPERLINK("http://141.218.60.56/~jnz1568/getInfo.php?workbook=11_02.xlsx&amp;sheet=U0&amp;row=1126&amp;col=6&amp;number=3.2&amp;sourceID=14","3.2")</f>
        <v>3.2</v>
      </c>
      <c r="G1126" s="4" t="str">
        <f>HYPERLINK("http://141.218.60.56/~jnz1568/getInfo.php?workbook=11_02.xlsx&amp;sheet=U0&amp;row=1126&amp;col=7&amp;number=0.00963&amp;sourceID=14","0.00963")</f>
        <v>0.00963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HYPERLINK("http://141.218.60.56/~jnz1568/getInfo.php?workbook=11_02.xlsx&amp;sheet=U0&amp;row=1127&amp;col=6&amp;number=3.3&amp;sourceID=14","3.3")</f>
        <v>3.3</v>
      </c>
      <c r="G1127" s="4" t="str">
        <f>HYPERLINK("http://141.218.60.56/~jnz1568/getInfo.php?workbook=11_02.xlsx&amp;sheet=U0&amp;row=1127&amp;col=7&amp;number=0.00963&amp;sourceID=14","0.00963")</f>
        <v>0.00963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HYPERLINK("http://141.218.60.56/~jnz1568/getInfo.php?workbook=11_02.xlsx&amp;sheet=U0&amp;row=1128&amp;col=6&amp;number=3.4&amp;sourceID=14","3.4")</f>
        <v>3.4</v>
      </c>
      <c r="G1128" s="4" t="str">
        <f>HYPERLINK("http://141.218.60.56/~jnz1568/getInfo.php?workbook=11_02.xlsx&amp;sheet=U0&amp;row=1128&amp;col=7&amp;number=0.00962&amp;sourceID=14","0.00962")</f>
        <v>0.00962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HYPERLINK("http://141.218.60.56/~jnz1568/getInfo.php?workbook=11_02.xlsx&amp;sheet=U0&amp;row=1129&amp;col=6&amp;number=3.5&amp;sourceID=14","3.5")</f>
        <v>3.5</v>
      </c>
      <c r="G1129" s="4" t="str">
        <f>HYPERLINK("http://141.218.60.56/~jnz1568/getInfo.php?workbook=11_02.xlsx&amp;sheet=U0&amp;row=1129&amp;col=7&amp;number=0.00962&amp;sourceID=14","0.00962")</f>
        <v>0.00962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HYPERLINK("http://141.218.60.56/~jnz1568/getInfo.php?workbook=11_02.xlsx&amp;sheet=U0&amp;row=1130&amp;col=6&amp;number=3.6&amp;sourceID=14","3.6")</f>
        <v>3.6</v>
      </c>
      <c r="G1130" s="4" t="str">
        <f>HYPERLINK("http://141.218.60.56/~jnz1568/getInfo.php?workbook=11_02.xlsx&amp;sheet=U0&amp;row=1130&amp;col=7&amp;number=0.00962&amp;sourceID=14","0.00962")</f>
        <v>0.00962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HYPERLINK("http://141.218.60.56/~jnz1568/getInfo.php?workbook=11_02.xlsx&amp;sheet=U0&amp;row=1131&amp;col=6&amp;number=3.7&amp;sourceID=14","3.7")</f>
        <v>3.7</v>
      </c>
      <c r="G1131" s="4" t="str">
        <f>HYPERLINK("http://141.218.60.56/~jnz1568/getInfo.php?workbook=11_02.xlsx&amp;sheet=U0&amp;row=1131&amp;col=7&amp;number=0.00961&amp;sourceID=14","0.00961")</f>
        <v>0.00961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HYPERLINK("http://141.218.60.56/~jnz1568/getInfo.php?workbook=11_02.xlsx&amp;sheet=U0&amp;row=1132&amp;col=6&amp;number=3.8&amp;sourceID=14","3.8")</f>
        <v>3.8</v>
      </c>
      <c r="G1132" s="4" t="str">
        <f>HYPERLINK("http://141.218.60.56/~jnz1568/getInfo.php?workbook=11_02.xlsx&amp;sheet=U0&amp;row=1132&amp;col=7&amp;number=0.0096&amp;sourceID=14","0.0096")</f>
        <v>0.0096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HYPERLINK("http://141.218.60.56/~jnz1568/getInfo.php?workbook=11_02.xlsx&amp;sheet=U0&amp;row=1133&amp;col=6&amp;number=3.9&amp;sourceID=14","3.9")</f>
        <v>3.9</v>
      </c>
      <c r="G1133" s="4" t="str">
        <f>HYPERLINK("http://141.218.60.56/~jnz1568/getInfo.php?workbook=11_02.xlsx&amp;sheet=U0&amp;row=1133&amp;col=7&amp;number=0.00959&amp;sourceID=14","0.00959")</f>
        <v>0.00959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HYPERLINK("http://141.218.60.56/~jnz1568/getInfo.php?workbook=11_02.xlsx&amp;sheet=U0&amp;row=1134&amp;col=6&amp;number=4&amp;sourceID=14","4")</f>
        <v>4</v>
      </c>
      <c r="G1134" s="4" t="str">
        <f>HYPERLINK("http://141.218.60.56/~jnz1568/getInfo.php?workbook=11_02.xlsx&amp;sheet=U0&amp;row=1134&amp;col=7&amp;number=0.00958&amp;sourceID=14","0.00958")</f>
        <v>0.00958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HYPERLINK("http://141.218.60.56/~jnz1568/getInfo.php?workbook=11_02.xlsx&amp;sheet=U0&amp;row=1135&amp;col=6&amp;number=4.1&amp;sourceID=14","4.1")</f>
        <v>4.1</v>
      </c>
      <c r="G1135" s="4" t="str">
        <f>HYPERLINK("http://141.218.60.56/~jnz1568/getInfo.php?workbook=11_02.xlsx&amp;sheet=U0&amp;row=1135&amp;col=7&amp;number=0.00956&amp;sourceID=14","0.00956")</f>
        <v>0.00956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HYPERLINK("http://141.218.60.56/~jnz1568/getInfo.php?workbook=11_02.xlsx&amp;sheet=U0&amp;row=1136&amp;col=6&amp;number=4.2&amp;sourceID=14","4.2")</f>
        <v>4.2</v>
      </c>
      <c r="G1136" s="4" t="str">
        <f>HYPERLINK("http://141.218.60.56/~jnz1568/getInfo.php?workbook=11_02.xlsx&amp;sheet=U0&amp;row=1136&amp;col=7&amp;number=0.00954&amp;sourceID=14","0.00954")</f>
        <v>0.00954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HYPERLINK("http://141.218.60.56/~jnz1568/getInfo.php?workbook=11_02.xlsx&amp;sheet=U0&amp;row=1137&amp;col=6&amp;number=4.3&amp;sourceID=14","4.3")</f>
        <v>4.3</v>
      </c>
      <c r="G1137" s="4" t="str">
        <f>HYPERLINK("http://141.218.60.56/~jnz1568/getInfo.php?workbook=11_02.xlsx&amp;sheet=U0&amp;row=1137&amp;col=7&amp;number=0.00952&amp;sourceID=14","0.00952")</f>
        <v>0.00952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HYPERLINK("http://141.218.60.56/~jnz1568/getInfo.php?workbook=11_02.xlsx&amp;sheet=U0&amp;row=1138&amp;col=6&amp;number=4.4&amp;sourceID=14","4.4")</f>
        <v>4.4</v>
      </c>
      <c r="G1138" s="4" t="str">
        <f>HYPERLINK("http://141.218.60.56/~jnz1568/getInfo.php?workbook=11_02.xlsx&amp;sheet=U0&amp;row=1138&amp;col=7&amp;number=0.00949&amp;sourceID=14","0.00949")</f>
        <v>0.00949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HYPERLINK("http://141.218.60.56/~jnz1568/getInfo.php?workbook=11_02.xlsx&amp;sheet=U0&amp;row=1139&amp;col=6&amp;number=4.5&amp;sourceID=14","4.5")</f>
        <v>4.5</v>
      </c>
      <c r="G1139" s="4" t="str">
        <f>HYPERLINK("http://141.218.60.56/~jnz1568/getInfo.php?workbook=11_02.xlsx&amp;sheet=U0&amp;row=1139&amp;col=7&amp;number=0.00945&amp;sourceID=14","0.00945")</f>
        <v>0.00945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HYPERLINK("http://141.218.60.56/~jnz1568/getInfo.php?workbook=11_02.xlsx&amp;sheet=U0&amp;row=1140&amp;col=6&amp;number=4.6&amp;sourceID=14","4.6")</f>
        <v>4.6</v>
      </c>
      <c r="G1140" s="4" t="str">
        <f>HYPERLINK("http://141.218.60.56/~jnz1568/getInfo.php?workbook=11_02.xlsx&amp;sheet=U0&amp;row=1140&amp;col=7&amp;number=0.0094&amp;sourceID=14","0.0094")</f>
        <v>0.0094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HYPERLINK("http://141.218.60.56/~jnz1568/getInfo.php?workbook=11_02.xlsx&amp;sheet=U0&amp;row=1141&amp;col=6&amp;number=4.7&amp;sourceID=14","4.7")</f>
        <v>4.7</v>
      </c>
      <c r="G1141" s="4" t="str">
        <f>HYPERLINK("http://141.218.60.56/~jnz1568/getInfo.php?workbook=11_02.xlsx&amp;sheet=U0&amp;row=1141&amp;col=7&amp;number=0.00933&amp;sourceID=14","0.00933")</f>
        <v>0.00933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HYPERLINK("http://141.218.60.56/~jnz1568/getInfo.php?workbook=11_02.xlsx&amp;sheet=U0&amp;row=1142&amp;col=6&amp;number=4.8&amp;sourceID=14","4.8")</f>
        <v>4.8</v>
      </c>
      <c r="G1142" s="4" t="str">
        <f>HYPERLINK("http://141.218.60.56/~jnz1568/getInfo.php?workbook=11_02.xlsx&amp;sheet=U0&amp;row=1142&amp;col=7&amp;number=0.00926&amp;sourceID=14","0.00926")</f>
        <v>0.00926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HYPERLINK("http://141.218.60.56/~jnz1568/getInfo.php?workbook=11_02.xlsx&amp;sheet=U0&amp;row=1143&amp;col=6&amp;number=4.9&amp;sourceID=14","4.9")</f>
        <v>4.9</v>
      </c>
      <c r="G1143" s="4" t="str">
        <f>HYPERLINK("http://141.218.60.56/~jnz1568/getInfo.php?workbook=11_02.xlsx&amp;sheet=U0&amp;row=1143&amp;col=7&amp;number=0.00916&amp;sourceID=14","0.00916")</f>
        <v>0.00916</v>
      </c>
    </row>
    <row r="1144" spans="1:7">
      <c r="A1144" s="3">
        <v>11</v>
      </c>
      <c r="B1144" s="3">
        <v>2</v>
      </c>
      <c r="C1144" s="3">
        <v>6</v>
      </c>
      <c r="D1144" s="3">
        <v>12</v>
      </c>
      <c r="E1144" s="3">
        <v>1</v>
      </c>
      <c r="F1144" s="4" t="str">
        <f>HYPERLINK("http://141.218.60.56/~jnz1568/getInfo.php?workbook=11_02.xlsx&amp;sheet=U0&amp;row=1144&amp;col=6&amp;number=3&amp;sourceID=14","3")</f>
        <v>3</v>
      </c>
      <c r="G1144" s="4" t="str">
        <f>HYPERLINK("http://141.218.60.56/~jnz1568/getInfo.php?workbook=11_02.xlsx&amp;sheet=U0&amp;row=1144&amp;col=7&amp;number=0.0397&amp;sourceID=14","0.0397")</f>
        <v>0.0397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HYPERLINK("http://141.218.60.56/~jnz1568/getInfo.php?workbook=11_02.xlsx&amp;sheet=U0&amp;row=1145&amp;col=6&amp;number=3.1&amp;sourceID=14","3.1")</f>
        <v>3.1</v>
      </c>
      <c r="G1145" s="4" t="str">
        <f>HYPERLINK("http://141.218.60.56/~jnz1568/getInfo.php?workbook=11_02.xlsx&amp;sheet=U0&amp;row=1145&amp;col=7&amp;number=0.0397&amp;sourceID=14","0.0397")</f>
        <v>0.0397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HYPERLINK("http://141.218.60.56/~jnz1568/getInfo.php?workbook=11_02.xlsx&amp;sheet=U0&amp;row=1146&amp;col=6&amp;number=3.2&amp;sourceID=14","3.2")</f>
        <v>3.2</v>
      </c>
      <c r="G1146" s="4" t="str">
        <f>HYPERLINK("http://141.218.60.56/~jnz1568/getInfo.php?workbook=11_02.xlsx&amp;sheet=U0&amp;row=1146&amp;col=7&amp;number=0.0397&amp;sourceID=14","0.0397")</f>
        <v>0.0397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HYPERLINK("http://141.218.60.56/~jnz1568/getInfo.php?workbook=11_02.xlsx&amp;sheet=U0&amp;row=1147&amp;col=6&amp;number=3.3&amp;sourceID=14","3.3")</f>
        <v>3.3</v>
      </c>
      <c r="G1147" s="4" t="str">
        <f>HYPERLINK("http://141.218.60.56/~jnz1568/getInfo.php?workbook=11_02.xlsx&amp;sheet=U0&amp;row=1147&amp;col=7&amp;number=0.0397&amp;sourceID=14","0.0397")</f>
        <v>0.0397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HYPERLINK("http://141.218.60.56/~jnz1568/getInfo.php?workbook=11_02.xlsx&amp;sheet=U0&amp;row=1148&amp;col=6&amp;number=3.4&amp;sourceID=14","3.4")</f>
        <v>3.4</v>
      </c>
      <c r="G1148" s="4" t="str">
        <f>HYPERLINK("http://141.218.60.56/~jnz1568/getInfo.php?workbook=11_02.xlsx&amp;sheet=U0&amp;row=1148&amp;col=7&amp;number=0.0397&amp;sourceID=14","0.0397")</f>
        <v>0.0397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HYPERLINK("http://141.218.60.56/~jnz1568/getInfo.php?workbook=11_02.xlsx&amp;sheet=U0&amp;row=1149&amp;col=6&amp;number=3.5&amp;sourceID=14","3.5")</f>
        <v>3.5</v>
      </c>
      <c r="G1149" s="4" t="str">
        <f>HYPERLINK("http://141.218.60.56/~jnz1568/getInfo.php?workbook=11_02.xlsx&amp;sheet=U0&amp;row=1149&amp;col=7&amp;number=0.0397&amp;sourceID=14","0.0397")</f>
        <v>0.0397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HYPERLINK("http://141.218.60.56/~jnz1568/getInfo.php?workbook=11_02.xlsx&amp;sheet=U0&amp;row=1150&amp;col=6&amp;number=3.6&amp;sourceID=14","3.6")</f>
        <v>3.6</v>
      </c>
      <c r="G1150" s="4" t="str">
        <f>HYPERLINK("http://141.218.60.56/~jnz1568/getInfo.php?workbook=11_02.xlsx&amp;sheet=U0&amp;row=1150&amp;col=7&amp;number=0.0397&amp;sourceID=14","0.0397")</f>
        <v>0.0397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HYPERLINK("http://141.218.60.56/~jnz1568/getInfo.php?workbook=11_02.xlsx&amp;sheet=U0&amp;row=1151&amp;col=6&amp;number=3.7&amp;sourceID=14","3.7")</f>
        <v>3.7</v>
      </c>
      <c r="G1151" s="4" t="str">
        <f>HYPERLINK("http://141.218.60.56/~jnz1568/getInfo.php?workbook=11_02.xlsx&amp;sheet=U0&amp;row=1151&amp;col=7&amp;number=0.0397&amp;sourceID=14","0.0397")</f>
        <v>0.0397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HYPERLINK("http://141.218.60.56/~jnz1568/getInfo.php?workbook=11_02.xlsx&amp;sheet=U0&amp;row=1152&amp;col=6&amp;number=3.8&amp;sourceID=14","3.8")</f>
        <v>3.8</v>
      </c>
      <c r="G1152" s="4" t="str">
        <f>HYPERLINK("http://141.218.60.56/~jnz1568/getInfo.php?workbook=11_02.xlsx&amp;sheet=U0&amp;row=1152&amp;col=7&amp;number=0.0397&amp;sourceID=14","0.0397")</f>
        <v>0.0397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HYPERLINK("http://141.218.60.56/~jnz1568/getInfo.php?workbook=11_02.xlsx&amp;sheet=U0&amp;row=1153&amp;col=6&amp;number=3.9&amp;sourceID=14","3.9")</f>
        <v>3.9</v>
      </c>
      <c r="G1153" s="4" t="str">
        <f>HYPERLINK("http://141.218.60.56/~jnz1568/getInfo.php?workbook=11_02.xlsx&amp;sheet=U0&amp;row=1153&amp;col=7&amp;number=0.0397&amp;sourceID=14","0.0397")</f>
        <v>0.0397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HYPERLINK("http://141.218.60.56/~jnz1568/getInfo.php?workbook=11_02.xlsx&amp;sheet=U0&amp;row=1154&amp;col=6&amp;number=4&amp;sourceID=14","4")</f>
        <v>4</v>
      </c>
      <c r="G1154" s="4" t="str">
        <f>HYPERLINK("http://141.218.60.56/~jnz1568/getInfo.php?workbook=11_02.xlsx&amp;sheet=U0&amp;row=1154&amp;col=7&amp;number=0.0396&amp;sourceID=14","0.0396")</f>
        <v>0.0396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HYPERLINK("http://141.218.60.56/~jnz1568/getInfo.php?workbook=11_02.xlsx&amp;sheet=U0&amp;row=1155&amp;col=6&amp;number=4.1&amp;sourceID=14","4.1")</f>
        <v>4.1</v>
      </c>
      <c r="G1155" s="4" t="str">
        <f>HYPERLINK("http://141.218.60.56/~jnz1568/getInfo.php?workbook=11_02.xlsx&amp;sheet=U0&amp;row=1155&amp;col=7&amp;number=0.0396&amp;sourceID=14","0.0396")</f>
        <v>0.0396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HYPERLINK("http://141.218.60.56/~jnz1568/getInfo.php?workbook=11_02.xlsx&amp;sheet=U0&amp;row=1156&amp;col=6&amp;number=4.2&amp;sourceID=14","4.2")</f>
        <v>4.2</v>
      </c>
      <c r="G1156" s="4" t="str">
        <f>HYPERLINK("http://141.218.60.56/~jnz1568/getInfo.php?workbook=11_02.xlsx&amp;sheet=U0&amp;row=1156&amp;col=7&amp;number=0.0396&amp;sourceID=14","0.0396")</f>
        <v>0.0396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HYPERLINK("http://141.218.60.56/~jnz1568/getInfo.php?workbook=11_02.xlsx&amp;sheet=U0&amp;row=1157&amp;col=6&amp;number=4.3&amp;sourceID=14","4.3")</f>
        <v>4.3</v>
      </c>
      <c r="G1157" s="4" t="str">
        <f>HYPERLINK("http://141.218.60.56/~jnz1568/getInfo.php?workbook=11_02.xlsx&amp;sheet=U0&amp;row=1157&amp;col=7&amp;number=0.0396&amp;sourceID=14","0.0396")</f>
        <v>0.0396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HYPERLINK("http://141.218.60.56/~jnz1568/getInfo.php?workbook=11_02.xlsx&amp;sheet=U0&amp;row=1158&amp;col=6&amp;number=4.4&amp;sourceID=14","4.4")</f>
        <v>4.4</v>
      </c>
      <c r="G1158" s="4" t="str">
        <f>HYPERLINK("http://141.218.60.56/~jnz1568/getInfo.php?workbook=11_02.xlsx&amp;sheet=U0&amp;row=1158&amp;col=7&amp;number=0.0395&amp;sourceID=14","0.0395")</f>
        <v>0.0395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HYPERLINK("http://141.218.60.56/~jnz1568/getInfo.php?workbook=11_02.xlsx&amp;sheet=U0&amp;row=1159&amp;col=6&amp;number=4.5&amp;sourceID=14","4.5")</f>
        <v>4.5</v>
      </c>
      <c r="G1159" s="4" t="str">
        <f>HYPERLINK("http://141.218.60.56/~jnz1568/getInfo.php?workbook=11_02.xlsx&amp;sheet=U0&amp;row=1159&amp;col=7&amp;number=0.0395&amp;sourceID=14","0.0395")</f>
        <v>0.0395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HYPERLINK("http://141.218.60.56/~jnz1568/getInfo.php?workbook=11_02.xlsx&amp;sheet=U0&amp;row=1160&amp;col=6&amp;number=4.6&amp;sourceID=14","4.6")</f>
        <v>4.6</v>
      </c>
      <c r="G1160" s="4" t="str">
        <f>HYPERLINK("http://141.218.60.56/~jnz1568/getInfo.php?workbook=11_02.xlsx&amp;sheet=U0&amp;row=1160&amp;col=7&amp;number=0.0394&amp;sourceID=14","0.0394")</f>
        <v>0.0394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HYPERLINK("http://141.218.60.56/~jnz1568/getInfo.php?workbook=11_02.xlsx&amp;sheet=U0&amp;row=1161&amp;col=6&amp;number=4.7&amp;sourceID=14","4.7")</f>
        <v>4.7</v>
      </c>
      <c r="G1161" s="4" t="str">
        <f>HYPERLINK("http://141.218.60.56/~jnz1568/getInfo.php?workbook=11_02.xlsx&amp;sheet=U0&amp;row=1161&amp;col=7&amp;number=0.0393&amp;sourceID=14","0.0393")</f>
        <v>0.0393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HYPERLINK("http://141.218.60.56/~jnz1568/getInfo.php?workbook=11_02.xlsx&amp;sheet=U0&amp;row=1162&amp;col=6&amp;number=4.8&amp;sourceID=14","4.8")</f>
        <v>4.8</v>
      </c>
      <c r="G1162" s="4" t="str">
        <f>HYPERLINK("http://141.218.60.56/~jnz1568/getInfo.php?workbook=11_02.xlsx&amp;sheet=U0&amp;row=1162&amp;col=7&amp;number=0.0392&amp;sourceID=14","0.0392")</f>
        <v>0.0392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HYPERLINK("http://141.218.60.56/~jnz1568/getInfo.php?workbook=11_02.xlsx&amp;sheet=U0&amp;row=1163&amp;col=6&amp;number=4.9&amp;sourceID=14","4.9")</f>
        <v>4.9</v>
      </c>
      <c r="G1163" s="4" t="str">
        <f>HYPERLINK("http://141.218.60.56/~jnz1568/getInfo.php?workbook=11_02.xlsx&amp;sheet=U0&amp;row=1163&amp;col=7&amp;number=0.0391&amp;sourceID=14","0.0391")</f>
        <v>0.0391</v>
      </c>
    </row>
    <row r="1164" spans="1:7">
      <c r="A1164" s="3">
        <v>11</v>
      </c>
      <c r="B1164" s="3">
        <v>2</v>
      </c>
      <c r="C1164" s="3">
        <v>6</v>
      </c>
      <c r="D1164" s="3">
        <v>13</v>
      </c>
      <c r="E1164" s="3">
        <v>1</v>
      </c>
      <c r="F1164" s="4" t="str">
        <f>HYPERLINK("http://141.218.60.56/~jnz1568/getInfo.php?workbook=11_02.xlsx&amp;sheet=U0&amp;row=1164&amp;col=6&amp;number=3&amp;sourceID=14","3")</f>
        <v>3</v>
      </c>
      <c r="G1164" s="4" t="str">
        <f>HYPERLINK("http://141.218.60.56/~jnz1568/getInfo.php?workbook=11_02.xlsx&amp;sheet=U0&amp;row=1164&amp;col=7&amp;number=0.00458&amp;sourceID=14","0.00458")</f>
        <v>0.00458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HYPERLINK("http://141.218.60.56/~jnz1568/getInfo.php?workbook=11_02.xlsx&amp;sheet=U0&amp;row=1165&amp;col=6&amp;number=3.1&amp;sourceID=14","3.1")</f>
        <v>3.1</v>
      </c>
      <c r="G1165" s="4" t="str">
        <f>HYPERLINK("http://141.218.60.56/~jnz1568/getInfo.php?workbook=11_02.xlsx&amp;sheet=U0&amp;row=1165&amp;col=7&amp;number=0.00458&amp;sourceID=14","0.00458")</f>
        <v>0.00458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HYPERLINK("http://141.218.60.56/~jnz1568/getInfo.php?workbook=11_02.xlsx&amp;sheet=U0&amp;row=1166&amp;col=6&amp;number=3.2&amp;sourceID=14","3.2")</f>
        <v>3.2</v>
      </c>
      <c r="G1166" s="4" t="str">
        <f>HYPERLINK("http://141.218.60.56/~jnz1568/getInfo.php?workbook=11_02.xlsx&amp;sheet=U0&amp;row=1166&amp;col=7&amp;number=0.00459&amp;sourceID=14","0.00459")</f>
        <v>0.00459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HYPERLINK("http://141.218.60.56/~jnz1568/getInfo.php?workbook=11_02.xlsx&amp;sheet=U0&amp;row=1167&amp;col=6&amp;number=3.3&amp;sourceID=14","3.3")</f>
        <v>3.3</v>
      </c>
      <c r="G1167" s="4" t="str">
        <f>HYPERLINK("http://141.218.60.56/~jnz1568/getInfo.php?workbook=11_02.xlsx&amp;sheet=U0&amp;row=1167&amp;col=7&amp;number=0.00459&amp;sourceID=14","0.00459")</f>
        <v>0.00459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HYPERLINK("http://141.218.60.56/~jnz1568/getInfo.php?workbook=11_02.xlsx&amp;sheet=U0&amp;row=1168&amp;col=6&amp;number=3.4&amp;sourceID=14","3.4")</f>
        <v>3.4</v>
      </c>
      <c r="G1168" s="4" t="str">
        <f>HYPERLINK("http://141.218.60.56/~jnz1568/getInfo.php?workbook=11_02.xlsx&amp;sheet=U0&amp;row=1168&amp;col=7&amp;number=0.00459&amp;sourceID=14","0.00459")</f>
        <v>0.00459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HYPERLINK("http://141.218.60.56/~jnz1568/getInfo.php?workbook=11_02.xlsx&amp;sheet=U0&amp;row=1169&amp;col=6&amp;number=3.5&amp;sourceID=14","3.5")</f>
        <v>3.5</v>
      </c>
      <c r="G1169" s="4" t="str">
        <f>HYPERLINK("http://141.218.60.56/~jnz1568/getInfo.php?workbook=11_02.xlsx&amp;sheet=U0&amp;row=1169&amp;col=7&amp;number=0.0046&amp;sourceID=14","0.0046")</f>
        <v>0.0046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HYPERLINK("http://141.218.60.56/~jnz1568/getInfo.php?workbook=11_02.xlsx&amp;sheet=U0&amp;row=1170&amp;col=6&amp;number=3.6&amp;sourceID=14","3.6")</f>
        <v>3.6</v>
      </c>
      <c r="G1170" s="4" t="str">
        <f>HYPERLINK("http://141.218.60.56/~jnz1568/getInfo.php?workbook=11_02.xlsx&amp;sheet=U0&amp;row=1170&amp;col=7&amp;number=0.0046&amp;sourceID=14","0.0046")</f>
        <v>0.0046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HYPERLINK("http://141.218.60.56/~jnz1568/getInfo.php?workbook=11_02.xlsx&amp;sheet=U0&amp;row=1171&amp;col=6&amp;number=3.7&amp;sourceID=14","3.7")</f>
        <v>3.7</v>
      </c>
      <c r="G1171" s="4" t="str">
        <f>HYPERLINK("http://141.218.60.56/~jnz1568/getInfo.php?workbook=11_02.xlsx&amp;sheet=U0&amp;row=1171&amp;col=7&amp;number=0.00461&amp;sourceID=14","0.00461")</f>
        <v>0.00461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HYPERLINK("http://141.218.60.56/~jnz1568/getInfo.php?workbook=11_02.xlsx&amp;sheet=U0&amp;row=1172&amp;col=6&amp;number=3.8&amp;sourceID=14","3.8")</f>
        <v>3.8</v>
      </c>
      <c r="G1172" s="4" t="str">
        <f>HYPERLINK("http://141.218.60.56/~jnz1568/getInfo.php?workbook=11_02.xlsx&amp;sheet=U0&amp;row=1172&amp;col=7&amp;number=0.00462&amp;sourceID=14","0.00462")</f>
        <v>0.00462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HYPERLINK("http://141.218.60.56/~jnz1568/getInfo.php?workbook=11_02.xlsx&amp;sheet=U0&amp;row=1173&amp;col=6&amp;number=3.9&amp;sourceID=14","3.9")</f>
        <v>3.9</v>
      </c>
      <c r="G1173" s="4" t="str">
        <f>HYPERLINK("http://141.218.60.56/~jnz1568/getInfo.php?workbook=11_02.xlsx&amp;sheet=U0&amp;row=1173&amp;col=7&amp;number=0.00464&amp;sourceID=14","0.00464")</f>
        <v>0.00464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HYPERLINK("http://141.218.60.56/~jnz1568/getInfo.php?workbook=11_02.xlsx&amp;sheet=U0&amp;row=1174&amp;col=6&amp;number=4&amp;sourceID=14","4")</f>
        <v>4</v>
      </c>
      <c r="G1174" s="4" t="str">
        <f>HYPERLINK("http://141.218.60.56/~jnz1568/getInfo.php?workbook=11_02.xlsx&amp;sheet=U0&amp;row=1174&amp;col=7&amp;number=0.00465&amp;sourceID=14","0.00465")</f>
        <v>0.00465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HYPERLINK("http://141.218.60.56/~jnz1568/getInfo.php?workbook=11_02.xlsx&amp;sheet=U0&amp;row=1175&amp;col=6&amp;number=4.1&amp;sourceID=14","4.1")</f>
        <v>4.1</v>
      </c>
      <c r="G1175" s="4" t="str">
        <f>HYPERLINK("http://141.218.60.56/~jnz1568/getInfo.php?workbook=11_02.xlsx&amp;sheet=U0&amp;row=1175&amp;col=7&amp;number=0.00467&amp;sourceID=14","0.00467")</f>
        <v>0.00467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HYPERLINK("http://141.218.60.56/~jnz1568/getInfo.php?workbook=11_02.xlsx&amp;sheet=U0&amp;row=1176&amp;col=6&amp;number=4.2&amp;sourceID=14","4.2")</f>
        <v>4.2</v>
      </c>
      <c r="G1176" s="4" t="str">
        <f>HYPERLINK("http://141.218.60.56/~jnz1568/getInfo.php?workbook=11_02.xlsx&amp;sheet=U0&amp;row=1176&amp;col=7&amp;number=0.0047&amp;sourceID=14","0.0047")</f>
        <v>0.0047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HYPERLINK("http://141.218.60.56/~jnz1568/getInfo.php?workbook=11_02.xlsx&amp;sheet=U0&amp;row=1177&amp;col=6&amp;number=4.3&amp;sourceID=14","4.3")</f>
        <v>4.3</v>
      </c>
      <c r="G1177" s="4" t="str">
        <f>HYPERLINK("http://141.218.60.56/~jnz1568/getInfo.php?workbook=11_02.xlsx&amp;sheet=U0&amp;row=1177&amp;col=7&amp;number=0.00473&amp;sourceID=14","0.00473")</f>
        <v>0.00473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HYPERLINK("http://141.218.60.56/~jnz1568/getInfo.php?workbook=11_02.xlsx&amp;sheet=U0&amp;row=1178&amp;col=6&amp;number=4.4&amp;sourceID=14","4.4")</f>
        <v>4.4</v>
      </c>
      <c r="G1178" s="4" t="str">
        <f>HYPERLINK("http://141.218.60.56/~jnz1568/getInfo.php?workbook=11_02.xlsx&amp;sheet=U0&amp;row=1178&amp;col=7&amp;number=0.00476&amp;sourceID=14","0.00476")</f>
        <v>0.00476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HYPERLINK("http://141.218.60.56/~jnz1568/getInfo.php?workbook=11_02.xlsx&amp;sheet=U0&amp;row=1179&amp;col=6&amp;number=4.5&amp;sourceID=14","4.5")</f>
        <v>4.5</v>
      </c>
      <c r="G1179" s="4" t="str">
        <f>HYPERLINK("http://141.218.60.56/~jnz1568/getInfo.php?workbook=11_02.xlsx&amp;sheet=U0&amp;row=1179&amp;col=7&amp;number=0.00481&amp;sourceID=14","0.00481")</f>
        <v>0.00481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HYPERLINK("http://141.218.60.56/~jnz1568/getInfo.php?workbook=11_02.xlsx&amp;sheet=U0&amp;row=1180&amp;col=6&amp;number=4.6&amp;sourceID=14","4.6")</f>
        <v>4.6</v>
      </c>
      <c r="G1180" s="4" t="str">
        <f>HYPERLINK("http://141.218.60.56/~jnz1568/getInfo.php?workbook=11_02.xlsx&amp;sheet=U0&amp;row=1180&amp;col=7&amp;number=0.00487&amp;sourceID=14","0.00487")</f>
        <v>0.00487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HYPERLINK("http://141.218.60.56/~jnz1568/getInfo.php?workbook=11_02.xlsx&amp;sheet=U0&amp;row=1181&amp;col=6&amp;number=4.7&amp;sourceID=14","4.7")</f>
        <v>4.7</v>
      </c>
      <c r="G1181" s="4" t="str">
        <f>HYPERLINK("http://141.218.60.56/~jnz1568/getInfo.php?workbook=11_02.xlsx&amp;sheet=U0&amp;row=1181&amp;col=7&amp;number=0.00494&amp;sourceID=14","0.00494")</f>
        <v>0.00494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HYPERLINK("http://141.218.60.56/~jnz1568/getInfo.php?workbook=11_02.xlsx&amp;sheet=U0&amp;row=1182&amp;col=6&amp;number=4.8&amp;sourceID=14","4.8")</f>
        <v>4.8</v>
      </c>
      <c r="G1182" s="4" t="str">
        <f>HYPERLINK("http://141.218.60.56/~jnz1568/getInfo.php?workbook=11_02.xlsx&amp;sheet=U0&amp;row=1182&amp;col=7&amp;number=0.00503&amp;sourceID=14","0.00503")</f>
        <v>0.00503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HYPERLINK("http://141.218.60.56/~jnz1568/getInfo.php?workbook=11_02.xlsx&amp;sheet=U0&amp;row=1183&amp;col=6&amp;number=4.9&amp;sourceID=14","4.9")</f>
        <v>4.9</v>
      </c>
      <c r="G1183" s="4" t="str">
        <f>HYPERLINK("http://141.218.60.56/~jnz1568/getInfo.php?workbook=11_02.xlsx&amp;sheet=U0&amp;row=1183&amp;col=7&amp;number=0.00513&amp;sourceID=14","0.00513")</f>
        <v>0.00513</v>
      </c>
    </row>
    <row r="1184" spans="1:7">
      <c r="A1184" s="3">
        <v>11</v>
      </c>
      <c r="B1184" s="3">
        <v>2</v>
      </c>
      <c r="C1184" s="3">
        <v>6</v>
      </c>
      <c r="D1184" s="3">
        <v>14</v>
      </c>
      <c r="E1184" s="3">
        <v>1</v>
      </c>
      <c r="F1184" s="4" t="str">
        <f>HYPERLINK("http://141.218.60.56/~jnz1568/getInfo.php?workbook=11_02.xlsx&amp;sheet=U0&amp;row=1184&amp;col=6&amp;number=3&amp;sourceID=14","3")</f>
        <v>3</v>
      </c>
      <c r="G1184" s="4" t="str">
        <f>HYPERLINK("http://141.218.60.56/~jnz1568/getInfo.php?workbook=11_02.xlsx&amp;sheet=U0&amp;row=1184&amp;col=7&amp;number=0.00974&amp;sourceID=14","0.00974")</f>
        <v>0.00974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HYPERLINK("http://141.218.60.56/~jnz1568/getInfo.php?workbook=11_02.xlsx&amp;sheet=U0&amp;row=1185&amp;col=6&amp;number=3.1&amp;sourceID=14","3.1")</f>
        <v>3.1</v>
      </c>
      <c r="G1185" s="4" t="str">
        <f>HYPERLINK("http://141.218.60.56/~jnz1568/getInfo.php?workbook=11_02.xlsx&amp;sheet=U0&amp;row=1185&amp;col=7&amp;number=0.00974&amp;sourceID=14","0.00974")</f>
        <v>0.00974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HYPERLINK("http://141.218.60.56/~jnz1568/getInfo.php?workbook=11_02.xlsx&amp;sheet=U0&amp;row=1186&amp;col=6&amp;number=3.2&amp;sourceID=14","3.2")</f>
        <v>3.2</v>
      </c>
      <c r="G1186" s="4" t="str">
        <f>HYPERLINK("http://141.218.60.56/~jnz1568/getInfo.php?workbook=11_02.xlsx&amp;sheet=U0&amp;row=1186&amp;col=7&amp;number=0.00975&amp;sourceID=14","0.00975")</f>
        <v>0.00975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HYPERLINK("http://141.218.60.56/~jnz1568/getInfo.php?workbook=11_02.xlsx&amp;sheet=U0&amp;row=1187&amp;col=6&amp;number=3.3&amp;sourceID=14","3.3")</f>
        <v>3.3</v>
      </c>
      <c r="G1187" s="4" t="str">
        <f>HYPERLINK("http://141.218.60.56/~jnz1568/getInfo.php?workbook=11_02.xlsx&amp;sheet=U0&amp;row=1187&amp;col=7&amp;number=0.00975&amp;sourceID=14","0.00975")</f>
        <v>0.00975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HYPERLINK("http://141.218.60.56/~jnz1568/getInfo.php?workbook=11_02.xlsx&amp;sheet=U0&amp;row=1188&amp;col=6&amp;number=3.4&amp;sourceID=14","3.4")</f>
        <v>3.4</v>
      </c>
      <c r="G1188" s="4" t="str">
        <f>HYPERLINK("http://141.218.60.56/~jnz1568/getInfo.php?workbook=11_02.xlsx&amp;sheet=U0&amp;row=1188&amp;col=7&amp;number=0.00976&amp;sourceID=14","0.00976")</f>
        <v>0.00976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HYPERLINK("http://141.218.60.56/~jnz1568/getInfo.php?workbook=11_02.xlsx&amp;sheet=U0&amp;row=1189&amp;col=6&amp;number=3.5&amp;sourceID=14","3.5")</f>
        <v>3.5</v>
      </c>
      <c r="G1189" s="4" t="str">
        <f>HYPERLINK("http://141.218.60.56/~jnz1568/getInfo.php?workbook=11_02.xlsx&amp;sheet=U0&amp;row=1189&amp;col=7&amp;number=0.00976&amp;sourceID=14","0.00976")</f>
        <v>0.00976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HYPERLINK("http://141.218.60.56/~jnz1568/getInfo.php?workbook=11_02.xlsx&amp;sheet=U0&amp;row=1190&amp;col=6&amp;number=3.6&amp;sourceID=14","3.6")</f>
        <v>3.6</v>
      </c>
      <c r="G1190" s="4" t="str">
        <f>HYPERLINK("http://141.218.60.56/~jnz1568/getInfo.php?workbook=11_02.xlsx&amp;sheet=U0&amp;row=1190&amp;col=7&amp;number=0.00977&amp;sourceID=14","0.00977")</f>
        <v>0.00977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HYPERLINK("http://141.218.60.56/~jnz1568/getInfo.php?workbook=11_02.xlsx&amp;sheet=U0&amp;row=1191&amp;col=6&amp;number=3.7&amp;sourceID=14","3.7")</f>
        <v>3.7</v>
      </c>
      <c r="G1191" s="4" t="str">
        <f>HYPERLINK("http://141.218.60.56/~jnz1568/getInfo.php?workbook=11_02.xlsx&amp;sheet=U0&amp;row=1191&amp;col=7&amp;number=0.00978&amp;sourceID=14","0.00978")</f>
        <v>0.00978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HYPERLINK("http://141.218.60.56/~jnz1568/getInfo.php?workbook=11_02.xlsx&amp;sheet=U0&amp;row=1192&amp;col=6&amp;number=3.8&amp;sourceID=14","3.8")</f>
        <v>3.8</v>
      </c>
      <c r="G1192" s="4" t="str">
        <f>HYPERLINK("http://141.218.60.56/~jnz1568/getInfo.php?workbook=11_02.xlsx&amp;sheet=U0&amp;row=1192&amp;col=7&amp;number=0.00979&amp;sourceID=14","0.00979")</f>
        <v>0.00979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HYPERLINK("http://141.218.60.56/~jnz1568/getInfo.php?workbook=11_02.xlsx&amp;sheet=U0&amp;row=1193&amp;col=6&amp;number=3.9&amp;sourceID=14","3.9")</f>
        <v>3.9</v>
      </c>
      <c r="G1193" s="4" t="str">
        <f>HYPERLINK("http://141.218.60.56/~jnz1568/getInfo.php?workbook=11_02.xlsx&amp;sheet=U0&amp;row=1193&amp;col=7&amp;number=0.00981&amp;sourceID=14","0.00981")</f>
        <v>0.00981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HYPERLINK("http://141.218.60.56/~jnz1568/getInfo.php?workbook=11_02.xlsx&amp;sheet=U0&amp;row=1194&amp;col=6&amp;number=4&amp;sourceID=14","4")</f>
        <v>4</v>
      </c>
      <c r="G1194" s="4" t="str">
        <f>HYPERLINK("http://141.218.60.56/~jnz1568/getInfo.php?workbook=11_02.xlsx&amp;sheet=U0&amp;row=1194&amp;col=7&amp;number=0.00983&amp;sourceID=14","0.00983")</f>
        <v>0.00983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HYPERLINK("http://141.218.60.56/~jnz1568/getInfo.php?workbook=11_02.xlsx&amp;sheet=U0&amp;row=1195&amp;col=6&amp;number=4.1&amp;sourceID=14","4.1")</f>
        <v>4.1</v>
      </c>
      <c r="G1195" s="4" t="str">
        <f>HYPERLINK("http://141.218.60.56/~jnz1568/getInfo.php?workbook=11_02.xlsx&amp;sheet=U0&amp;row=1195&amp;col=7&amp;number=0.00985&amp;sourceID=14","0.00985")</f>
        <v>0.00985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HYPERLINK("http://141.218.60.56/~jnz1568/getInfo.php?workbook=11_02.xlsx&amp;sheet=U0&amp;row=1196&amp;col=6&amp;number=4.2&amp;sourceID=14","4.2")</f>
        <v>4.2</v>
      </c>
      <c r="G1196" s="4" t="str">
        <f>HYPERLINK("http://141.218.60.56/~jnz1568/getInfo.php?workbook=11_02.xlsx&amp;sheet=U0&amp;row=1196&amp;col=7&amp;number=0.00988&amp;sourceID=14","0.00988")</f>
        <v>0.00988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HYPERLINK("http://141.218.60.56/~jnz1568/getInfo.php?workbook=11_02.xlsx&amp;sheet=U0&amp;row=1197&amp;col=6&amp;number=4.3&amp;sourceID=14","4.3")</f>
        <v>4.3</v>
      </c>
      <c r="G1197" s="4" t="str">
        <f>HYPERLINK("http://141.218.60.56/~jnz1568/getInfo.php?workbook=11_02.xlsx&amp;sheet=U0&amp;row=1197&amp;col=7&amp;number=0.00992&amp;sourceID=14","0.00992")</f>
        <v>0.00992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HYPERLINK("http://141.218.60.56/~jnz1568/getInfo.php?workbook=11_02.xlsx&amp;sheet=U0&amp;row=1198&amp;col=6&amp;number=4.4&amp;sourceID=14","4.4")</f>
        <v>4.4</v>
      </c>
      <c r="G1198" s="4" t="str">
        <f>HYPERLINK("http://141.218.60.56/~jnz1568/getInfo.php?workbook=11_02.xlsx&amp;sheet=U0&amp;row=1198&amp;col=7&amp;number=0.00997&amp;sourceID=14","0.00997")</f>
        <v>0.00997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HYPERLINK("http://141.218.60.56/~jnz1568/getInfo.php?workbook=11_02.xlsx&amp;sheet=U0&amp;row=1199&amp;col=6&amp;number=4.5&amp;sourceID=14","4.5")</f>
        <v>4.5</v>
      </c>
      <c r="G1199" s="4" t="str">
        <f>HYPERLINK("http://141.218.60.56/~jnz1568/getInfo.php?workbook=11_02.xlsx&amp;sheet=U0&amp;row=1199&amp;col=7&amp;number=0.01&amp;sourceID=14","0.01")</f>
        <v>0.01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HYPERLINK("http://141.218.60.56/~jnz1568/getInfo.php?workbook=11_02.xlsx&amp;sheet=U0&amp;row=1200&amp;col=6&amp;number=4.6&amp;sourceID=14","4.6")</f>
        <v>4.6</v>
      </c>
      <c r="G1200" s="4" t="str">
        <f>HYPERLINK("http://141.218.60.56/~jnz1568/getInfo.php?workbook=11_02.xlsx&amp;sheet=U0&amp;row=1200&amp;col=7&amp;number=0.0101&amp;sourceID=14","0.0101")</f>
        <v>0.0101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HYPERLINK("http://141.218.60.56/~jnz1568/getInfo.php?workbook=11_02.xlsx&amp;sheet=U0&amp;row=1201&amp;col=6&amp;number=4.7&amp;sourceID=14","4.7")</f>
        <v>4.7</v>
      </c>
      <c r="G1201" s="4" t="str">
        <f>HYPERLINK("http://141.218.60.56/~jnz1568/getInfo.php?workbook=11_02.xlsx&amp;sheet=U0&amp;row=1201&amp;col=7&amp;number=0.0102&amp;sourceID=14","0.0102")</f>
        <v>0.0102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HYPERLINK("http://141.218.60.56/~jnz1568/getInfo.php?workbook=11_02.xlsx&amp;sheet=U0&amp;row=1202&amp;col=6&amp;number=4.8&amp;sourceID=14","4.8")</f>
        <v>4.8</v>
      </c>
      <c r="G1202" s="4" t="str">
        <f>HYPERLINK("http://141.218.60.56/~jnz1568/getInfo.php?workbook=11_02.xlsx&amp;sheet=U0&amp;row=1202&amp;col=7&amp;number=0.0103&amp;sourceID=14","0.0103")</f>
        <v>0.0103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HYPERLINK("http://141.218.60.56/~jnz1568/getInfo.php?workbook=11_02.xlsx&amp;sheet=U0&amp;row=1203&amp;col=6&amp;number=4.9&amp;sourceID=14","4.9")</f>
        <v>4.9</v>
      </c>
      <c r="G1203" s="4" t="str">
        <f>HYPERLINK("http://141.218.60.56/~jnz1568/getInfo.php?workbook=11_02.xlsx&amp;sheet=U0&amp;row=1203&amp;col=7&amp;number=0.0104&amp;sourceID=14","0.0104")</f>
        <v>0.0104</v>
      </c>
    </row>
    <row r="1204" spans="1:7">
      <c r="A1204" s="3">
        <v>11</v>
      </c>
      <c r="B1204" s="3">
        <v>2</v>
      </c>
      <c r="C1204" s="3">
        <v>6</v>
      </c>
      <c r="D1204" s="3">
        <v>15</v>
      </c>
      <c r="E1204" s="3">
        <v>1</v>
      </c>
      <c r="F1204" s="4" t="str">
        <f>HYPERLINK("http://141.218.60.56/~jnz1568/getInfo.php?workbook=11_02.xlsx&amp;sheet=U0&amp;row=1204&amp;col=6&amp;number=3&amp;sourceID=14","3")</f>
        <v>3</v>
      </c>
      <c r="G1204" s="4" t="str">
        <f>HYPERLINK("http://141.218.60.56/~jnz1568/getInfo.php?workbook=11_02.xlsx&amp;sheet=U0&amp;row=1204&amp;col=7&amp;number=0.0108&amp;sourceID=14","0.0108")</f>
        <v>0.0108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HYPERLINK("http://141.218.60.56/~jnz1568/getInfo.php?workbook=11_02.xlsx&amp;sheet=U0&amp;row=1205&amp;col=6&amp;number=3.1&amp;sourceID=14","3.1")</f>
        <v>3.1</v>
      </c>
      <c r="G1205" s="4" t="str">
        <f>HYPERLINK("http://141.218.60.56/~jnz1568/getInfo.php?workbook=11_02.xlsx&amp;sheet=U0&amp;row=1205&amp;col=7&amp;number=0.0108&amp;sourceID=14","0.0108")</f>
        <v>0.0108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HYPERLINK("http://141.218.60.56/~jnz1568/getInfo.php?workbook=11_02.xlsx&amp;sheet=U0&amp;row=1206&amp;col=6&amp;number=3.2&amp;sourceID=14","3.2")</f>
        <v>3.2</v>
      </c>
      <c r="G1206" s="4" t="str">
        <f>HYPERLINK("http://141.218.60.56/~jnz1568/getInfo.php?workbook=11_02.xlsx&amp;sheet=U0&amp;row=1206&amp;col=7&amp;number=0.0108&amp;sourceID=14","0.0108")</f>
        <v>0.0108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HYPERLINK("http://141.218.60.56/~jnz1568/getInfo.php?workbook=11_02.xlsx&amp;sheet=U0&amp;row=1207&amp;col=6&amp;number=3.3&amp;sourceID=14","3.3")</f>
        <v>3.3</v>
      </c>
      <c r="G1207" s="4" t="str">
        <f>HYPERLINK("http://141.218.60.56/~jnz1568/getInfo.php?workbook=11_02.xlsx&amp;sheet=U0&amp;row=1207&amp;col=7&amp;number=0.0108&amp;sourceID=14","0.0108")</f>
        <v>0.0108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HYPERLINK("http://141.218.60.56/~jnz1568/getInfo.php?workbook=11_02.xlsx&amp;sheet=U0&amp;row=1208&amp;col=6&amp;number=3.4&amp;sourceID=14","3.4")</f>
        <v>3.4</v>
      </c>
      <c r="G1208" s="4" t="str">
        <f>HYPERLINK("http://141.218.60.56/~jnz1568/getInfo.php?workbook=11_02.xlsx&amp;sheet=U0&amp;row=1208&amp;col=7&amp;number=0.0109&amp;sourceID=14","0.0109")</f>
        <v>0.0109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HYPERLINK("http://141.218.60.56/~jnz1568/getInfo.php?workbook=11_02.xlsx&amp;sheet=U0&amp;row=1209&amp;col=6&amp;number=3.5&amp;sourceID=14","3.5")</f>
        <v>3.5</v>
      </c>
      <c r="G1209" s="4" t="str">
        <f>HYPERLINK("http://141.218.60.56/~jnz1568/getInfo.php?workbook=11_02.xlsx&amp;sheet=U0&amp;row=1209&amp;col=7&amp;number=0.0109&amp;sourceID=14","0.0109")</f>
        <v>0.0109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HYPERLINK("http://141.218.60.56/~jnz1568/getInfo.php?workbook=11_02.xlsx&amp;sheet=U0&amp;row=1210&amp;col=6&amp;number=3.6&amp;sourceID=14","3.6")</f>
        <v>3.6</v>
      </c>
      <c r="G1210" s="4" t="str">
        <f>HYPERLINK("http://141.218.60.56/~jnz1568/getInfo.php?workbook=11_02.xlsx&amp;sheet=U0&amp;row=1210&amp;col=7&amp;number=0.0109&amp;sourceID=14","0.0109")</f>
        <v>0.0109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HYPERLINK("http://141.218.60.56/~jnz1568/getInfo.php?workbook=11_02.xlsx&amp;sheet=U0&amp;row=1211&amp;col=6&amp;number=3.7&amp;sourceID=14","3.7")</f>
        <v>3.7</v>
      </c>
      <c r="G1211" s="4" t="str">
        <f>HYPERLINK("http://141.218.60.56/~jnz1568/getInfo.php?workbook=11_02.xlsx&amp;sheet=U0&amp;row=1211&amp;col=7&amp;number=0.0109&amp;sourceID=14","0.0109")</f>
        <v>0.0109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HYPERLINK("http://141.218.60.56/~jnz1568/getInfo.php?workbook=11_02.xlsx&amp;sheet=U0&amp;row=1212&amp;col=6&amp;number=3.8&amp;sourceID=14","3.8")</f>
        <v>3.8</v>
      </c>
      <c r="G1212" s="4" t="str">
        <f>HYPERLINK("http://141.218.60.56/~jnz1568/getInfo.php?workbook=11_02.xlsx&amp;sheet=U0&amp;row=1212&amp;col=7&amp;number=0.0109&amp;sourceID=14","0.0109")</f>
        <v>0.0109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HYPERLINK("http://141.218.60.56/~jnz1568/getInfo.php?workbook=11_02.xlsx&amp;sheet=U0&amp;row=1213&amp;col=6&amp;number=3.9&amp;sourceID=14","3.9")</f>
        <v>3.9</v>
      </c>
      <c r="G1213" s="4" t="str">
        <f>HYPERLINK("http://141.218.60.56/~jnz1568/getInfo.php?workbook=11_02.xlsx&amp;sheet=U0&amp;row=1213&amp;col=7&amp;number=0.0109&amp;sourceID=14","0.0109")</f>
        <v>0.0109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HYPERLINK("http://141.218.60.56/~jnz1568/getInfo.php?workbook=11_02.xlsx&amp;sheet=U0&amp;row=1214&amp;col=6&amp;number=4&amp;sourceID=14","4")</f>
        <v>4</v>
      </c>
      <c r="G1214" s="4" t="str">
        <f>HYPERLINK("http://141.218.60.56/~jnz1568/getInfo.php?workbook=11_02.xlsx&amp;sheet=U0&amp;row=1214&amp;col=7&amp;number=0.011&amp;sourceID=14","0.011")</f>
        <v>0.011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HYPERLINK("http://141.218.60.56/~jnz1568/getInfo.php?workbook=11_02.xlsx&amp;sheet=U0&amp;row=1215&amp;col=6&amp;number=4.1&amp;sourceID=14","4.1")</f>
        <v>4.1</v>
      </c>
      <c r="G1215" s="4" t="str">
        <f>HYPERLINK("http://141.218.60.56/~jnz1568/getInfo.php?workbook=11_02.xlsx&amp;sheet=U0&amp;row=1215&amp;col=7&amp;number=0.011&amp;sourceID=14","0.011")</f>
        <v>0.011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HYPERLINK("http://141.218.60.56/~jnz1568/getInfo.php?workbook=11_02.xlsx&amp;sheet=U0&amp;row=1216&amp;col=6&amp;number=4.2&amp;sourceID=14","4.2")</f>
        <v>4.2</v>
      </c>
      <c r="G1216" s="4" t="str">
        <f>HYPERLINK("http://141.218.60.56/~jnz1568/getInfo.php?workbook=11_02.xlsx&amp;sheet=U0&amp;row=1216&amp;col=7&amp;number=0.0111&amp;sourceID=14","0.0111")</f>
        <v>0.0111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HYPERLINK("http://141.218.60.56/~jnz1568/getInfo.php?workbook=11_02.xlsx&amp;sheet=U0&amp;row=1217&amp;col=6&amp;number=4.3&amp;sourceID=14","4.3")</f>
        <v>4.3</v>
      </c>
      <c r="G1217" s="4" t="str">
        <f>HYPERLINK("http://141.218.60.56/~jnz1568/getInfo.php?workbook=11_02.xlsx&amp;sheet=U0&amp;row=1217&amp;col=7&amp;number=0.0111&amp;sourceID=14","0.0111")</f>
        <v>0.0111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HYPERLINK("http://141.218.60.56/~jnz1568/getInfo.php?workbook=11_02.xlsx&amp;sheet=U0&amp;row=1218&amp;col=6&amp;number=4.4&amp;sourceID=14","4.4")</f>
        <v>4.4</v>
      </c>
      <c r="G1218" s="4" t="str">
        <f>HYPERLINK("http://141.218.60.56/~jnz1568/getInfo.php?workbook=11_02.xlsx&amp;sheet=U0&amp;row=1218&amp;col=7&amp;number=0.0112&amp;sourceID=14","0.0112")</f>
        <v>0.0112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HYPERLINK("http://141.218.60.56/~jnz1568/getInfo.php?workbook=11_02.xlsx&amp;sheet=U0&amp;row=1219&amp;col=6&amp;number=4.5&amp;sourceID=14","4.5")</f>
        <v>4.5</v>
      </c>
      <c r="G1219" s="4" t="str">
        <f>HYPERLINK("http://141.218.60.56/~jnz1568/getInfo.php?workbook=11_02.xlsx&amp;sheet=U0&amp;row=1219&amp;col=7&amp;number=0.0113&amp;sourceID=14","0.0113")</f>
        <v>0.0113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HYPERLINK("http://141.218.60.56/~jnz1568/getInfo.php?workbook=11_02.xlsx&amp;sheet=U0&amp;row=1220&amp;col=6&amp;number=4.6&amp;sourceID=14","4.6")</f>
        <v>4.6</v>
      </c>
      <c r="G1220" s="4" t="str">
        <f>HYPERLINK("http://141.218.60.56/~jnz1568/getInfo.php?workbook=11_02.xlsx&amp;sheet=U0&amp;row=1220&amp;col=7&amp;number=0.0114&amp;sourceID=14","0.0114")</f>
        <v>0.0114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HYPERLINK("http://141.218.60.56/~jnz1568/getInfo.php?workbook=11_02.xlsx&amp;sheet=U0&amp;row=1221&amp;col=6&amp;number=4.7&amp;sourceID=14","4.7")</f>
        <v>4.7</v>
      </c>
      <c r="G1221" s="4" t="str">
        <f>HYPERLINK("http://141.218.60.56/~jnz1568/getInfo.php?workbook=11_02.xlsx&amp;sheet=U0&amp;row=1221&amp;col=7&amp;number=0.0116&amp;sourceID=14","0.0116")</f>
        <v>0.0116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HYPERLINK("http://141.218.60.56/~jnz1568/getInfo.php?workbook=11_02.xlsx&amp;sheet=U0&amp;row=1222&amp;col=6&amp;number=4.8&amp;sourceID=14","4.8")</f>
        <v>4.8</v>
      </c>
      <c r="G1222" s="4" t="str">
        <f>HYPERLINK("http://141.218.60.56/~jnz1568/getInfo.php?workbook=11_02.xlsx&amp;sheet=U0&amp;row=1222&amp;col=7&amp;number=0.0118&amp;sourceID=14","0.0118")</f>
        <v>0.0118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HYPERLINK("http://141.218.60.56/~jnz1568/getInfo.php?workbook=11_02.xlsx&amp;sheet=U0&amp;row=1223&amp;col=6&amp;number=4.9&amp;sourceID=14","4.9")</f>
        <v>4.9</v>
      </c>
      <c r="G1223" s="4" t="str">
        <f>HYPERLINK("http://141.218.60.56/~jnz1568/getInfo.php?workbook=11_02.xlsx&amp;sheet=U0&amp;row=1223&amp;col=7&amp;number=0.012&amp;sourceID=14","0.012")</f>
        <v>0.012</v>
      </c>
    </row>
    <row r="1224" spans="1:7">
      <c r="A1224" s="3">
        <v>11</v>
      </c>
      <c r="B1224" s="3">
        <v>2</v>
      </c>
      <c r="C1224" s="3">
        <v>6</v>
      </c>
      <c r="D1224" s="3">
        <v>16</v>
      </c>
      <c r="E1224" s="3">
        <v>1</v>
      </c>
      <c r="F1224" s="4" t="str">
        <f>HYPERLINK("http://141.218.60.56/~jnz1568/getInfo.php?workbook=11_02.xlsx&amp;sheet=U0&amp;row=1224&amp;col=6&amp;number=3&amp;sourceID=14","3")</f>
        <v>3</v>
      </c>
      <c r="G1224" s="4" t="str">
        <f>HYPERLINK("http://141.218.60.56/~jnz1568/getInfo.php?workbook=11_02.xlsx&amp;sheet=U0&amp;row=1224&amp;col=7&amp;number=0.05&amp;sourceID=14","0.05")</f>
        <v>0.05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HYPERLINK("http://141.218.60.56/~jnz1568/getInfo.php?workbook=11_02.xlsx&amp;sheet=U0&amp;row=1225&amp;col=6&amp;number=3.1&amp;sourceID=14","3.1")</f>
        <v>3.1</v>
      </c>
      <c r="G1225" s="4" t="str">
        <f>HYPERLINK("http://141.218.60.56/~jnz1568/getInfo.php?workbook=11_02.xlsx&amp;sheet=U0&amp;row=1225&amp;col=7&amp;number=0.05&amp;sourceID=14","0.05")</f>
        <v>0.05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HYPERLINK("http://141.218.60.56/~jnz1568/getInfo.php?workbook=11_02.xlsx&amp;sheet=U0&amp;row=1226&amp;col=6&amp;number=3.2&amp;sourceID=14","3.2")</f>
        <v>3.2</v>
      </c>
      <c r="G1226" s="4" t="str">
        <f>HYPERLINK("http://141.218.60.56/~jnz1568/getInfo.php?workbook=11_02.xlsx&amp;sheet=U0&amp;row=1226&amp;col=7&amp;number=0.05&amp;sourceID=14","0.05")</f>
        <v>0.05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HYPERLINK("http://141.218.60.56/~jnz1568/getInfo.php?workbook=11_02.xlsx&amp;sheet=U0&amp;row=1227&amp;col=6&amp;number=3.3&amp;sourceID=14","3.3")</f>
        <v>3.3</v>
      </c>
      <c r="G1227" s="4" t="str">
        <f>HYPERLINK("http://141.218.60.56/~jnz1568/getInfo.php?workbook=11_02.xlsx&amp;sheet=U0&amp;row=1227&amp;col=7&amp;number=0.0501&amp;sourceID=14","0.0501")</f>
        <v>0.0501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HYPERLINK("http://141.218.60.56/~jnz1568/getInfo.php?workbook=11_02.xlsx&amp;sheet=U0&amp;row=1228&amp;col=6&amp;number=3.4&amp;sourceID=14","3.4")</f>
        <v>3.4</v>
      </c>
      <c r="G1228" s="4" t="str">
        <f>HYPERLINK("http://141.218.60.56/~jnz1568/getInfo.php?workbook=11_02.xlsx&amp;sheet=U0&amp;row=1228&amp;col=7&amp;number=0.0501&amp;sourceID=14","0.0501")</f>
        <v>0.0501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HYPERLINK("http://141.218.60.56/~jnz1568/getInfo.php?workbook=11_02.xlsx&amp;sheet=U0&amp;row=1229&amp;col=6&amp;number=3.5&amp;sourceID=14","3.5")</f>
        <v>3.5</v>
      </c>
      <c r="G1229" s="4" t="str">
        <f>HYPERLINK("http://141.218.60.56/~jnz1568/getInfo.php?workbook=11_02.xlsx&amp;sheet=U0&amp;row=1229&amp;col=7&amp;number=0.0501&amp;sourceID=14","0.0501")</f>
        <v>0.0501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HYPERLINK("http://141.218.60.56/~jnz1568/getInfo.php?workbook=11_02.xlsx&amp;sheet=U0&amp;row=1230&amp;col=6&amp;number=3.6&amp;sourceID=14","3.6")</f>
        <v>3.6</v>
      </c>
      <c r="G1230" s="4" t="str">
        <f>HYPERLINK("http://141.218.60.56/~jnz1568/getInfo.php?workbook=11_02.xlsx&amp;sheet=U0&amp;row=1230&amp;col=7&amp;number=0.0501&amp;sourceID=14","0.0501")</f>
        <v>0.0501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HYPERLINK("http://141.218.60.56/~jnz1568/getInfo.php?workbook=11_02.xlsx&amp;sheet=U0&amp;row=1231&amp;col=6&amp;number=3.7&amp;sourceID=14","3.7")</f>
        <v>3.7</v>
      </c>
      <c r="G1231" s="4" t="str">
        <f>HYPERLINK("http://141.218.60.56/~jnz1568/getInfo.php?workbook=11_02.xlsx&amp;sheet=U0&amp;row=1231&amp;col=7&amp;number=0.0501&amp;sourceID=14","0.0501")</f>
        <v>0.0501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HYPERLINK("http://141.218.60.56/~jnz1568/getInfo.php?workbook=11_02.xlsx&amp;sheet=U0&amp;row=1232&amp;col=6&amp;number=3.8&amp;sourceID=14","3.8")</f>
        <v>3.8</v>
      </c>
      <c r="G1232" s="4" t="str">
        <f>HYPERLINK("http://141.218.60.56/~jnz1568/getInfo.php?workbook=11_02.xlsx&amp;sheet=U0&amp;row=1232&amp;col=7&amp;number=0.0502&amp;sourceID=14","0.0502")</f>
        <v>0.0502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HYPERLINK("http://141.218.60.56/~jnz1568/getInfo.php?workbook=11_02.xlsx&amp;sheet=U0&amp;row=1233&amp;col=6&amp;number=3.9&amp;sourceID=14","3.9")</f>
        <v>3.9</v>
      </c>
      <c r="G1233" s="4" t="str">
        <f>HYPERLINK("http://141.218.60.56/~jnz1568/getInfo.php?workbook=11_02.xlsx&amp;sheet=U0&amp;row=1233&amp;col=7&amp;number=0.0502&amp;sourceID=14","0.0502")</f>
        <v>0.0502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HYPERLINK("http://141.218.60.56/~jnz1568/getInfo.php?workbook=11_02.xlsx&amp;sheet=U0&amp;row=1234&amp;col=6&amp;number=4&amp;sourceID=14","4")</f>
        <v>4</v>
      </c>
      <c r="G1234" s="4" t="str">
        <f>HYPERLINK("http://141.218.60.56/~jnz1568/getInfo.php?workbook=11_02.xlsx&amp;sheet=U0&amp;row=1234&amp;col=7&amp;number=0.0502&amp;sourceID=14","0.0502")</f>
        <v>0.0502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HYPERLINK("http://141.218.60.56/~jnz1568/getInfo.php?workbook=11_02.xlsx&amp;sheet=U0&amp;row=1235&amp;col=6&amp;number=4.1&amp;sourceID=14","4.1")</f>
        <v>4.1</v>
      </c>
      <c r="G1235" s="4" t="str">
        <f>HYPERLINK("http://141.218.60.56/~jnz1568/getInfo.php?workbook=11_02.xlsx&amp;sheet=U0&amp;row=1235&amp;col=7&amp;number=0.0503&amp;sourceID=14","0.0503")</f>
        <v>0.0503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HYPERLINK("http://141.218.60.56/~jnz1568/getInfo.php?workbook=11_02.xlsx&amp;sheet=U0&amp;row=1236&amp;col=6&amp;number=4.2&amp;sourceID=14","4.2")</f>
        <v>4.2</v>
      </c>
      <c r="G1236" s="4" t="str">
        <f>HYPERLINK("http://141.218.60.56/~jnz1568/getInfo.php?workbook=11_02.xlsx&amp;sheet=U0&amp;row=1236&amp;col=7&amp;number=0.0504&amp;sourceID=14","0.0504")</f>
        <v>0.0504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HYPERLINK("http://141.218.60.56/~jnz1568/getInfo.php?workbook=11_02.xlsx&amp;sheet=U0&amp;row=1237&amp;col=6&amp;number=4.3&amp;sourceID=14","4.3")</f>
        <v>4.3</v>
      </c>
      <c r="G1237" s="4" t="str">
        <f>HYPERLINK("http://141.218.60.56/~jnz1568/getInfo.php?workbook=11_02.xlsx&amp;sheet=U0&amp;row=1237&amp;col=7&amp;number=0.0505&amp;sourceID=14","0.0505")</f>
        <v>0.0505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HYPERLINK("http://141.218.60.56/~jnz1568/getInfo.php?workbook=11_02.xlsx&amp;sheet=U0&amp;row=1238&amp;col=6&amp;number=4.4&amp;sourceID=14","4.4")</f>
        <v>4.4</v>
      </c>
      <c r="G1238" s="4" t="str">
        <f>HYPERLINK("http://141.218.60.56/~jnz1568/getInfo.php?workbook=11_02.xlsx&amp;sheet=U0&amp;row=1238&amp;col=7&amp;number=0.0506&amp;sourceID=14","0.0506")</f>
        <v>0.0506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HYPERLINK("http://141.218.60.56/~jnz1568/getInfo.php?workbook=11_02.xlsx&amp;sheet=U0&amp;row=1239&amp;col=6&amp;number=4.5&amp;sourceID=14","4.5")</f>
        <v>4.5</v>
      </c>
      <c r="G1239" s="4" t="str">
        <f>HYPERLINK("http://141.218.60.56/~jnz1568/getInfo.php?workbook=11_02.xlsx&amp;sheet=U0&amp;row=1239&amp;col=7&amp;number=0.0507&amp;sourceID=14","0.0507")</f>
        <v>0.0507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HYPERLINK("http://141.218.60.56/~jnz1568/getInfo.php?workbook=11_02.xlsx&amp;sheet=U0&amp;row=1240&amp;col=6&amp;number=4.6&amp;sourceID=14","4.6")</f>
        <v>4.6</v>
      </c>
      <c r="G1240" s="4" t="str">
        <f>HYPERLINK("http://141.218.60.56/~jnz1568/getInfo.php?workbook=11_02.xlsx&amp;sheet=U0&amp;row=1240&amp;col=7&amp;number=0.0509&amp;sourceID=14","0.0509")</f>
        <v>0.0509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HYPERLINK("http://141.218.60.56/~jnz1568/getInfo.php?workbook=11_02.xlsx&amp;sheet=U0&amp;row=1241&amp;col=6&amp;number=4.7&amp;sourceID=14","4.7")</f>
        <v>4.7</v>
      </c>
      <c r="G1241" s="4" t="str">
        <f>HYPERLINK("http://141.218.60.56/~jnz1568/getInfo.php?workbook=11_02.xlsx&amp;sheet=U0&amp;row=1241&amp;col=7&amp;number=0.0511&amp;sourceID=14","0.0511")</f>
        <v>0.0511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HYPERLINK("http://141.218.60.56/~jnz1568/getInfo.php?workbook=11_02.xlsx&amp;sheet=U0&amp;row=1242&amp;col=6&amp;number=4.8&amp;sourceID=14","4.8")</f>
        <v>4.8</v>
      </c>
      <c r="G1242" s="4" t="str">
        <f>HYPERLINK("http://141.218.60.56/~jnz1568/getInfo.php?workbook=11_02.xlsx&amp;sheet=U0&amp;row=1242&amp;col=7&amp;number=0.0514&amp;sourceID=14","0.0514")</f>
        <v>0.0514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HYPERLINK("http://141.218.60.56/~jnz1568/getInfo.php?workbook=11_02.xlsx&amp;sheet=U0&amp;row=1243&amp;col=6&amp;number=4.9&amp;sourceID=14","4.9")</f>
        <v>4.9</v>
      </c>
      <c r="G1243" s="4" t="str">
        <f>HYPERLINK("http://141.218.60.56/~jnz1568/getInfo.php?workbook=11_02.xlsx&amp;sheet=U0&amp;row=1243&amp;col=7&amp;number=0.0517&amp;sourceID=14","0.0517")</f>
        <v>0.0517</v>
      </c>
    </row>
    <row r="1244" spans="1:7">
      <c r="A1244" s="3">
        <v>11</v>
      </c>
      <c r="B1244" s="3">
        <v>2</v>
      </c>
      <c r="C1244" s="3">
        <v>6</v>
      </c>
      <c r="D1244" s="3">
        <v>17</v>
      </c>
      <c r="E1244" s="3">
        <v>1</v>
      </c>
      <c r="F1244" s="4" t="str">
        <f>HYPERLINK("http://141.218.60.56/~jnz1568/getInfo.php?workbook=11_02.xlsx&amp;sheet=U0&amp;row=1244&amp;col=6&amp;number=3&amp;sourceID=14","3")</f>
        <v>3</v>
      </c>
      <c r="G1244" s="4" t="str">
        <f>HYPERLINK("http://141.218.60.56/~jnz1568/getInfo.php?workbook=11_02.xlsx&amp;sheet=U0&amp;row=1244&amp;col=7&amp;number=0.028&amp;sourceID=14","0.028")</f>
        <v>0.028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HYPERLINK("http://141.218.60.56/~jnz1568/getInfo.php?workbook=11_02.xlsx&amp;sheet=U0&amp;row=1245&amp;col=6&amp;number=3.1&amp;sourceID=14","3.1")</f>
        <v>3.1</v>
      </c>
      <c r="G1245" s="4" t="str">
        <f>HYPERLINK("http://141.218.60.56/~jnz1568/getInfo.php?workbook=11_02.xlsx&amp;sheet=U0&amp;row=1245&amp;col=7&amp;number=0.028&amp;sourceID=14","0.028")</f>
        <v>0.028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HYPERLINK("http://141.218.60.56/~jnz1568/getInfo.php?workbook=11_02.xlsx&amp;sheet=U0&amp;row=1246&amp;col=6&amp;number=3.2&amp;sourceID=14","3.2")</f>
        <v>3.2</v>
      </c>
      <c r="G1246" s="4" t="str">
        <f>HYPERLINK("http://141.218.60.56/~jnz1568/getInfo.php?workbook=11_02.xlsx&amp;sheet=U0&amp;row=1246&amp;col=7&amp;number=0.028&amp;sourceID=14","0.028")</f>
        <v>0.028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HYPERLINK("http://141.218.60.56/~jnz1568/getInfo.php?workbook=11_02.xlsx&amp;sheet=U0&amp;row=1247&amp;col=6&amp;number=3.3&amp;sourceID=14","3.3")</f>
        <v>3.3</v>
      </c>
      <c r="G1247" s="4" t="str">
        <f>HYPERLINK("http://141.218.60.56/~jnz1568/getInfo.php?workbook=11_02.xlsx&amp;sheet=U0&amp;row=1247&amp;col=7&amp;number=0.0281&amp;sourceID=14","0.0281")</f>
        <v>0.0281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HYPERLINK("http://141.218.60.56/~jnz1568/getInfo.php?workbook=11_02.xlsx&amp;sheet=U0&amp;row=1248&amp;col=6&amp;number=3.4&amp;sourceID=14","3.4")</f>
        <v>3.4</v>
      </c>
      <c r="G1248" s="4" t="str">
        <f>HYPERLINK("http://141.218.60.56/~jnz1568/getInfo.php?workbook=11_02.xlsx&amp;sheet=U0&amp;row=1248&amp;col=7&amp;number=0.0281&amp;sourceID=14","0.0281")</f>
        <v>0.0281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HYPERLINK("http://141.218.60.56/~jnz1568/getInfo.php?workbook=11_02.xlsx&amp;sheet=U0&amp;row=1249&amp;col=6&amp;number=3.5&amp;sourceID=14","3.5")</f>
        <v>3.5</v>
      </c>
      <c r="G1249" s="4" t="str">
        <f>HYPERLINK("http://141.218.60.56/~jnz1568/getInfo.php?workbook=11_02.xlsx&amp;sheet=U0&amp;row=1249&amp;col=7&amp;number=0.0281&amp;sourceID=14","0.0281")</f>
        <v>0.0281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HYPERLINK("http://141.218.60.56/~jnz1568/getInfo.php?workbook=11_02.xlsx&amp;sheet=U0&amp;row=1250&amp;col=6&amp;number=3.6&amp;sourceID=14","3.6")</f>
        <v>3.6</v>
      </c>
      <c r="G1250" s="4" t="str">
        <f>HYPERLINK("http://141.218.60.56/~jnz1568/getInfo.php?workbook=11_02.xlsx&amp;sheet=U0&amp;row=1250&amp;col=7&amp;number=0.0281&amp;sourceID=14","0.0281")</f>
        <v>0.0281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HYPERLINK("http://141.218.60.56/~jnz1568/getInfo.php?workbook=11_02.xlsx&amp;sheet=U0&amp;row=1251&amp;col=6&amp;number=3.7&amp;sourceID=14","3.7")</f>
        <v>3.7</v>
      </c>
      <c r="G1251" s="4" t="str">
        <f>HYPERLINK("http://141.218.60.56/~jnz1568/getInfo.php?workbook=11_02.xlsx&amp;sheet=U0&amp;row=1251&amp;col=7&amp;number=0.0281&amp;sourceID=14","0.0281")</f>
        <v>0.0281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HYPERLINK("http://141.218.60.56/~jnz1568/getInfo.php?workbook=11_02.xlsx&amp;sheet=U0&amp;row=1252&amp;col=6&amp;number=3.8&amp;sourceID=14","3.8")</f>
        <v>3.8</v>
      </c>
      <c r="G1252" s="4" t="str">
        <f>HYPERLINK("http://141.218.60.56/~jnz1568/getInfo.php?workbook=11_02.xlsx&amp;sheet=U0&amp;row=1252&amp;col=7&amp;number=0.0281&amp;sourceID=14","0.0281")</f>
        <v>0.0281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HYPERLINK("http://141.218.60.56/~jnz1568/getInfo.php?workbook=11_02.xlsx&amp;sheet=U0&amp;row=1253&amp;col=6&amp;number=3.9&amp;sourceID=14","3.9")</f>
        <v>3.9</v>
      </c>
      <c r="G1253" s="4" t="str">
        <f>HYPERLINK("http://141.218.60.56/~jnz1568/getInfo.php?workbook=11_02.xlsx&amp;sheet=U0&amp;row=1253&amp;col=7&amp;number=0.0281&amp;sourceID=14","0.0281")</f>
        <v>0.0281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HYPERLINK("http://141.218.60.56/~jnz1568/getInfo.php?workbook=11_02.xlsx&amp;sheet=U0&amp;row=1254&amp;col=6&amp;number=4&amp;sourceID=14","4")</f>
        <v>4</v>
      </c>
      <c r="G1254" s="4" t="str">
        <f>HYPERLINK("http://141.218.60.56/~jnz1568/getInfo.php?workbook=11_02.xlsx&amp;sheet=U0&amp;row=1254&amp;col=7&amp;number=0.0282&amp;sourceID=14","0.0282")</f>
        <v>0.0282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HYPERLINK("http://141.218.60.56/~jnz1568/getInfo.php?workbook=11_02.xlsx&amp;sheet=U0&amp;row=1255&amp;col=6&amp;number=4.1&amp;sourceID=14","4.1")</f>
        <v>4.1</v>
      </c>
      <c r="G1255" s="4" t="str">
        <f>HYPERLINK("http://141.218.60.56/~jnz1568/getInfo.php?workbook=11_02.xlsx&amp;sheet=U0&amp;row=1255&amp;col=7&amp;number=0.0282&amp;sourceID=14","0.0282")</f>
        <v>0.0282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HYPERLINK("http://141.218.60.56/~jnz1568/getInfo.php?workbook=11_02.xlsx&amp;sheet=U0&amp;row=1256&amp;col=6&amp;number=4.2&amp;sourceID=14","4.2")</f>
        <v>4.2</v>
      </c>
      <c r="G1256" s="4" t="str">
        <f>HYPERLINK("http://141.218.60.56/~jnz1568/getInfo.php?workbook=11_02.xlsx&amp;sheet=U0&amp;row=1256&amp;col=7&amp;number=0.0283&amp;sourceID=14","0.0283")</f>
        <v>0.0283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HYPERLINK("http://141.218.60.56/~jnz1568/getInfo.php?workbook=11_02.xlsx&amp;sheet=U0&amp;row=1257&amp;col=6&amp;number=4.3&amp;sourceID=14","4.3")</f>
        <v>4.3</v>
      </c>
      <c r="G1257" s="4" t="str">
        <f>HYPERLINK("http://141.218.60.56/~jnz1568/getInfo.php?workbook=11_02.xlsx&amp;sheet=U0&amp;row=1257&amp;col=7&amp;number=0.0283&amp;sourceID=14","0.0283")</f>
        <v>0.0283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HYPERLINK("http://141.218.60.56/~jnz1568/getInfo.php?workbook=11_02.xlsx&amp;sheet=U0&amp;row=1258&amp;col=6&amp;number=4.4&amp;sourceID=14","4.4")</f>
        <v>4.4</v>
      </c>
      <c r="G1258" s="4" t="str">
        <f>HYPERLINK("http://141.218.60.56/~jnz1568/getInfo.php?workbook=11_02.xlsx&amp;sheet=U0&amp;row=1258&amp;col=7&amp;number=0.0284&amp;sourceID=14","0.0284")</f>
        <v>0.0284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HYPERLINK("http://141.218.60.56/~jnz1568/getInfo.php?workbook=11_02.xlsx&amp;sheet=U0&amp;row=1259&amp;col=6&amp;number=4.5&amp;sourceID=14","4.5")</f>
        <v>4.5</v>
      </c>
      <c r="G1259" s="4" t="str">
        <f>HYPERLINK("http://141.218.60.56/~jnz1568/getInfo.php?workbook=11_02.xlsx&amp;sheet=U0&amp;row=1259&amp;col=7&amp;number=0.0285&amp;sourceID=14","0.0285")</f>
        <v>0.0285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HYPERLINK("http://141.218.60.56/~jnz1568/getInfo.php?workbook=11_02.xlsx&amp;sheet=U0&amp;row=1260&amp;col=6&amp;number=4.6&amp;sourceID=14","4.6")</f>
        <v>4.6</v>
      </c>
      <c r="G1260" s="4" t="str">
        <f>HYPERLINK("http://141.218.60.56/~jnz1568/getInfo.php?workbook=11_02.xlsx&amp;sheet=U0&amp;row=1260&amp;col=7&amp;number=0.0287&amp;sourceID=14","0.0287")</f>
        <v>0.0287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HYPERLINK("http://141.218.60.56/~jnz1568/getInfo.php?workbook=11_02.xlsx&amp;sheet=U0&amp;row=1261&amp;col=6&amp;number=4.7&amp;sourceID=14","4.7")</f>
        <v>4.7</v>
      </c>
      <c r="G1261" s="4" t="str">
        <f>HYPERLINK("http://141.218.60.56/~jnz1568/getInfo.php?workbook=11_02.xlsx&amp;sheet=U0&amp;row=1261&amp;col=7&amp;number=0.0288&amp;sourceID=14","0.0288")</f>
        <v>0.0288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HYPERLINK("http://141.218.60.56/~jnz1568/getInfo.php?workbook=11_02.xlsx&amp;sheet=U0&amp;row=1262&amp;col=6&amp;number=4.8&amp;sourceID=14","4.8")</f>
        <v>4.8</v>
      </c>
      <c r="G1262" s="4" t="str">
        <f>HYPERLINK("http://141.218.60.56/~jnz1568/getInfo.php?workbook=11_02.xlsx&amp;sheet=U0&amp;row=1262&amp;col=7&amp;number=0.029&amp;sourceID=14","0.029")</f>
        <v>0.029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HYPERLINK("http://141.218.60.56/~jnz1568/getInfo.php?workbook=11_02.xlsx&amp;sheet=U0&amp;row=1263&amp;col=6&amp;number=4.9&amp;sourceID=14","4.9")</f>
        <v>4.9</v>
      </c>
      <c r="G1263" s="4" t="str">
        <f>HYPERLINK("http://141.218.60.56/~jnz1568/getInfo.php?workbook=11_02.xlsx&amp;sheet=U0&amp;row=1263&amp;col=7&amp;number=0.0293&amp;sourceID=14","0.0293")</f>
        <v>0.0293</v>
      </c>
    </row>
    <row r="1264" spans="1:7">
      <c r="A1264" s="3">
        <v>11</v>
      </c>
      <c r="B1264" s="3">
        <v>2</v>
      </c>
      <c r="C1264" s="3">
        <v>6</v>
      </c>
      <c r="D1264" s="3">
        <v>18</v>
      </c>
      <c r="E1264" s="3">
        <v>1</v>
      </c>
      <c r="F1264" s="4" t="str">
        <f>HYPERLINK("http://141.218.60.56/~jnz1568/getInfo.php?workbook=11_02.xlsx&amp;sheet=U0&amp;row=1264&amp;col=6&amp;number=3&amp;sourceID=14","3")</f>
        <v>3</v>
      </c>
      <c r="G1264" s="4" t="str">
        <f>HYPERLINK("http://141.218.60.56/~jnz1568/getInfo.php?workbook=11_02.xlsx&amp;sheet=U0&amp;row=1264&amp;col=7&amp;number=0.0043&amp;sourceID=14","0.0043")</f>
        <v>0.0043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HYPERLINK("http://141.218.60.56/~jnz1568/getInfo.php?workbook=11_02.xlsx&amp;sheet=U0&amp;row=1265&amp;col=6&amp;number=3.1&amp;sourceID=14","3.1")</f>
        <v>3.1</v>
      </c>
      <c r="G1265" s="4" t="str">
        <f>HYPERLINK("http://141.218.60.56/~jnz1568/getInfo.php?workbook=11_02.xlsx&amp;sheet=U0&amp;row=1265&amp;col=7&amp;number=0.0043&amp;sourceID=14","0.0043")</f>
        <v>0.0043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HYPERLINK("http://141.218.60.56/~jnz1568/getInfo.php?workbook=11_02.xlsx&amp;sheet=U0&amp;row=1266&amp;col=6&amp;number=3.2&amp;sourceID=14","3.2")</f>
        <v>3.2</v>
      </c>
      <c r="G1266" s="4" t="str">
        <f>HYPERLINK("http://141.218.60.56/~jnz1568/getInfo.php?workbook=11_02.xlsx&amp;sheet=U0&amp;row=1266&amp;col=7&amp;number=0.0043&amp;sourceID=14","0.0043")</f>
        <v>0.0043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HYPERLINK("http://141.218.60.56/~jnz1568/getInfo.php?workbook=11_02.xlsx&amp;sheet=U0&amp;row=1267&amp;col=6&amp;number=3.3&amp;sourceID=14","3.3")</f>
        <v>3.3</v>
      </c>
      <c r="G1267" s="4" t="str">
        <f>HYPERLINK("http://141.218.60.56/~jnz1568/getInfo.php?workbook=11_02.xlsx&amp;sheet=U0&amp;row=1267&amp;col=7&amp;number=0.00429&amp;sourceID=14","0.00429")</f>
        <v>0.00429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HYPERLINK("http://141.218.60.56/~jnz1568/getInfo.php?workbook=11_02.xlsx&amp;sheet=U0&amp;row=1268&amp;col=6&amp;number=3.4&amp;sourceID=14","3.4")</f>
        <v>3.4</v>
      </c>
      <c r="G1268" s="4" t="str">
        <f>HYPERLINK("http://141.218.60.56/~jnz1568/getInfo.php?workbook=11_02.xlsx&amp;sheet=U0&amp;row=1268&amp;col=7&amp;number=0.00428&amp;sourceID=14","0.00428")</f>
        <v>0.00428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HYPERLINK("http://141.218.60.56/~jnz1568/getInfo.php?workbook=11_02.xlsx&amp;sheet=U0&amp;row=1269&amp;col=6&amp;number=3.5&amp;sourceID=14","3.5")</f>
        <v>3.5</v>
      </c>
      <c r="G1269" s="4" t="str">
        <f>HYPERLINK("http://141.218.60.56/~jnz1568/getInfo.php?workbook=11_02.xlsx&amp;sheet=U0&amp;row=1269&amp;col=7&amp;number=0.00427&amp;sourceID=14","0.00427")</f>
        <v>0.00427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HYPERLINK("http://141.218.60.56/~jnz1568/getInfo.php?workbook=11_02.xlsx&amp;sheet=U0&amp;row=1270&amp;col=6&amp;number=3.6&amp;sourceID=14","3.6")</f>
        <v>3.6</v>
      </c>
      <c r="G1270" s="4" t="str">
        <f>HYPERLINK("http://141.218.60.56/~jnz1568/getInfo.php?workbook=11_02.xlsx&amp;sheet=U0&amp;row=1270&amp;col=7&amp;number=0.00426&amp;sourceID=14","0.00426")</f>
        <v>0.00426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HYPERLINK("http://141.218.60.56/~jnz1568/getInfo.php?workbook=11_02.xlsx&amp;sheet=U0&amp;row=1271&amp;col=6&amp;number=3.7&amp;sourceID=14","3.7")</f>
        <v>3.7</v>
      </c>
      <c r="G1271" s="4" t="str">
        <f>HYPERLINK("http://141.218.60.56/~jnz1568/getInfo.php?workbook=11_02.xlsx&amp;sheet=U0&amp;row=1271&amp;col=7&amp;number=0.00424&amp;sourceID=14","0.00424")</f>
        <v>0.00424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HYPERLINK("http://141.218.60.56/~jnz1568/getInfo.php?workbook=11_02.xlsx&amp;sheet=U0&amp;row=1272&amp;col=6&amp;number=3.8&amp;sourceID=14","3.8")</f>
        <v>3.8</v>
      </c>
      <c r="G1272" s="4" t="str">
        <f>HYPERLINK("http://141.218.60.56/~jnz1568/getInfo.php?workbook=11_02.xlsx&amp;sheet=U0&amp;row=1272&amp;col=7&amp;number=0.00423&amp;sourceID=14","0.00423")</f>
        <v>0.00423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HYPERLINK("http://141.218.60.56/~jnz1568/getInfo.php?workbook=11_02.xlsx&amp;sheet=U0&amp;row=1273&amp;col=6&amp;number=3.9&amp;sourceID=14","3.9")</f>
        <v>3.9</v>
      </c>
      <c r="G1273" s="4" t="str">
        <f>HYPERLINK("http://141.218.60.56/~jnz1568/getInfo.php?workbook=11_02.xlsx&amp;sheet=U0&amp;row=1273&amp;col=7&amp;number=0.0042&amp;sourceID=14","0.0042")</f>
        <v>0.0042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HYPERLINK("http://141.218.60.56/~jnz1568/getInfo.php?workbook=11_02.xlsx&amp;sheet=U0&amp;row=1274&amp;col=6&amp;number=4&amp;sourceID=14","4")</f>
        <v>4</v>
      </c>
      <c r="G1274" s="4" t="str">
        <f>HYPERLINK("http://141.218.60.56/~jnz1568/getInfo.php?workbook=11_02.xlsx&amp;sheet=U0&amp;row=1274&amp;col=7&amp;number=0.00417&amp;sourceID=14","0.00417")</f>
        <v>0.00417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HYPERLINK("http://141.218.60.56/~jnz1568/getInfo.php?workbook=11_02.xlsx&amp;sheet=U0&amp;row=1275&amp;col=6&amp;number=4.1&amp;sourceID=14","4.1")</f>
        <v>4.1</v>
      </c>
      <c r="G1275" s="4" t="str">
        <f>HYPERLINK("http://141.218.60.56/~jnz1568/getInfo.php?workbook=11_02.xlsx&amp;sheet=U0&amp;row=1275&amp;col=7&amp;number=0.00413&amp;sourceID=14","0.00413")</f>
        <v>0.00413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HYPERLINK("http://141.218.60.56/~jnz1568/getInfo.php?workbook=11_02.xlsx&amp;sheet=U0&amp;row=1276&amp;col=6&amp;number=4.2&amp;sourceID=14","4.2")</f>
        <v>4.2</v>
      </c>
      <c r="G1276" s="4" t="str">
        <f>HYPERLINK("http://141.218.60.56/~jnz1568/getInfo.php?workbook=11_02.xlsx&amp;sheet=U0&amp;row=1276&amp;col=7&amp;number=0.00409&amp;sourceID=14","0.00409")</f>
        <v>0.00409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HYPERLINK("http://141.218.60.56/~jnz1568/getInfo.php?workbook=11_02.xlsx&amp;sheet=U0&amp;row=1277&amp;col=6&amp;number=4.3&amp;sourceID=14","4.3")</f>
        <v>4.3</v>
      </c>
      <c r="G1277" s="4" t="str">
        <f>HYPERLINK("http://141.218.60.56/~jnz1568/getInfo.php?workbook=11_02.xlsx&amp;sheet=U0&amp;row=1277&amp;col=7&amp;number=0.00403&amp;sourceID=14","0.00403")</f>
        <v>0.00403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HYPERLINK("http://141.218.60.56/~jnz1568/getInfo.php?workbook=11_02.xlsx&amp;sheet=U0&amp;row=1278&amp;col=6&amp;number=4.4&amp;sourceID=14","4.4")</f>
        <v>4.4</v>
      </c>
      <c r="G1278" s="4" t="str">
        <f>HYPERLINK("http://141.218.60.56/~jnz1568/getInfo.php?workbook=11_02.xlsx&amp;sheet=U0&amp;row=1278&amp;col=7&amp;number=0.00396&amp;sourceID=14","0.00396")</f>
        <v>0.00396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HYPERLINK("http://141.218.60.56/~jnz1568/getInfo.php?workbook=11_02.xlsx&amp;sheet=U0&amp;row=1279&amp;col=6&amp;number=4.5&amp;sourceID=14","4.5")</f>
        <v>4.5</v>
      </c>
      <c r="G1279" s="4" t="str">
        <f>HYPERLINK("http://141.218.60.56/~jnz1568/getInfo.php?workbook=11_02.xlsx&amp;sheet=U0&amp;row=1279&amp;col=7&amp;number=0.00387&amp;sourceID=14","0.00387")</f>
        <v>0.00387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HYPERLINK("http://141.218.60.56/~jnz1568/getInfo.php?workbook=11_02.xlsx&amp;sheet=U0&amp;row=1280&amp;col=6&amp;number=4.6&amp;sourceID=14","4.6")</f>
        <v>4.6</v>
      </c>
      <c r="G1280" s="4" t="str">
        <f>HYPERLINK("http://141.218.60.56/~jnz1568/getInfo.php?workbook=11_02.xlsx&amp;sheet=U0&amp;row=1280&amp;col=7&amp;number=0.00376&amp;sourceID=14","0.00376")</f>
        <v>0.00376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HYPERLINK("http://141.218.60.56/~jnz1568/getInfo.php?workbook=11_02.xlsx&amp;sheet=U0&amp;row=1281&amp;col=6&amp;number=4.7&amp;sourceID=14","4.7")</f>
        <v>4.7</v>
      </c>
      <c r="G1281" s="4" t="str">
        <f>HYPERLINK("http://141.218.60.56/~jnz1568/getInfo.php?workbook=11_02.xlsx&amp;sheet=U0&amp;row=1281&amp;col=7&amp;number=0.00363&amp;sourceID=14","0.00363")</f>
        <v>0.00363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HYPERLINK("http://141.218.60.56/~jnz1568/getInfo.php?workbook=11_02.xlsx&amp;sheet=U0&amp;row=1282&amp;col=6&amp;number=4.8&amp;sourceID=14","4.8")</f>
        <v>4.8</v>
      </c>
      <c r="G1282" s="4" t="str">
        <f>HYPERLINK("http://141.218.60.56/~jnz1568/getInfo.php?workbook=11_02.xlsx&amp;sheet=U0&amp;row=1282&amp;col=7&amp;number=0.00348&amp;sourceID=14","0.00348")</f>
        <v>0.00348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HYPERLINK("http://141.218.60.56/~jnz1568/getInfo.php?workbook=11_02.xlsx&amp;sheet=U0&amp;row=1283&amp;col=6&amp;number=4.9&amp;sourceID=14","4.9")</f>
        <v>4.9</v>
      </c>
      <c r="G1283" s="4" t="str">
        <f>HYPERLINK("http://141.218.60.56/~jnz1568/getInfo.php?workbook=11_02.xlsx&amp;sheet=U0&amp;row=1283&amp;col=7&amp;number=0.00329&amp;sourceID=14","0.00329")</f>
        <v>0.00329</v>
      </c>
    </row>
    <row r="1284" spans="1:7">
      <c r="A1284" s="3">
        <v>11</v>
      </c>
      <c r="B1284" s="3">
        <v>2</v>
      </c>
      <c r="C1284" s="3">
        <v>6</v>
      </c>
      <c r="D1284" s="3">
        <v>19</v>
      </c>
      <c r="E1284" s="3">
        <v>1</v>
      </c>
      <c r="F1284" s="4" t="str">
        <f>HYPERLINK("http://141.218.60.56/~jnz1568/getInfo.php?workbook=11_02.xlsx&amp;sheet=U0&amp;row=1284&amp;col=6&amp;number=3&amp;sourceID=14","3")</f>
        <v>3</v>
      </c>
      <c r="G1284" s="4" t="str">
        <f>HYPERLINK("http://141.218.60.56/~jnz1568/getInfo.php?workbook=11_02.xlsx&amp;sheet=U0&amp;row=1284&amp;col=7&amp;number=0.000856&amp;sourceID=14","0.000856")</f>
        <v>0.000856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HYPERLINK("http://141.218.60.56/~jnz1568/getInfo.php?workbook=11_02.xlsx&amp;sheet=U0&amp;row=1285&amp;col=6&amp;number=3.1&amp;sourceID=14","3.1")</f>
        <v>3.1</v>
      </c>
      <c r="G1285" s="4" t="str">
        <f>HYPERLINK("http://141.218.60.56/~jnz1568/getInfo.php?workbook=11_02.xlsx&amp;sheet=U0&amp;row=1285&amp;col=7&amp;number=0.000855&amp;sourceID=14","0.000855")</f>
        <v>0.000855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HYPERLINK("http://141.218.60.56/~jnz1568/getInfo.php?workbook=11_02.xlsx&amp;sheet=U0&amp;row=1286&amp;col=6&amp;number=3.2&amp;sourceID=14","3.2")</f>
        <v>3.2</v>
      </c>
      <c r="G1286" s="4" t="str">
        <f>HYPERLINK("http://141.218.60.56/~jnz1568/getInfo.php?workbook=11_02.xlsx&amp;sheet=U0&amp;row=1286&amp;col=7&amp;number=0.000855&amp;sourceID=14","0.000855")</f>
        <v>0.000855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HYPERLINK("http://141.218.60.56/~jnz1568/getInfo.php?workbook=11_02.xlsx&amp;sheet=U0&amp;row=1287&amp;col=6&amp;number=3.3&amp;sourceID=14","3.3")</f>
        <v>3.3</v>
      </c>
      <c r="G1287" s="4" t="str">
        <f>HYPERLINK("http://141.218.60.56/~jnz1568/getInfo.php?workbook=11_02.xlsx&amp;sheet=U0&amp;row=1287&amp;col=7&amp;number=0.000854&amp;sourceID=14","0.000854")</f>
        <v>0.000854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HYPERLINK("http://141.218.60.56/~jnz1568/getInfo.php?workbook=11_02.xlsx&amp;sheet=U0&amp;row=1288&amp;col=6&amp;number=3.4&amp;sourceID=14","3.4")</f>
        <v>3.4</v>
      </c>
      <c r="G1288" s="4" t="str">
        <f>HYPERLINK("http://141.218.60.56/~jnz1568/getInfo.php?workbook=11_02.xlsx&amp;sheet=U0&amp;row=1288&amp;col=7&amp;number=0.000854&amp;sourceID=14","0.000854")</f>
        <v>0.000854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HYPERLINK("http://141.218.60.56/~jnz1568/getInfo.php?workbook=11_02.xlsx&amp;sheet=U0&amp;row=1289&amp;col=6&amp;number=3.5&amp;sourceID=14","3.5")</f>
        <v>3.5</v>
      </c>
      <c r="G1289" s="4" t="str">
        <f>HYPERLINK("http://141.218.60.56/~jnz1568/getInfo.php?workbook=11_02.xlsx&amp;sheet=U0&amp;row=1289&amp;col=7&amp;number=0.000853&amp;sourceID=14","0.000853")</f>
        <v>0.000853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HYPERLINK("http://141.218.60.56/~jnz1568/getInfo.php?workbook=11_02.xlsx&amp;sheet=U0&amp;row=1290&amp;col=6&amp;number=3.6&amp;sourceID=14","3.6")</f>
        <v>3.6</v>
      </c>
      <c r="G1290" s="4" t="str">
        <f>HYPERLINK("http://141.218.60.56/~jnz1568/getInfo.php?workbook=11_02.xlsx&amp;sheet=U0&amp;row=1290&amp;col=7&amp;number=0.000852&amp;sourceID=14","0.000852")</f>
        <v>0.000852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HYPERLINK("http://141.218.60.56/~jnz1568/getInfo.php?workbook=11_02.xlsx&amp;sheet=U0&amp;row=1291&amp;col=6&amp;number=3.7&amp;sourceID=14","3.7")</f>
        <v>3.7</v>
      </c>
      <c r="G1291" s="4" t="str">
        <f>HYPERLINK("http://141.218.60.56/~jnz1568/getInfo.php?workbook=11_02.xlsx&amp;sheet=U0&amp;row=1291&amp;col=7&amp;number=0.000851&amp;sourceID=14","0.000851")</f>
        <v>0.000851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HYPERLINK("http://141.218.60.56/~jnz1568/getInfo.php?workbook=11_02.xlsx&amp;sheet=U0&amp;row=1292&amp;col=6&amp;number=3.8&amp;sourceID=14","3.8")</f>
        <v>3.8</v>
      </c>
      <c r="G1292" s="4" t="str">
        <f>HYPERLINK("http://141.218.60.56/~jnz1568/getInfo.php?workbook=11_02.xlsx&amp;sheet=U0&amp;row=1292&amp;col=7&amp;number=0.000849&amp;sourceID=14","0.000849")</f>
        <v>0.000849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HYPERLINK("http://141.218.60.56/~jnz1568/getInfo.php?workbook=11_02.xlsx&amp;sheet=U0&amp;row=1293&amp;col=6&amp;number=3.9&amp;sourceID=14","3.9")</f>
        <v>3.9</v>
      </c>
      <c r="G1293" s="4" t="str">
        <f>HYPERLINK("http://141.218.60.56/~jnz1568/getInfo.php?workbook=11_02.xlsx&amp;sheet=U0&amp;row=1293&amp;col=7&amp;number=0.000847&amp;sourceID=14","0.000847")</f>
        <v>0.000847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HYPERLINK("http://141.218.60.56/~jnz1568/getInfo.php?workbook=11_02.xlsx&amp;sheet=U0&amp;row=1294&amp;col=6&amp;number=4&amp;sourceID=14","4")</f>
        <v>4</v>
      </c>
      <c r="G1294" s="4" t="str">
        <f>HYPERLINK("http://141.218.60.56/~jnz1568/getInfo.php?workbook=11_02.xlsx&amp;sheet=U0&amp;row=1294&amp;col=7&amp;number=0.000845&amp;sourceID=14","0.000845")</f>
        <v>0.000845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HYPERLINK("http://141.218.60.56/~jnz1568/getInfo.php?workbook=11_02.xlsx&amp;sheet=U0&amp;row=1295&amp;col=6&amp;number=4.1&amp;sourceID=14","4.1")</f>
        <v>4.1</v>
      </c>
      <c r="G1295" s="4" t="str">
        <f>HYPERLINK("http://141.218.60.56/~jnz1568/getInfo.php?workbook=11_02.xlsx&amp;sheet=U0&amp;row=1295&amp;col=7&amp;number=0.000842&amp;sourceID=14","0.000842")</f>
        <v>0.000842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HYPERLINK("http://141.218.60.56/~jnz1568/getInfo.php?workbook=11_02.xlsx&amp;sheet=U0&amp;row=1296&amp;col=6&amp;number=4.2&amp;sourceID=14","4.2")</f>
        <v>4.2</v>
      </c>
      <c r="G1296" s="4" t="str">
        <f>HYPERLINK("http://141.218.60.56/~jnz1568/getInfo.php?workbook=11_02.xlsx&amp;sheet=U0&amp;row=1296&amp;col=7&amp;number=0.000838&amp;sourceID=14","0.000838")</f>
        <v>0.000838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HYPERLINK("http://141.218.60.56/~jnz1568/getInfo.php?workbook=11_02.xlsx&amp;sheet=U0&amp;row=1297&amp;col=6&amp;number=4.3&amp;sourceID=14","4.3")</f>
        <v>4.3</v>
      </c>
      <c r="G1297" s="4" t="str">
        <f>HYPERLINK("http://141.218.60.56/~jnz1568/getInfo.php?workbook=11_02.xlsx&amp;sheet=U0&amp;row=1297&amp;col=7&amp;number=0.000833&amp;sourceID=14","0.000833")</f>
        <v>0.000833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HYPERLINK("http://141.218.60.56/~jnz1568/getInfo.php?workbook=11_02.xlsx&amp;sheet=U0&amp;row=1298&amp;col=6&amp;number=4.4&amp;sourceID=14","4.4")</f>
        <v>4.4</v>
      </c>
      <c r="G1298" s="4" t="str">
        <f>HYPERLINK("http://141.218.60.56/~jnz1568/getInfo.php?workbook=11_02.xlsx&amp;sheet=U0&amp;row=1298&amp;col=7&amp;number=0.000827&amp;sourceID=14","0.000827")</f>
        <v>0.000827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HYPERLINK("http://141.218.60.56/~jnz1568/getInfo.php?workbook=11_02.xlsx&amp;sheet=U0&amp;row=1299&amp;col=6&amp;number=4.5&amp;sourceID=14","4.5")</f>
        <v>4.5</v>
      </c>
      <c r="G1299" s="4" t="str">
        <f>HYPERLINK("http://141.218.60.56/~jnz1568/getInfo.php?workbook=11_02.xlsx&amp;sheet=U0&amp;row=1299&amp;col=7&amp;number=0.000819&amp;sourceID=14","0.000819")</f>
        <v>0.000819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HYPERLINK("http://141.218.60.56/~jnz1568/getInfo.php?workbook=11_02.xlsx&amp;sheet=U0&amp;row=1300&amp;col=6&amp;number=4.6&amp;sourceID=14","4.6")</f>
        <v>4.6</v>
      </c>
      <c r="G1300" s="4" t="str">
        <f>HYPERLINK("http://141.218.60.56/~jnz1568/getInfo.php?workbook=11_02.xlsx&amp;sheet=U0&amp;row=1300&amp;col=7&amp;number=0.00081&amp;sourceID=14","0.00081")</f>
        <v>0.00081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HYPERLINK("http://141.218.60.56/~jnz1568/getInfo.php?workbook=11_02.xlsx&amp;sheet=U0&amp;row=1301&amp;col=6&amp;number=4.7&amp;sourceID=14","4.7")</f>
        <v>4.7</v>
      </c>
      <c r="G1301" s="4" t="str">
        <f>HYPERLINK("http://141.218.60.56/~jnz1568/getInfo.php?workbook=11_02.xlsx&amp;sheet=U0&amp;row=1301&amp;col=7&amp;number=0.000799&amp;sourceID=14","0.000799")</f>
        <v>0.000799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HYPERLINK("http://141.218.60.56/~jnz1568/getInfo.php?workbook=11_02.xlsx&amp;sheet=U0&amp;row=1302&amp;col=6&amp;number=4.8&amp;sourceID=14","4.8")</f>
        <v>4.8</v>
      </c>
      <c r="G1302" s="4" t="str">
        <f>HYPERLINK("http://141.218.60.56/~jnz1568/getInfo.php?workbook=11_02.xlsx&amp;sheet=U0&amp;row=1302&amp;col=7&amp;number=0.000785&amp;sourceID=14","0.000785")</f>
        <v>0.000785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HYPERLINK("http://141.218.60.56/~jnz1568/getInfo.php?workbook=11_02.xlsx&amp;sheet=U0&amp;row=1303&amp;col=6&amp;number=4.9&amp;sourceID=14","4.9")</f>
        <v>4.9</v>
      </c>
      <c r="G1303" s="4" t="str">
        <f>HYPERLINK("http://141.218.60.56/~jnz1568/getInfo.php?workbook=11_02.xlsx&amp;sheet=U0&amp;row=1303&amp;col=7&amp;number=0.000768&amp;sourceID=14","0.000768")</f>
        <v>0.000768</v>
      </c>
    </row>
    <row r="1304" spans="1:7">
      <c r="A1304" s="3">
        <v>11</v>
      </c>
      <c r="B1304" s="3">
        <v>2</v>
      </c>
      <c r="C1304" s="3">
        <v>6</v>
      </c>
      <c r="D1304" s="3">
        <v>20</v>
      </c>
      <c r="E1304" s="3">
        <v>1</v>
      </c>
      <c r="F1304" s="4" t="str">
        <f>HYPERLINK("http://141.218.60.56/~jnz1568/getInfo.php?workbook=11_02.xlsx&amp;sheet=U0&amp;row=1304&amp;col=6&amp;number=3&amp;sourceID=14","3")</f>
        <v>3</v>
      </c>
      <c r="G1304" s="4" t="str">
        <f>HYPERLINK("http://141.218.60.56/~jnz1568/getInfo.php?workbook=11_02.xlsx&amp;sheet=U0&amp;row=1304&amp;col=7&amp;number=0.00257&amp;sourceID=14","0.00257")</f>
        <v>0.00257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HYPERLINK("http://141.218.60.56/~jnz1568/getInfo.php?workbook=11_02.xlsx&amp;sheet=U0&amp;row=1305&amp;col=6&amp;number=3.1&amp;sourceID=14","3.1")</f>
        <v>3.1</v>
      </c>
      <c r="G1305" s="4" t="str">
        <f>HYPERLINK("http://141.218.60.56/~jnz1568/getInfo.php?workbook=11_02.xlsx&amp;sheet=U0&amp;row=1305&amp;col=7&amp;number=0.00257&amp;sourceID=14","0.00257")</f>
        <v>0.00257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HYPERLINK("http://141.218.60.56/~jnz1568/getInfo.php?workbook=11_02.xlsx&amp;sheet=U0&amp;row=1306&amp;col=6&amp;number=3.2&amp;sourceID=14","3.2")</f>
        <v>3.2</v>
      </c>
      <c r="G1306" s="4" t="str">
        <f>HYPERLINK("http://141.218.60.56/~jnz1568/getInfo.php?workbook=11_02.xlsx&amp;sheet=U0&amp;row=1306&amp;col=7&amp;number=0.00257&amp;sourceID=14","0.00257")</f>
        <v>0.00257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HYPERLINK("http://141.218.60.56/~jnz1568/getInfo.php?workbook=11_02.xlsx&amp;sheet=U0&amp;row=1307&amp;col=6&amp;number=3.3&amp;sourceID=14","3.3")</f>
        <v>3.3</v>
      </c>
      <c r="G1307" s="4" t="str">
        <f>HYPERLINK("http://141.218.60.56/~jnz1568/getInfo.php?workbook=11_02.xlsx&amp;sheet=U0&amp;row=1307&amp;col=7&amp;number=0.00256&amp;sourceID=14","0.00256")</f>
        <v>0.00256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HYPERLINK("http://141.218.60.56/~jnz1568/getInfo.php?workbook=11_02.xlsx&amp;sheet=U0&amp;row=1308&amp;col=6&amp;number=3.4&amp;sourceID=14","3.4")</f>
        <v>3.4</v>
      </c>
      <c r="G1308" s="4" t="str">
        <f>HYPERLINK("http://141.218.60.56/~jnz1568/getInfo.php?workbook=11_02.xlsx&amp;sheet=U0&amp;row=1308&amp;col=7&amp;number=0.00256&amp;sourceID=14","0.00256")</f>
        <v>0.00256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HYPERLINK("http://141.218.60.56/~jnz1568/getInfo.php?workbook=11_02.xlsx&amp;sheet=U0&amp;row=1309&amp;col=6&amp;number=3.5&amp;sourceID=14","3.5")</f>
        <v>3.5</v>
      </c>
      <c r="G1309" s="4" t="str">
        <f>HYPERLINK("http://141.218.60.56/~jnz1568/getInfo.php?workbook=11_02.xlsx&amp;sheet=U0&amp;row=1309&amp;col=7&amp;number=0.00256&amp;sourceID=14","0.00256")</f>
        <v>0.00256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HYPERLINK("http://141.218.60.56/~jnz1568/getInfo.php?workbook=11_02.xlsx&amp;sheet=U0&amp;row=1310&amp;col=6&amp;number=3.6&amp;sourceID=14","3.6")</f>
        <v>3.6</v>
      </c>
      <c r="G1310" s="4" t="str">
        <f>HYPERLINK("http://141.218.60.56/~jnz1568/getInfo.php?workbook=11_02.xlsx&amp;sheet=U0&amp;row=1310&amp;col=7&amp;number=0.00256&amp;sourceID=14","0.00256")</f>
        <v>0.00256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HYPERLINK("http://141.218.60.56/~jnz1568/getInfo.php?workbook=11_02.xlsx&amp;sheet=U0&amp;row=1311&amp;col=6&amp;number=3.7&amp;sourceID=14","3.7")</f>
        <v>3.7</v>
      </c>
      <c r="G1311" s="4" t="str">
        <f>HYPERLINK("http://141.218.60.56/~jnz1568/getInfo.php?workbook=11_02.xlsx&amp;sheet=U0&amp;row=1311&amp;col=7&amp;number=0.00256&amp;sourceID=14","0.00256")</f>
        <v>0.00256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HYPERLINK("http://141.218.60.56/~jnz1568/getInfo.php?workbook=11_02.xlsx&amp;sheet=U0&amp;row=1312&amp;col=6&amp;number=3.8&amp;sourceID=14","3.8")</f>
        <v>3.8</v>
      </c>
      <c r="G1312" s="4" t="str">
        <f>HYPERLINK("http://141.218.60.56/~jnz1568/getInfo.php?workbook=11_02.xlsx&amp;sheet=U0&amp;row=1312&amp;col=7&amp;number=0.00255&amp;sourceID=14","0.00255")</f>
        <v>0.00255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HYPERLINK("http://141.218.60.56/~jnz1568/getInfo.php?workbook=11_02.xlsx&amp;sheet=U0&amp;row=1313&amp;col=6&amp;number=3.9&amp;sourceID=14","3.9")</f>
        <v>3.9</v>
      </c>
      <c r="G1313" s="4" t="str">
        <f>HYPERLINK("http://141.218.60.56/~jnz1568/getInfo.php?workbook=11_02.xlsx&amp;sheet=U0&amp;row=1313&amp;col=7&amp;number=0.00255&amp;sourceID=14","0.00255")</f>
        <v>0.00255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HYPERLINK("http://141.218.60.56/~jnz1568/getInfo.php?workbook=11_02.xlsx&amp;sheet=U0&amp;row=1314&amp;col=6&amp;number=4&amp;sourceID=14","4")</f>
        <v>4</v>
      </c>
      <c r="G1314" s="4" t="str">
        <f>HYPERLINK("http://141.218.60.56/~jnz1568/getInfo.php?workbook=11_02.xlsx&amp;sheet=U0&amp;row=1314&amp;col=7&amp;number=0.00254&amp;sourceID=14","0.00254")</f>
        <v>0.00254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HYPERLINK("http://141.218.60.56/~jnz1568/getInfo.php?workbook=11_02.xlsx&amp;sheet=U0&amp;row=1315&amp;col=6&amp;number=4.1&amp;sourceID=14","4.1")</f>
        <v>4.1</v>
      </c>
      <c r="G1315" s="4" t="str">
        <f>HYPERLINK("http://141.218.60.56/~jnz1568/getInfo.php?workbook=11_02.xlsx&amp;sheet=U0&amp;row=1315&amp;col=7&amp;number=0.00253&amp;sourceID=14","0.00253")</f>
        <v>0.00253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HYPERLINK("http://141.218.60.56/~jnz1568/getInfo.php?workbook=11_02.xlsx&amp;sheet=U0&amp;row=1316&amp;col=6&amp;number=4.2&amp;sourceID=14","4.2")</f>
        <v>4.2</v>
      </c>
      <c r="G1316" s="4" t="str">
        <f>HYPERLINK("http://141.218.60.56/~jnz1568/getInfo.php?workbook=11_02.xlsx&amp;sheet=U0&amp;row=1316&amp;col=7&amp;number=0.00252&amp;sourceID=14","0.00252")</f>
        <v>0.00252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HYPERLINK("http://141.218.60.56/~jnz1568/getInfo.php?workbook=11_02.xlsx&amp;sheet=U0&amp;row=1317&amp;col=6&amp;number=4.3&amp;sourceID=14","4.3")</f>
        <v>4.3</v>
      </c>
      <c r="G1317" s="4" t="str">
        <f>HYPERLINK("http://141.218.60.56/~jnz1568/getInfo.php?workbook=11_02.xlsx&amp;sheet=U0&amp;row=1317&amp;col=7&amp;number=0.00251&amp;sourceID=14","0.00251")</f>
        <v>0.00251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HYPERLINK("http://141.218.60.56/~jnz1568/getInfo.php?workbook=11_02.xlsx&amp;sheet=U0&amp;row=1318&amp;col=6&amp;number=4.4&amp;sourceID=14","4.4")</f>
        <v>4.4</v>
      </c>
      <c r="G1318" s="4" t="str">
        <f>HYPERLINK("http://141.218.60.56/~jnz1568/getInfo.php?workbook=11_02.xlsx&amp;sheet=U0&amp;row=1318&amp;col=7&amp;number=0.0025&amp;sourceID=14","0.0025")</f>
        <v>0.0025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HYPERLINK("http://141.218.60.56/~jnz1568/getInfo.php?workbook=11_02.xlsx&amp;sheet=U0&amp;row=1319&amp;col=6&amp;number=4.5&amp;sourceID=14","4.5")</f>
        <v>4.5</v>
      </c>
      <c r="G1319" s="4" t="str">
        <f>HYPERLINK("http://141.218.60.56/~jnz1568/getInfo.php?workbook=11_02.xlsx&amp;sheet=U0&amp;row=1319&amp;col=7&amp;number=0.00248&amp;sourceID=14","0.00248")</f>
        <v>0.00248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HYPERLINK("http://141.218.60.56/~jnz1568/getInfo.php?workbook=11_02.xlsx&amp;sheet=U0&amp;row=1320&amp;col=6&amp;number=4.6&amp;sourceID=14","4.6")</f>
        <v>4.6</v>
      </c>
      <c r="G1320" s="4" t="str">
        <f>HYPERLINK("http://141.218.60.56/~jnz1568/getInfo.php?workbook=11_02.xlsx&amp;sheet=U0&amp;row=1320&amp;col=7&amp;number=0.00245&amp;sourceID=14","0.00245")</f>
        <v>0.00245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HYPERLINK("http://141.218.60.56/~jnz1568/getInfo.php?workbook=11_02.xlsx&amp;sheet=U0&amp;row=1321&amp;col=6&amp;number=4.7&amp;sourceID=14","4.7")</f>
        <v>4.7</v>
      </c>
      <c r="G1321" s="4" t="str">
        <f>HYPERLINK("http://141.218.60.56/~jnz1568/getInfo.php?workbook=11_02.xlsx&amp;sheet=U0&amp;row=1321&amp;col=7&amp;number=0.00243&amp;sourceID=14","0.00243")</f>
        <v>0.00243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HYPERLINK("http://141.218.60.56/~jnz1568/getInfo.php?workbook=11_02.xlsx&amp;sheet=U0&amp;row=1322&amp;col=6&amp;number=4.8&amp;sourceID=14","4.8")</f>
        <v>4.8</v>
      </c>
      <c r="G1322" s="4" t="str">
        <f>HYPERLINK("http://141.218.60.56/~jnz1568/getInfo.php?workbook=11_02.xlsx&amp;sheet=U0&amp;row=1322&amp;col=7&amp;number=0.00239&amp;sourceID=14","0.00239")</f>
        <v>0.00239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HYPERLINK("http://141.218.60.56/~jnz1568/getInfo.php?workbook=11_02.xlsx&amp;sheet=U0&amp;row=1323&amp;col=6&amp;number=4.9&amp;sourceID=14","4.9")</f>
        <v>4.9</v>
      </c>
      <c r="G1323" s="4" t="str">
        <f>HYPERLINK("http://141.218.60.56/~jnz1568/getInfo.php?workbook=11_02.xlsx&amp;sheet=U0&amp;row=1323&amp;col=7&amp;number=0.00235&amp;sourceID=14","0.00235")</f>
        <v>0.00235</v>
      </c>
    </row>
    <row r="1324" spans="1:7">
      <c r="A1324" s="3">
        <v>11</v>
      </c>
      <c r="B1324" s="3">
        <v>2</v>
      </c>
      <c r="C1324" s="3">
        <v>6</v>
      </c>
      <c r="D1324" s="3">
        <v>21</v>
      </c>
      <c r="E1324" s="3">
        <v>1</v>
      </c>
      <c r="F1324" s="4" t="str">
        <f>HYPERLINK("http://141.218.60.56/~jnz1568/getInfo.php?workbook=11_02.xlsx&amp;sheet=U0&amp;row=1324&amp;col=6&amp;number=3&amp;sourceID=14","3")</f>
        <v>3</v>
      </c>
      <c r="G1324" s="4" t="str">
        <f>HYPERLINK("http://141.218.60.56/~jnz1568/getInfo.php?workbook=11_02.xlsx&amp;sheet=U0&amp;row=1324&amp;col=7&amp;number=0.00421&amp;sourceID=14","0.00421")</f>
        <v>0.00421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HYPERLINK("http://141.218.60.56/~jnz1568/getInfo.php?workbook=11_02.xlsx&amp;sheet=U0&amp;row=1325&amp;col=6&amp;number=3.1&amp;sourceID=14","3.1")</f>
        <v>3.1</v>
      </c>
      <c r="G1325" s="4" t="str">
        <f>HYPERLINK("http://141.218.60.56/~jnz1568/getInfo.php?workbook=11_02.xlsx&amp;sheet=U0&amp;row=1325&amp;col=7&amp;number=0.00421&amp;sourceID=14","0.00421")</f>
        <v>0.00421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HYPERLINK("http://141.218.60.56/~jnz1568/getInfo.php?workbook=11_02.xlsx&amp;sheet=U0&amp;row=1326&amp;col=6&amp;number=3.2&amp;sourceID=14","3.2")</f>
        <v>3.2</v>
      </c>
      <c r="G1326" s="4" t="str">
        <f>HYPERLINK("http://141.218.60.56/~jnz1568/getInfo.php?workbook=11_02.xlsx&amp;sheet=U0&amp;row=1326&amp;col=7&amp;number=0.00421&amp;sourceID=14","0.00421")</f>
        <v>0.00421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HYPERLINK("http://141.218.60.56/~jnz1568/getInfo.php?workbook=11_02.xlsx&amp;sheet=U0&amp;row=1327&amp;col=6&amp;number=3.3&amp;sourceID=14","3.3")</f>
        <v>3.3</v>
      </c>
      <c r="G1327" s="4" t="str">
        <f>HYPERLINK("http://141.218.60.56/~jnz1568/getInfo.php?workbook=11_02.xlsx&amp;sheet=U0&amp;row=1327&amp;col=7&amp;number=0.00421&amp;sourceID=14","0.00421")</f>
        <v>0.00421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HYPERLINK("http://141.218.60.56/~jnz1568/getInfo.php?workbook=11_02.xlsx&amp;sheet=U0&amp;row=1328&amp;col=6&amp;number=3.4&amp;sourceID=14","3.4")</f>
        <v>3.4</v>
      </c>
      <c r="G1328" s="4" t="str">
        <f>HYPERLINK("http://141.218.60.56/~jnz1568/getInfo.php?workbook=11_02.xlsx&amp;sheet=U0&amp;row=1328&amp;col=7&amp;number=0.0042&amp;sourceID=14","0.0042")</f>
        <v>0.0042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HYPERLINK("http://141.218.60.56/~jnz1568/getInfo.php?workbook=11_02.xlsx&amp;sheet=U0&amp;row=1329&amp;col=6&amp;number=3.5&amp;sourceID=14","3.5")</f>
        <v>3.5</v>
      </c>
      <c r="G1329" s="4" t="str">
        <f>HYPERLINK("http://141.218.60.56/~jnz1568/getInfo.php?workbook=11_02.xlsx&amp;sheet=U0&amp;row=1329&amp;col=7&amp;number=0.0042&amp;sourceID=14","0.0042")</f>
        <v>0.0042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HYPERLINK("http://141.218.60.56/~jnz1568/getInfo.php?workbook=11_02.xlsx&amp;sheet=U0&amp;row=1330&amp;col=6&amp;number=3.6&amp;sourceID=14","3.6")</f>
        <v>3.6</v>
      </c>
      <c r="G1330" s="4" t="str">
        <f>HYPERLINK("http://141.218.60.56/~jnz1568/getInfo.php?workbook=11_02.xlsx&amp;sheet=U0&amp;row=1330&amp;col=7&amp;number=0.0042&amp;sourceID=14","0.0042")</f>
        <v>0.0042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HYPERLINK("http://141.218.60.56/~jnz1568/getInfo.php?workbook=11_02.xlsx&amp;sheet=U0&amp;row=1331&amp;col=6&amp;number=3.7&amp;sourceID=14","3.7")</f>
        <v>3.7</v>
      </c>
      <c r="G1331" s="4" t="str">
        <f>HYPERLINK("http://141.218.60.56/~jnz1568/getInfo.php?workbook=11_02.xlsx&amp;sheet=U0&amp;row=1331&amp;col=7&amp;number=0.00419&amp;sourceID=14","0.00419")</f>
        <v>0.00419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HYPERLINK("http://141.218.60.56/~jnz1568/getInfo.php?workbook=11_02.xlsx&amp;sheet=U0&amp;row=1332&amp;col=6&amp;number=3.8&amp;sourceID=14","3.8")</f>
        <v>3.8</v>
      </c>
      <c r="G1332" s="4" t="str">
        <f>HYPERLINK("http://141.218.60.56/~jnz1568/getInfo.php?workbook=11_02.xlsx&amp;sheet=U0&amp;row=1332&amp;col=7&amp;number=0.00418&amp;sourceID=14","0.00418")</f>
        <v>0.00418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HYPERLINK("http://141.218.60.56/~jnz1568/getInfo.php?workbook=11_02.xlsx&amp;sheet=U0&amp;row=1333&amp;col=6&amp;number=3.9&amp;sourceID=14","3.9")</f>
        <v>3.9</v>
      </c>
      <c r="G1333" s="4" t="str">
        <f>HYPERLINK("http://141.218.60.56/~jnz1568/getInfo.php?workbook=11_02.xlsx&amp;sheet=U0&amp;row=1333&amp;col=7&amp;number=0.00418&amp;sourceID=14","0.00418")</f>
        <v>0.00418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HYPERLINK("http://141.218.60.56/~jnz1568/getInfo.php?workbook=11_02.xlsx&amp;sheet=U0&amp;row=1334&amp;col=6&amp;number=4&amp;sourceID=14","4")</f>
        <v>4</v>
      </c>
      <c r="G1334" s="4" t="str">
        <f>HYPERLINK("http://141.218.60.56/~jnz1568/getInfo.php?workbook=11_02.xlsx&amp;sheet=U0&amp;row=1334&amp;col=7&amp;number=0.00417&amp;sourceID=14","0.00417")</f>
        <v>0.00417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HYPERLINK("http://141.218.60.56/~jnz1568/getInfo.php?workbook=11_02.xlsx&amp;sheet=U0&amp;row=1335&amp;col=6&amp;number=4.1&amp;sourceID=14","4.1")</f>
        <v>4.1</v>
      </c>
      <c r="G1335" s="4" t="str">
        <f>HYPERLINK("http://141.218.60.56/~jnz1568/getInfo.php?workbook=11_02.xlsx&amp;sheet=U0&amp;row=1335&amp;col=7&amp;number=0.00415&amp;sourceID=14","0.00415")</f>
        <v>0.00415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HYPERLINK("http://141.218.60.56/~jnz1568/getInfo.php?workbook=11_02.xlsx&amp;sheet=U0&amp;row=1336&amp;col=6&amp;number=4.2&amp;sourceID=14","4.2")</f>
        <v>4.2</v>
      </c>
      <c r="G1336" s="4" t="str">
        <f>HYPERLINK("http://141.218.60.56/~jnz1568/getInfo.php?workbook=11_02.xlsx&amp;sheet=U0&amp;row=1336&amp;col=7&amp;number=0.00414&amp;sourceID=14","0.00414")</f>
        <v>0.00414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HYPERLINK("http://141.218.60.56/~jnz1568/getInfo.php?workbook=11_02.xlsx&amp;sheet=U0&amp;row=1337&amp;col=6&amp;number=4.3&amp;sourceID=14","4.3")</f>
        <v>4.3</v>
      </c>
      <c r="G1337" s="4" t="str">
        <f>HYPERLINK("http://141.218.60.56/~jnz1568/getInfo.php?workbook=11_02.xlsx&amp;sheet=U0&amp;row=1337&amp;col=7&amp;number=0.00412&amp;sourceID=14","0.00412")</f>
        <v>0.00412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HYPERLINK("http://141.218.60.56/~jnz1568/getInfo.php?workbook=11_02.xlsx&amp;sheet=U0&amp;row=1338&amp;col=6&amp;number=4.4&amp;sourceID=14","4.4")</f>
        <v>4.4</v>
      </c>
      <c r="G1338" s="4" t="str">
        <f>HYPERLINK("http://141.218.60.56/~jnz1568/getInfo.php?workbook=11_02.xlsx&amp;sheet=U0&amp;row=1338&amp;col=7&amp;number=0.0041&amp;sourceID=14","0.0041")</f>
        <v>0.0041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HYPERLINK("http://141.218.60.56/~jnz1568/getInfo.php?workbook=11_02.xlsx&amp;sheet=U0&amp;row=1339&amp;col=6&amp;number=4.5&amp;sourceID=14","4.5")</f>
        <v>4.5</v>
      </c>
      <c r="G1339" s="4" t="str">
        <f>HYPERLINK("http://141.218.60.56/~jnz1568/getInfo.php?workbook=11_02.xlsx&amp;sheet=U0&amp;row=1339&amp;col=7&amp;number=0.00407&amp;sourceID=14","0.00407")</f>
        <v>0.00407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HYPERLINK("http://141.218.60.56/~jnz1568/getInfo.php?workbook=11_02.xlsx&amp;sheet=U0&amp;row=1340&amp;col=6&amp;number=4.6&amp;sourceID=14","4.6")</f>
        <v>4.6</v>
      </c>
      <c r="G1340" s="4" t="str">
        <f>HYPERLINK("http://141.218.60.56/~jnz1568/getInfo.php?workbook=11_02.xlsx&amp;sheet=U0&amp;row=1340&amp;col=7&amp;number=0.00403&amp;sourceID=14","0.00403")</f>
        <v>0.00403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HYPERLINK("http://141.218.60.56/~jnz1568/getInfo.php?workbook=11_02.xlsx&amp;sheet=U0&amp;row=1341&amp;col=6&amp;number=4.7&amp;sourceID=14","4.7")</f>
        <v>4.7</v>
      </c>
      <c r="G1341" s="4" t="str">
        <f>HYPERLINK("http://141.218.60.56/~jnz1568/getInfo.php?workbook=11_02.xlsx&amp;sheet=U0&amp;row=1341&amp;col=7&amp;number=0.00398&amp;sourceID=14","0.00398")</f>
        <v>0.00398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HYPERLINK("http://141.218.60.56/~jnz1568/getInfo.php?workbook=11_02.xlsx&amp;sheet=U0&amp;row=1342&amp;col=6&amp;number=4.8&amp;sourceID=14","4.8")</f>
        <v>4.8</v>
      </c>
      <c r="G1342" s="4" t="str">
        <f>HYPERLINK("http://141.218.60.56/~jnz1568/getInfo.php?workbook=11_02.xlsx&amp;sheet=U0&amp;row=1342&amp;col=7&amp;number=0.00392&amp;sourceID=14","0.00392")</f>
        <v>0.00392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HYPERLINK("http://141.218.60.56/~jnz1568/getInfo.php?workbook=11_02.xlsx&amp;sheet=U0&amp;row=1343&amp;col=6&amp;number=4.9&amp;sourceID=14","4.9")</f>
        <v>4.9</v>
      </c>
      <c r="G1343" s="4" t="str">
        <f>HYPERLINK("http://141.218.60.56/~jnz1568/getInfo.php?workbook=11_02.xlsx&amp;sheet=U0&amp;row=1343&amp;col=7&amp;number=0.00385&amp;sourceID=14","0.00385")</f>
        <v>0.00385</v>
      </c>
    </row>
    <row r="1344" spans="1:7">
      <c r="A1344" s="3">
        <v>11</v>
      </c>
      <c r="B1344" s="3">
        <v>2</v>
      </c>
      <c r="C1344" s="3">
        <v>6</v>
      </c>
      <c r="D1344" s="3">
        <v>22</v>
      </c>
      <c r="E1344" s="3">
        <v>1</v>
      </c>
      <c r="F1344" s="4" t="str">
        <f>HYPERLINK("http://141.218.60.56/~jnz1568/getInfo.php?workbook=11_02.xlsx&amp;sheet=U0&amp;row=1344&amp;col=6&amp;number=3&amp;sourceID=14","3")</f>
        <v>3</v>
      </c>
      <c r="G1344" s="4" t="str">
        <f>HYPERLINK("http://141.218.60.56/~jnz1568/getInfo.php?workbook=11_02.xlsx&amp;sheet=U0&amp;row=1344&amp;col=7&amp;number=0.00835&amp;sourceID=14","0.00835")</f>
        <v>0.00835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HYPERLINK("http://141.218.60.56/~jnz1568/getInfo.php?workbook=11_02.xlsx&amp;sheet=U0&amp;row=1345&amp;col=6&amp;number=3.1&amp;sourceID=14","3.1")</f>
        <v>3.1</v>
      </c>
      <c r="G1345" s="4" t="str">
        <f>HYPERLINK("http://141.218.60.56/~jnz1568/getInfo.php?workbook=11_02.xlsx&amp;sheet=U0&amp;row=1345&amp;col=7&amp;number=0.00835&amp;sourceID=14","0.00835")</f>
        <v>0.00835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HYPERLINK("http://141.218.60.56/~jnz1568/getInfo.php?workbook=11_02.xlsx&amp;sheet=U0&amp;row=1346&amp;col=6&amp;number=3.2&amp;sourceID=14","3.2")</f>
        <v>3.2</v>
      </c>
      <c r="G1346" s="4" t="str">
        <f>HYPERLINK("http://141.218.60.56/~jnz1568/getInfo.php?workbook=11_02.xlsx&amp;sheet=U0&amp;row=1346&amp;col=7&amp;number=0.00835&amp;sourceID=14","0.00835")</f>
        <v>0.00835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HYPERLINK("http://141.218.60.56/~jnz1568/getInfo.php?workbook=11_02.xlsx&amp;sheet=U0&amp;row=1347&amp;col=6&amp;number=3.3&amp;sourceID=14","3.3")</f>
        <v>3.3</v>
      </c>
      <c r="G1347" s="4" t="str">
        <f>HYPERLINK("http://141.218.60.56/~jnz1568/getInfo.php?workbook=11_02.xlsx&amp;sheet=U0&amp;row=1347&amp;col=7&amp;number=0.00835&amp;sourceID=14","0.00835")</f>
        <v>0.00835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HYPERLINK("http://141.218.60.56/~jnz1568/getInfo.php?workbook=11_02.xlsx&amp;sheet=U0&amp;row=1348&amp;col=6&amp;number=3.4&amp;sourceID=14","3.4")</f>
        <v>3.4</v>
      </c>
      <c r="G1348" s="4" t="str">
        <f>HYPERLINK("http://141.218.60.56/~jnz1568/getInfo.php?workbook=11_02.xlsx&amp;sheet=U0&amp;row=1348&amp;col=7&amp;number=0.00835&amp;sourceID=14","0.00835")</f>
        <v>0.00835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HYPERLINK("http://141.218.60.56/~jnz1568/getInfo.php?workbook=11_02.xlsx&amp;sheet=U0&amp;row=1349&amp;col=6&amp;number=3.5&amp;sourceID=14","3.5")</f>
        <v>3.5</v>
      </c>
      <c r="G1349" s="4" t="str">
        <f>HYPERLINK("http://141.218.60.56/~jnz1568/getInfo.php?workbook=11_02.xlsx&amp;sheet=U0&amp;row=1349&amp;col=7&amp;number=0.00835&amp;sourceID=14","0.00835")</f>
        <v>0.00835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HYPERLINK("http://141.218.60.56/~jnz1568/getInfo.php?workbook=11_02.xlsx&amp;sheet=U0&amp;row=1350&amp;col=6&amp;number=3.6&amp;sourceID=14","3.6")</f>
        <v>3.6</v>
      </c>
      <c r="G1350" s="4" t="str">
        <f>HYPERLINK("http://141.218.60.56/~jnz1568/getInfo.php?workbook=11_02.xlsx&amp;sheet=U0&amp;row=1350&amp;col=7&amp;number=0.00835&amp;sourceID=14","0.00835")</f>
        <v>0.00835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HYPERLINK("http://141.218.60.56/~jnz1568/getInfo.php?workbook=11_02.xlsx&amp;sheet=U0&amp;row=1351&amp;col=6&amp;number=3.7&amp;sourceID=14","3.7")</f>
        <v>3.7</v>
      </c>
      <c r="G1351" s="4" t="str">
        <f>HYPERLINK("http://141.218.60.56/~jnz1568/getInfo.php?workbook=11_02.xlsx&amp;sheet=U0&amp;row=1351&amp;col=7&amp;number=0.00835&amp;sourceID=14","0.00835")</f>
        <v>0.00835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HYPERLINK("http://141.218.60.56/~jnz1568/getInfo.php?workbook=11_02.xlsx&amp;sheet=U0&amp;row=1352&amp;col=6&amp;number=3.8&amp;sourceID=14","3.8")</f>
        <v>3.8</v>
      </c>
      <c r="G1352" s="4" t="str">
        <f>HYPERLINK("http://141.218.60.56/~jnz1568/getInfo.php?workbook=11_02.xlsx&amp;sheet=U0&amp;row=1352&amp;col=7&amp;number=0.00835&amp;sourceID=14","0.00835")</f>
        <v>0.00835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HYPERLINK("http://141.218.60.56/~jnz1568/getInfo.php?workbook=11_02.xlsx&amp;sheet=U0&amp;row=1353&amp;col=6&amp;number=3.9&amp;sourceID=14","3.9")</f>
        <v>3.9</v>
      </c>
      <c r="G1353" s="4" t="str">
        <f>HYPERLINK("http://141.218.60.56/~jnz1568/getInfo.php?workbook=11_02.xlsx&amp;sheet=U0&amp;row=1353&amp;col=7&amp;number=0.00835&amp;sourceID=14","0.00835")</f>
        <v>0.00835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HYPERLINK("http://141.218.60.56/~jnz1568/getInfo.php?workbook=11_02.xlsx&amp;sheet=U0&amp;row=1354&amp;col=6&amp;number=4&amp;sourceID=14","4")</f>
        <v>4</v>
      </c>
      <c r="G1354" s="4" t="str">
        <f>HYPERLINK("http://141.218.60.56/~jnz1568/getInfo.php?workbook=11_02.xlsx&amp;sheet=U0&amp;row=1354&amp;col=7&amp;number=0.00835&amp;sourceID=14","0.00835")</f>
        <v>0.00835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HYPERLINK("http://141.218.60.56/~jnz1568/getInfo.php?workbook=11_02.xlsx&amp;sheet=U0&amp;row=1355&amp;col=6&amp;number=4.1&amp;sourceID=14","4.1")</f>
        <v>4.1</v>
      </c>
      <c r="G1355" s="4" t="str">
        <f>HYPERLINK("http://141.218.60.56/~jnz1568/getInfo.php?workbook=11_02.xlsx&amp;sheet=U0&amp;row=1355&amp;col=7&amp;number=0.00835&amp;sourceID=14","0.00835")</f>
        <v>0.00835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HYPERLINK("http://141.218.60.56/~jnz1568/getInfo.php?workbook=11_02.xlsx&amp;sheet=U0&amp;row=1356&amp;col=6&amp;number=4.2&amp;sourceID=14","4.2")</f>
        <v>4.2</v>
      </c>
      <c r="G1356" s="4" t="str">
        <f>HYPERLINK("http://141.218.60.56/~jnz1568/getInfo.php?workbook=11_02.xlsx&amp;sheet=U0&amp;row=1356&amp;col=7&amp;number=0.00835&amp;sourceID=14","0.00835")</f>
        <v>0.00835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HYPERLINK("http://141.218.60.56/~jnz1568/getInfo.php?workbook=11_02.xlsx&amp;sheet=U0&amp;row=1357&amp;col=6&amp;number=4.3&amp;sourceID=14","4.3")</f>
        <v>4.3</v>
      </c>
      <c r="G1357" s="4" t="str">
        <f>HYPERLINK("http://141.218.60.56/~jnz1568/getInfo.php?workbook=11_02.xlsx&amp;sheet=U0&amp;row=1357&amp;col=7&amp;number=0.00835&amp;sourceID=14","0.00835")</f>
        <v>0.00835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HYPERLINK("http://141.218.60.56/~jnz1568/getInfo.php?workbook=11_02.xlsx&amp;sheet=U0&amp;row=1358&amp;col=6&amp;number=4.4&amp;sourceID=14","4.4")</f>
        <v>4.4</v>
      </c>
      <c r="G1358" s="4" t="str">
        <f>HYPERLINK("http://141.218.60.56/~jnz1568/getInfo.php?workbook=11_02.xlsx&amp;sheet=U0&amp;row=1358&amp;col=7&amp;number=0.00835&amp;sourceID=14","0.00835")</f>
        <v>0.00835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HYPERLINK("http://141.218.60.56/~jnz1568/getInfo.php?workbook=11_02.xlsx&amp;sheet=U0&amp;row=1359&amp;col=6&amp;number=4.5&amp;sourceID=14","4.5")</f>
        <v>4.5</v>
      </c>
      <c r="G1359" s="4" t="str">
        <f>HYPERLINK("http://141.218.60.56/~jnz1568/getInfo.php?workbook=11_02.xlsx&amp;sheet=U0&amp;row=1359&amp;col=7&amp;number=0.00835&amp;sourceID=14","0.00835")</f>
        <v>0.00835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HYPERLINK("http://141.218.60.56/~jnz1568/getInfo.php?workbook=11_02.xlsx&amp;sheet=U0&amp;row=1360&amp;col=6&amp;number=4.6&amp;sourceID=14","4.6")</f>
        <v>4.6</v>
      </c>
      <c r="G1360" s="4" t="str">
        <f>HYPERLINK("http://141.218.60.56/~jnz1568/getInfo.php?workbook=11_02.xlsx&amp;sheet=U0&amp;row=1360&amp;col=7&amp;number=0.00834&amp;sourceID=14","0.00834")</f>
        <v>0.00834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HYPERLINK("http://141.218.60.56/~jnz1568/getInfo.php?workbook=11_02.xlsx&amp;sheet=U0&amp;row=1361&amp;col=6&amp;number=4.7&amp;sourceID=14","4.7")</f>
        <v>4.7</v>
      </c>
      <c r="G1361" s="4" t="str">
        <f>HYPERLINK("http://141.218.60.56/~jnz1568/getInfo.php?workbook=11_02.xlsx&amp;sheet=U0&amp;row=1361&amp;col=7&amp;number=0.00834&amp;sourceID=14","0.00834")</f>
        <v>0.00834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HYPERLINK("http://141.218.60.56/~jnz1568/getInfo.php?workbook=11_02.xlsx&amp;sheet=U0&amp;row=1362&amp;col=6&amp;number=4.8&amp;sourceID=14","4.8")</f>
        <v>4.8</v>
      </c>
      <c r="G1362" s="4" t="str">
        <f>HYPERLINK("http://141.218.60.56/~jnz1568/getInfo.php?workbook=11_02.xlsx&amp;sheet=U0&amp;row=1362&amp;col=7&amp;number=0.00834&amp;sourceID=14","0.00834")</f>
        <v>0.00834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HYPERLINK("http://141.218.60.56/~jnz1568/getInfo.php?workbook=11_02.xlsx&amp;sheet=U0&amp;row=1363&amp;col=6&amp;number=4.9&amp;sourceID=14","4.9")</f>
        <v>4.9</v>
      </c>
      <c r="G1363" s="4" t="str">
        <f>HYPERLINK("http://141.218.60.56/~jnz1568/getInfo.php?workbook=11_02.xlsx&amp;sheet=U0&amp;row=1363&amp;col=7&amp;number=0.00834&amp;sourceID=14","0.00834")</f>
        <v>0.00834</v>
      </c>
    </row>
    <row r="1364" spans="1:7">
      <c r="A1364" s="3">
        <v>11</v>
      </c>
      <c r="B1364" s="3">
        <v>2</v>
      </c>
      <c r="C1364" s="3">
        <v>6</v>
      </c>
      <c r="D1364" s="3">
        <v>23</v>
      </c>
      <c r="E1364" s="3">
        <v>1</v>
      </c>
      <c r="F1364" s="4" t="str">
        <f>HYPERLINK("http://141.218.60.56/~jnz1568/getInfo.php?workbook=11_02.xlsx&amp;sheet=U0&amp;row=1364&amp;col=6&amp;number=3&amp;sourceID=14","3")</f>
        <v>3</v>
      </c>
      <c r="G1364" s="4" t="str">
        <f>HYPERLINK("http://141.218.60.56/~jnz1568/getInfo.php?workbook=11_02.xlsx&amp;sheet=U0&amp;row=1364&amp;col=7&amp;number=0.00211&amp;sourceID=14","0.00211")</f>
        <v>0.00211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HYPERLINK("http://141.218.60.56/~jnz1568/getInfo.php?workbook=11_02.xlsx&amp;sheet=U0&amp;row=1365&amp;col=6&amp;number=3.1&amp;sourceID=14","3.1")</f>
        <v>3.1</v>
      </c>
      <c r="G1365" s="4" t="str">
        <f>HYPERLINK("http://141.218.60.56/~jnz1568/getInfo.php?workbook=11_02.xlsx&amp;sheet=U0&amp;row=1365&amp;col=7&amp;number=0.00211&amp;sourceID=14","0.00211")</f>
        <v>0.00211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HYPERLINK("http://141.218.60.56/~jnz1568/getInfo.php?workbook=11_02.xlsx&amp;sheet=U0&amp;row=1366&amp;col=6&amp;number=3.2&amp;sourceID=14","3.2")</f>
        <v>3.2</v>
      </c>
      <c r="G1366" s="4" t="str">
        <f>HYPERLINK("http://141.218.60.56/~jnz1568/getInfo.php?workbook=11_02.xlsx&amp;sheet=U0&amp;row=1366&amp;col=7&amp;number=0.00211&amp;sourceID=14","0.00211")</f>
        <v>0.00211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HYPERLINK("http://141.218.60.56/~jnz1568/getInfo.php?workbook=11_02.xlsx&amp;sheet=U0&amp;row=1367&amp;col=6&amp;number=3.3&amp;sourceID=14","3.3")</f>
        <v>3.3</v>
      </c>
      <c r="G1367" s="4" t="str">
        <f>HYPERLINK("http://141.218.60.56/~jnz1568/getInfo.php?workbook=11_02.xlsx&amp;sheet=U0&amp;row=1367&amp;col=7&amp;number=0.00211&amp;sourceID=14","0.00211")</f>
        <v>0.00211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HYPERLINK("http://141.218.60.56/~jnz1568/getInfo.php?workbook=11_02.xlsx&amp;sheet=U0&amp;row=1368&amp;col=6&amp;number=3.4&amp;sourceID=14","3.4")</f>
        <v>3.4</v>
      </c>
      <c r="G1368" s="4" t="str">
        <f>HYPERLINK("http://141.218.60.56/~jnz1568/getInfo.php?workbook=11_02.xlsx&amp;sheet=U0&amp;row=1368&amp;col=7&amp;number=0.00211&amp;sourceID=14","0.00211")</f>
        <v>0.00211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HYPERLINK("http://141.218.60.56/~jnz1568/getInfo.php?workbook=11_02.xlsx&amp;sheet=U0&amp;row=1369&amp;col=6&amp;number=3.5&amp;sourceID=14","3.5")</f>
        <v>3.5</v>
      </c>
      <c r="G1369" s="4" t="str">
        <f>HYPERLINK("http://141.218.60.56/~jnz1568/getInfo.php?workbook=11_02.xlsx&amp;sheet=U0&amp;row=1369&amp;col=7&amp;number=0.00211&amp;sourceID=14","0.00211")</f>
        <v>0.00211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HYPERLINK("http://141.218.60.56/~jnz1568/getInfo.php?workbook=11_02.xlsx&amp;sheet=U0&amp;row=1370&amp;col=6&amp;number=3.6&amp;sourceID=14","3.6")</f>
        <v>3.6</v>
      </c>
      <c r="G1370" s="4" t="str">
        <f>HYPERLINK("http://141.218.60.56/~jnz1568/getInfo.php?workbook=11_02.xlsx&amp;sheet=U0&amp;row=1370&amp;col=7&amp;number=0.00211&amp;sourceID=14","0.00211")</f>
        <v>0.00211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HYPERLINK("http://141.218.60.56/~jnz1568/getInfo.php?workbook=11_02.xlsx&amp;sheet=U0&amp;row=1371&amp;col=6&amp;number=3.7&amp;sourceID=14","3.7")</f>
        <v>3.7</v>
      </c>
      <c r="G1371" s="4" t="str">
        <f>HYPERLINK("http://141.218.60.56/~jnz1568/getInfo.php?workbook=11_02.xlsx&amp;sheet=U0&amp;row=1371&amp;col=7&amp;number=0.00211&amp;sourceID=14","0.00211")</f>
        <v>0.00211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HYPERLINK("http://141.218.60.56/~jnz1568/getInfo.php?workbook=11_02.xlsx&amp;sheet=U0&amp;row=1372&amp;col=6&amp;number=3.8&amp;sourceID=14","3.8")</f>
        <v>3.8</v>
      </c>
      <c r="G1372" s="4" t="str">
        <f>HYPERLINK("http://141.218.60.56/~jnz1568/getInfo.php?workbook=11_02.xlsx&amp;sheet=U0&amp;row=1372&amp;col=7&amp;number=0.00211&amp;sourceID=14","0.00211")</f>
        <v>0.00211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HYPERLINK("http://141.218.60.56/~jnz1568/getInfo.php?workbook=11_02.xlsx&amp;sheet=U0&amp;row=1373&amp;col=6&amp;number=3.9&amp;sourceID=14","3.9")</f>
        <v>3.9</v>
      </c>
      <c r="G1373" s="4" t="str">
        <f>HYPERLINK("http://141.218.60.56/~jnz1568/getInfo.php?workbook=11_02.xlsx&amp;sheet=U0&amp;row=1373&amp;col=7&amp;number=0.0021&amp;sourceID=14","0.0021")</f>
        <v>0.0021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HYPERLINK("http://141.218.60.56/~jnz1568/getInfo.php?workbook=11_02.xlsx&amp;sheet=U0&amp;row=1374&amp;col=6&amp;number=4&amp;sourceID=14","4")</f>
        <v>4</v>
      </c>
      <c r="G1374" s="4" t="str">
        <f>HYPERLINK("http://141.218.60.56/~jnz1568/getInfo.php?workbook=11_02.xlsx&amp;sheet=U0&amp;row=1374&amp;col=7&amp;number=0.0021&amp;sourceID=14","0.0021")</f>
        <v>0.0021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HYPERLINK("http://141.218.60.56/~jnz1568/getInfo.php?workbook=11_02.xlsx&amp;sheet=U0&amp;row=1375&amp;col=6&amp;number=4.1&amp;sourceID=14","4.1")</f>
        <v>4.1</v>
      </c>
      <c r="G1375" s="4" t="str">
        <f>HYPERLINK("http://141.218.60.56/~jnz1568/getInfo.php?workbook=11_02.xlsx&amp;sheet=U0&amp;row=1375&amp;col=7&amp;number=0.0021&amp;sourceID=14","0.0021")</f>
        <v>0.0021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HYPERLINK("http://141.218.60.56/~jnz1568/getInfo.php?workbook=11_02.xlsx&amp;sheet=U0&amp;row=1376&amp;col=6&amp;number=4.2&amp;sourceID=14","4.2")</f>
        <v>4.2</v>
      </c>
      <c r="G1376" s="4" t="str">
        <f>HYPERLINK("http://141.218.60.56/~jnz1568/getInfo.php?workbook=11_02.xlsx&amp;sheet=U0&amp;row=1376&amp;col=7&amp;number=0.00209&amp;sourceID=14","0.00209")</f>
        <v>0.00209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HYPERLINK("http://141.218.60.56/~jnz1568/getInfo.php?workbook=11_02.xlsx&amp;sheet=U0&amp;row=1377&amp;col=6&amp;number=4.3&amp;sourceID=14","4.3")</f>
        <v>4.3</v>
      </c>
      <c r="G1377" s="4" t="str">
        <f>HYPERLINK("http://141.218.60.56/~jnz1568/getInfo.php?workbook=11_02.xlsx&amp;sheet=U0&amp;row=1377&amp;col=7&amp;number=0.00209&amp;sourceID=14","0.00209")</f>
        <v>0.00209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HYPERLINK("http://141.218.60.56/~jnz1568/getInfo.php?workbook=11_02.xlsx&amp;sheet=U0&amp;row=1378&amp;col=6&amp;number=4.4&amp;sourceID=14","4.4")</f>
        <v>4.4</v>
      </c>
      <c r="G1378" s="4" t="str">
        <f>HYPERLINK("http://141.218.60.56/~jnz1568/getInfo.php?workbook=11_02.xlsx&amp;sheet=U0&amp;row=1378&amp;col=7&amp;number=0.00208&amp;sourceID=14","0.00208")</f>
        <v>0.00208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HYPERLINK("http://141.218.60.56/~jnz1568/getInfo.php?workbook=11_02.xlsx&amp;sheet=U0&amp;row=1379&amp;col=6&amp;number=4.5&amp;sourceID=14","4.5")</f>
        <v>4.5</v>
      </c>
      <c r="G1379" s="4" t="str">
        <f>HYPERLINK("http://141.218.60.56/~jnz1568/getInfo.php?workbook=11_02.xlsx&amp;sheet=U0&amp;row=1379&amp;col=7&amp;number=0.00208&amp;sourceID=14","0.00208")</f>
        <v>0.00208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HYPERLINK("http://141.218.60.56/~jnz1568/getInfo.php?workbook=11_02.xlsx&amp;sheet=U0&amp;row=1380&amp;col=6&amp;number=4.6&amp;sourceID=14","4.6")</f>
        <v>4.6</v>
      </c>
      <c r="G1380" s="4" t="str">
        <f>HYPERLINK("http://141.218.60.56/~jnz1568/getInfo.php?workbook=11_02.xlsx&amp;sheet=U0&amp;row=1380&amp;col=7&amp;number=0.00207&amp;sourceID=14","0.00207")</f>
        <v>0.00207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HYPERLINK("http://141.218.60.56/~jnz1568/getInfo.php?workbook=11_02.xlsx&amp;sheet=U0&amp;row=1381&amp;col=6&amp;number=4.7&amp;sourceID=14","4.7")</f>
        <v>4.7</v>
      </c>
      <c r="G1381" s="4" t="str">
        <f>HYPERLINK("http://141.218.60.56/~jnz1568/getInfo.php?workbook=11_02.xlsx&amp;sheet=U0&amp;row=1381&amp;col=7&amp;number=0.00206&amp;sourceID=14","0.00206")</f>
        <v>0.00206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HYPERLINK("http://141.218.60.56/~jnz1568/getInfo.php?workbook=11_02.xlsx&amp;sheet=U0&amp;row=1382&amp;col=6&amp;number=4.8&amp;sourceID=14","4.8")</f>
        <v>4.8</v>
      </c>
      <c r="G1382" s="4" t="str">
        <f>HYPERLINK("http://141.218.60.56/~jnz1568/getInfo.php?workbook=11_02.xlsx&amp;sheet=U0&amp;row=1382&amp;col=7&amp;number=0.00204&amp;sourceID=14","0.00204")</f>
        <v>0.00204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HYPERLINK("http://141.218.60.56/~jnz1568/getInfo.php?workbook=11_02.xlsx&amp;sheet=U0&amp;row=1383&amp;col=6&amp;number=4.9&amp;sourceID=14","4.9")</f>
        <v>4.9</v>
      </c>
      <c r="G1383" s="4" t="str">
        <f>HYPERLINK("http://141.218.60.56/~jnz1568/getInfo.php?workbook=11_02.xlsx&amp;sheet=U0&amp;row=1383&amp;col=7&amp;number=0.00202&amp;sourceID=14","0.00202")</f>
        <v>0.00202</v>
      </c>
    </row>
    <row r="1384" spans="1:7">
      <c r="A1384" s="3">
        <v>11</v>
      </c>
      <c r="B1384" s="3">
        <v>2</v>
      </c>
      <c r="C1384" s="3">
        <v>6</v>
      </c>
      <c r="D1384" s="3">
        <v>24</v>
      </c>
      <c r="E1384" s="3">
        <v>1</v>
      </c>
      <c r="F1384" s="4" t="str">
        <f>HYPERLINK("http://141.218.60.56/~jnz1568/getInfo.php?workbook=11_02.xlsx&amp;sheet=U0&amp;row=1384&amp;col=6&amp;number=3&amp;sourceID=14","3")</f>
        <v>3</v>
      </c>
      <c r="G1384" s="4" t="str">
        <f>HYPERLINK("http://141.218.60.56/~jnz1568/getInfo.php?workbook=11_02.xlsx&amp;sheet=U0&amp;row=1384&amp;col=7&amp;number=0.00367&amp;sourceID=14","0.00367")</f>
        <v>0.00367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HYPERLINK("http://141.218.60.56/~jnz1568/getInfo.php?workbook=11_02.xlsx&amp;sheet=U0&amp;row=1385&amp;col=6&amp;number=3.1&amp;sourceID=14","3.1")</f>
        <v>3.1</v>
      </c>
      <c r="G1385" s="4" t="str">
        <f>HYPERLINK("http://141.218.60.56/~jnz1568/getInfo.php?workbook=11_02.xlsx&amp;sheet=U0&amp;row=1385&amp;col=7&amp;number=0.00367&amp;sourceID=14","0.00367")</f>
        <v>0.00367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HYPERLINK("http://141.218.60.56/~jnz1568/getInfo.php?workbook=11_02.xlsx&amp;sheet=U0&amp;row=1386&amp;col=6&amp;number=3.2&amp;sourceID=14","3.2")</f>
        <v>3.2</v>
      </c>
      <c r="G1386" s="4" t="str">
        <f>HYPERLINK("http://141.218.60.56/~jnz1568/getInfo.php?workbook=11_02.xlsx&amp;sheet=U0&amp;row=1386&amp;col=7&amp;number=0.00367&amp;sourceID=14","0.00367")</f>
        <v>0.00367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HYPERLINK("http://141.218.60.56/~jnz1568/getInfo.php?workbook=11_02.xlsx&amp;sheet=U0&amp;row=1387&amp;col=6&amp;number=3.3&amp;sourceID=14","3.3")</f>
        <v>3.3</v>
      </c>
      <c r="G1387" s="4" t="str">
        <f>HYPERLINK("http://141.218.60.56/~jnz1568/getInfo.php?workbook=11_02.xlsx&amp;sheet=U0&amp;row=1387&amp;col=7&amp;number=0.00366&amp;sourceID=14","0.00366")</f>
        <v>0.00366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HYPERLINK("http://141.218.60.56/~jnz1568/getInfo.php?workbook=11_02.xlsx&amp;sheet=U0&amp;row=1388&amp;col=6&amp;number=3.4&amp;sourceID=14","3.4")</f>
        <v>3.4</v>
      </c>
      <c r="G1388" s="4" t="str">
        <f>HYPERLINK("http://141.218.60.56/~jnz1568/getInfo.php?workbook=11_02.xlsx&amp;sheet=U0&amp;row=1388&amp;col=7&amp;number=0.00366&amp;sourceID=14","0.00366")</f>
        <v>0.00366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HYPERLINK("http://141.218.60.56/~jnz1568/getInfo.php?workbook=11_02.xlsx&amp;sheet=U0&amp;row=1389&amp;col=6&amp;number=3.5&amp;sourceID=14","3.5")</f>
        <v>3.5</v>
      </c>
      <c r="G1389" s="4" t="str">
        <f>HYPERLINK("http://141.218.60.56/~jnz1568/getInfo.php?workbook=11_02.xlsx&amp;sheet=U0&amp;row=1389&amp;col=7&amp;number=0.00366&amp;sourceID=14","0.00366")</f>
        <v>0.00366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HYPERLINK("http://141.218.60.56/~jnz1568/getInfo.php?workbook=11_02.xlsx&amp;sheet=U0&amp;row=1390&amp;col=6&amp;number=3.6&amp;sourceID=14","3.6")</f>
        <v>3.6</v>
      </c>
      <c r="G1390" s="4" t="str">
        <f>HYPERLINK("http://141.218.60.56/~jnz1568/getInfo.php?workbook=11_02.xlsx&amp;sheet=U0&amp;row=1390&amp;col=7&amp;number=0.00366&amp;sourceID=14","0.00366")</f>
        <v>0.00366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HYPERLINK("http://141.218.60.56/~jnz1568/getInfo.php?workbook=11_02.xlsx&amp;sheet=U0&amp;row=1391&amp;col=6&amp;number=3.7&amp;sourceID=14","3.7")</f>
        <v>3.7</v>
      </c>
      <c r="G1391" s="4" t="str">
        <f>HYPERLINK("http://141.218.60.56/~jnz1568/getInfo.php?workbook=11_02.xlsx&amp;sheet=U0&amp;row=1391&amp;col=7&amp;number=0.00366&amp;sourceID=14","0.00366")</f>
        <v>0.00366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HYPERLINK("http://141.218.60.56/~jnz1568/getInfo.php?workbook=11_02.xlsx&amp;sheet=U0&amp;row=1392&amp;col=6&amp;number=3.8&amp;sourceID=14","3.8")</f>
        <v>3.8</v>
      </c>
      <c r="G1392" s="4" t="str">
        <f>HYPERLINK("http://141.218.60.56/~jnz1568/getInfo.php?workbook=11_02.xlsx&amp;sheet=U0&amp;row=1392&amp;col=7&amp;number=0.00366&amp;sourceID=14","0.00366")</f>
        <v>0.00366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HYPERLINK("http://141.218.60.56/~jnz1568/getInfo.php?workbook=11_02.xlsx&amp;sheet=U0&amp;row=1393&amp;col=6&amp;number=3.9&amp;sourceID=14","3.9")</f>
        <v>3.9</v>
      </c>
      <c r="G1393" s="4" t="str">
        <f>HYPERLINK("http://141.218.60.56/~jnz1568/getInfo.php?workbook=11_02.xlsx&amp;sheet=U0&amp;row=1393&amp;col=7&amp;number=0.00365&amp;sourceID=14","0.00365")</f>
        <v>0.00365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HYPERLINK("http://141.218.60.56/~jnz1568/getInfo.php?workbook=11_02.xlsx&amp;sheet=U0&amp;row=1394&amp;col=6&amp;number=4&amp;sourceID=14","4")</f>
        <v>4</v>
      </c>
      <c r="G1394" s="4" t="str">
        <f>HYPERLINK("http://141.218.60.56/~jnz1568/getInfo.php?workbook=11_02.xlsx&amp;sheet=U0&amp;row=1394&amp;col=7&amp;number=0.00365&amp;sourceID=14","0.00365")</f>
        <v>0.00365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HYPERLINK("http://141.218.60.56/~jnz1568/getInfo.php?workbook=11_02.xlsx&amp;sheet=U0&amp;row=1395&amp;col=6&amp;number=4.1&amp;sourceID=14","4.1")</f>
        <v>4.1</v>
      </c>
      <c r="G1395" s="4" t="str">
        <f>HYPERLINK("http://141.218.60.56/~jnz1568/getInfo.php?workbook=11_02.xlsx&amp;sheet=U0&amp;row=1395&amp;col=7&amp;number=0.00365&amp;sourceID=14","0.00365")</f>
        <v>0.00365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HYPERLINK("http://141.218.60.56/~jnz1568/getInfo.php?workbook=11_02.xlsx&amp;sheet=U0&amp;row=1396&amp;col=6&amp;number=4.2&amp;sourceID=14","4.2")</f>
        <v>4.2</v>
      </c>
      <c r="G1396" s="4" t="str">
        <f>HYPERLINK("http://141.218.60.56/~jnz1568/getInfo.php?workbook=11_02.xlsx&amp;sheet=U0&amp;row=1396&amp;col=7&amp;number=0.00364&amp;sourceID=14","0.00364")</f>
        <v>0.00364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HYPERLINK("http://141.218.60.56/~jnz1568/getInfo.php?workbook=11_02.xlsx&amp;sheet=U0&amp;row=1397&amp;col=6&amp;number=4.3&amp;sourceID=14","4.3")</f>
        <v>4.3</v>
      </c>
      <c r="G1397" s="4" t="str">
        <f>HYPERLINK("http://141.218.60.56/~jnz1568/getInfo.php?workbook=11_02.xlsx&amp;sheet=U0&amp;row=1397&amp;col=7&amp;number=0.00363&amp;sourceID=14","0.00363")</f>
        <v>0.00363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HYPERLINK("http://141.218.60.56/~jnz1568/getInfo.php?workbook=11_02.xlsx&amp;sheet=U0&amp;row=1398&amp;col=6&amp;number=4.4&amp;sourceID=14","4.4")</f>
        <v>4.4</v>
      </c>
      <c r="G1398" s="4" t="str">
        <f>HYPERLINK("http://141.218.60.56/~jnz1568/getInfo.php?workbook=11_02.xlsx&amp;sheet=U0&amp;row=1398&amp;col=7&amp;number=0.00362&amp;sourceID=14","0.00362")</f>
        <v>0.00362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HYPERLINK("http://141.218.60.56/~jnz1568/getInfo.php?workbook=11_02.xlsx&amp;sheet=U0&amp;row=1399&amp;col=6&amp;number=4.5&amp;sourceID=14","4.5")</f>
        <v>4.5</v>
      </c>
      <c r="G1399" s="4" t="str">
        <f>HYPERLINK("http://141.218.60.56/~jnz1568/getInfo.php?workbook=11_02.xlsx&amp;sheet=U0&amp;row=1399&amp;col=7&amp;number=0.00361&amp;sourceID=14","0.00361")</f>
        <v>0.00361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HYPERLINK("http://141.218.60.56/~jnz1568/getInfo.php?workbook=11_02.xlsx&amp;sheet=U0&amp;row=1400&amp;col=6&amp;number=4.6&amp;sourceID=14","4.6")</f>
        <v>4.6</v>
      </c>
      <c r="G1400" s="4" t="str">
        <f>HYPERLINK("http://141.218.60.56/~jnz1568/getInfo.php?workbook=11_02.xlsx&amp;sheet=U0&amp;row=1400&amp;col=7&amp;number=0.0036&amp;sourceID=14","0.0036")</f>
        <v>0.0036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HYPERLINK("http://141.218.60.56/~jnz1568/getInfo.php?workbook=11_02.xlsx&amp;sheet=U0&amp;row=1401&amp;col=6&amp;number=4.7&amp;sourceID=14","4.7")</f>
        <v>4.7</v>
      </c>
      <c r="G1401" s="4" t="str">
        <f>HYPERLINK("http://141.218.60.56/~jnz1568/getInfo.php?workbook=11_02.xlsx&amp;sheet=U0&amp;row=1401&amp;col=7&amp;number=0.00358&amp;sourceID=14","0.00358")</f>
        <v>0.00358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HYPERLINK("http://141.218.60.56/~jnz1568/getInfo.php?workbook=11_02.xlsx&amp;sheet=U0&amp;row=1402&amp;col=6&amp;number=4.8&amp;sourceID=14","4.8")</f>
        <v>4.8</v>
      </c>
      <c r="G1402" s="4" t="str">
        <f>HYPERLINK("http://141.218.60.56/~jnz1568/getInfo.php?workbook=11_02.xlsx&amp;sheet=U0&amp;row=1402&amp;col=7&amp;number=0.00356&amp;sourceID=14","0.00356")</f>
        <v>0.00356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HYPERLINK("http://141.218.60.56/~jnz1568/getInfo.php?workbook=11_02.xlsx&amp;sheet=U0&amp;row=1403&amp;col=6&amp;number=4.9&amp;sourceID=14","4.9")</f>
        <v>4.9</v>
      </c>
      <c r="G1403" s="4" t="str">
        <f>HYPERLINK("http://141.218.60.56/~jnz1568/getInfo.php?workbook=11_02.xlsx&amp;sheet=U0&amp;row=1403&amp;col=7&amp;number=0.00353&amp;sourceID=14","0.00353")</f>
        <v>0.00353</v>
      </c>
    </row>
    <row r="1404" spans="1:7">
      <c r="A1404" s="3">
        <v>11</v>
      </c>
      <c r="B1404" s="3">
        <v>2</v>
      </c>
      <c r="C1404" s="3">
        <v>6</v>
      </c>
      <c r="D1404" s="3">
        <v>25</v>
      </c>
      <c r="E1404" s="3">
        <v>1</v>
      </c>
      <c r="F1404" s="4" t="str">
        <f>HYPERLINK("http://141.218.60.56/~jnz1568/getInfo.php?workbook=11_02.xlsx&amp;sheet=U0&amp;row=1404&amp;col=6&amp;number=3&amp;sourceID=14","3")</f>
        <v>3</v>
      </c>
      <c r="G1404" s="4" t="str">
        <f>HYPERLINK("http://141.218.60.56/~jnz1568/getInfo.php?workbook=11_02.xlsx&amp;sheet=U0&amp;row=1404&amp;col=7&amp;number=0.00493&amp;sourceID=14","0.00493")</f>
        <v>0.00493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HYPERLINK("http://141.218.60.56/~jnz1568/getInfo.php?workbook=11_02.xlsx&amp;sheet=U0&amp;row=1405&amp;col=6&amp;number=3.1&amp;sourceID=14","3.1")</f>
        <v>3.1</v>
      </c>
      <c r="G1405" s="4" t="str">
        <f>HYPERLINK("http://141.218.60.56/~jnz1568/getInfo.php?workbook=11_02.xlsx&amp;sheet=U0&amp;row=1405&amp;col=7&amp;number=0.00493&amp;sourceID=14","0.00493")</f>
        <v>0.00493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HYPERLINK("http://141.218.60.56/~jnz1568/getInfo.php?workbook=11_02.xlsx&amp;sheet=U0&amp;row=1406&amp;col=6&amp;number=3.2&amp;sourceID=14","3.2")</f>
        <v>3.2</v>
      </c>
      <c r="G1406" s="4" t="str">
        <f>HYPERLINK("http://141.218.60.56/~jnz1568/getInfo.php?workbook=11_02.xlsx&amp;sheet=U0&amp;row=1406&amp;col=7&amp;number=0.00493&amp;sourceID=14","0.00493")</f>
        <v>0.00493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HYPERLINK("http://141.218.60.56/~jnz1568/getInfo.php?workbook=11_02.xlsx&amp;sheet=U0&amp;row=1407&amp;col=6&amp;number=3.3&amp;sourceID=14","3.3")</f>
        <v>3.3</v>
      </c>
      <c r="G1407" s="4" t="str">
        <f>HYPERLINK("http://141.218.60.56/~jnz1568/getInfo.php?workbook=11_02.xlsx&amp;sheet=U0&amp;row=1407&amp;col=7&amp;number=0.00493&amp;sourceID=14","0.00493")</f>
        <v>0.00493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HYPERLINK("http://141.218.60.56/~jnz1568/getInfo.php?workbook=11_02.xlsx&amp;sheet=U0&amp;row=1408&amp;col=6&amp;number=3.4&amp;sourceID=14","3.4")</f>
        <v>3.4</v>
      </c>
      <c r="G1408" s="4" t="str">
        <f>HYPERLINK("http://141.218.60.56/~jnz1568/getInfo.php?workbook=11_02.xlsx&amp;sheet=U0&amp;row=1408&amp;col=7&amp;number=0.00493&amp;sourceID=14","0.00493")</f>
        <v>0.00493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HYPERLINK("http://141.218.60.56/~jnz1568/getInfo.php?workbook=11_02.xlsx&amp;sheet=U0&amp;row=1409&amp;col=6&amp;number=3.5&amp;sourceID=14","3.5")</f>
        <v>3.5</v>
      </c>
      <c r="G1409" s="4" t="str">
        <f>HYPERLINK("http://141.218.60.56/~jnz1568/getInfo.php?workbook=11_02.xlsx&amp;sheet=U0&amp;row=1409&amp;col=7&amp;number=0.00492&amp;sourceID=14","0.00492")</f>
        <v>0.00492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HYPERLINK("http://141.218.60.56/~jnz1568/getInfo.php?workbook=11_02.xlsx&amp;sheet=U0&amp;row=1410&amp;col=6&amp;number=3.6&amp;sourceID=14","3.6")</f>
        <v>3.6</v>
      </c>
      <c r="G1410" s="4" t="str">
        <f>HYPERLINK("http://141.218.60.56/~jnz1568/getInfo.php?workbook=11_02.xlsx&amp;sheet=U0&amp;row=1410&amp;col=7&amp;number=0.00492&amp;sourceID=14","0.00492")</f>
        <v>0.00492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HYPERLINK("http://141.218.60.56/~jnz1568/getInfo.php?workbook=11_02.xlsx&amp;sheet=U0&amp;row=1411&amp;col=6&amp;number=3.7&amp;sourceID=14","3.7")</f>
        <v>3.7</v>
      </c>
      <c r="G1411" s="4" t="str">
        <f>HYPERLINK("http://141.218.60.56/~jnz1568/getInfo.php?workbook=11_02.xlsx&amp;sheet=U0&amp;row=1411&amp;col=7&amp;number=0.00492&amp;sourceID=14","0.00492")</f>
        <v>0.00492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HYPERLINK("http://141.218.60.56/~jnz1568/getInfo.php?workbook=11_02.xlsx&amp;sheet=U0&amp;row=1412&amp;col=6&amp;number=3.8&amp;sourceID=14","3.8")</f>
        <v>3.8</v>
      </c>
      <c r="G1412" s="4" t="str">
        <f>HYPERLINK("http://141.218.60.56/~jnz1568/getInfo.php?workbook=11_02.xlsx&amp;sheet=U0&amp;row=1412&amp;col=7&amp;number=0.00491&amp;sourceID=14","0.00491")</f>
        <v>0.00491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HYPERLINK("http://141.218.60.56/~jnz1568/getInfo.php?workbook=11_02.xlsx&amp;sheet=U0&amp;row=1413&amp;col=6&amp;number=3.9&amp;sourceID=14","3.9")</f>
        <v>3.9</v>
      </c>
      <c r="G1413" s="4" t="str">
        <f>HYPERLINK("http://141.218.60.56/~jnz1568/getInfo.php?workbook=11_02.xlsx&amp;sheet=U0&amp;row=1413&amp;col=7&amp;number=0.00491&amp;sourceID=14","0.00491")</f>
        <v>0.00491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HYPERLINK("http://141.218.60.56/~jnz1568/getInfo.php?workbook=11_02.xlsx&amp;sheet=U0&amp;row=1414&amp;col=6&amp;number=4&amp;sourceID=14","4")</f>
        <v>4</v>
      </c>
      <c r="G1414" s="4" t="str">
        <f>HYPERLINK("http://141.218.60.56/~jnz1568/getInfo.php?workbook=11_02.xlsx&amp;sheet=U0&amp;row=1414&amp;col=7&amp;number=0.0049&amp;sourceID=14","0.0049")</f>
        <v>0.0049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HYPERLINK("http://141.218.60.56/~jnz1568/getInfo.php?workbook=11_02.xlsx&amp;sheet=U0&amp;row=1415&amp;col=6&amp;number=4.1&amp;sourceID=14","4.1")</f>
        <v>4.1</v>
      </c>
      <c r="G1415" s="4" t="str">
        <f>HYPERLINK("http://141.218.60.56/~jnz1568/getInfo.php?workbook=11_02.xlsx&amp;sheet=U0&amp;row=1415&amp;col=7&amp;number=0.0049&amp;sourceID=14","0.0049")</f>
        <v>0.0049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HYPERLINK("http://141.218.60.56/~jnz1568/getInfo.php?workbook=11_02.xlsx&amp;sheet=U0&amp;row=1416&amp;col=6&amp;number=4.2&amp;sourceID=14","4.2")</f>
        <v>4.2</v>
      </c>
      <c r="G1416" s="4" t="str">
        <f>HYPERLINK("http://141.218.60.56/~jnz1568/getInfo.php?workbook=11_02.xlsx&amp;sheet=U0&amp;row=1416&amp;col=7&amp;number=0.00489&amp;sourceID=14","0.00489")</f>
        <v>0.00489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HYPERLINK("http://141.218.60.56/~jnz1568/getInfo.php?workbook=11_02.xlsx&amp;sheet=U0&amp;row=1417&amp;col=6&amp;number=4.3&amp;sourceID=14","4.3")</f>
        <v>4.3</v>
      </c>
      <c r="G1417" s="4" t="str">
        <f>HYPERLINK("http://141.218.60.56/~jnz1568/getInfo.php?workbook=11_02.xlsx&amp;sheet=U0&amp;row=1417&amp;col=7&amp;number=0.00488&amp;sourceID=14","0.00488")</f>
        <v>0.00488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HYPERLINK("http://141.218.60.56/~jnz1568/getInfo.php?workbook=11_02.xlsx&amp;sheet=U0&amp;row=1418&amp;col=6&amp;number=4.4&amp;sourceID=14","4.4")</f>
        <v>4.4</v>
      </c>
      <c r="G1418" s="4" t="str">
        <f>HYPERLINK("http://141.218.60.56/~jnz1568/getInfo.php?workbook=11_02.xlsx&amp;sheet=U0&amp;row=1418&amp;col=7&amp;number=0.00486&amp;sourceID=14","0.00486")</f>
        <v>0.00486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HYPERLINK("http://141.218.60.56/~jnz1568/getInfo.php?workbook=11_02.xlsx&amp;sheet=U0&amp;row=1419&amp;col=6&amp;number=4.5&amp;sourceID=14","4.5")</f>
        <v>4.5</v>
      </c>
      <c r="G1419" s="4" t="str">
        <f>HYPERLINK("http://141.218.60.56/~jnz1568/getInfo.php?workbook=11_02.xlsx&amp;sheet=U0&amp;row=1419&amp;col=7&amp;number=0.00485&amp;sourceID=14","0.00485")</f>
        <v>0.00485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HYPERLINK("http://141.218.60.56/~jnz1568/getInfo.php?workbook=11_02.xlsx&amp;sheet=U0&amp;row=1420&amp;col=6&amp;number=4.6&amp;sourceID=14","4.6")</f>
        <v>4.6</v>
      </c>
      <c r="G1420" s="4" t="str">
        <f>HYPERLINK("http://141.218.60.56/~jnz1568/getInfo.php?workbook=11_02.xlsx&amp;sheet=U0&amp;row=1420&amp;col=7&amp;number=0.00483&amp;sourceID=14","0.00483")</f>
        <v>0.00483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HYPERLINK("http://141.218.60.56/~jnz1568/getInfo.php?workbook=11_02.xlsx&amp;sheet=U0&amp;row=1421&amp;col=6&amp;number=4.7&amp;sourceID=14","4.7")</f>
        <v>4.7</v>
      </c>
      <c r="G1421" s="4" t="str">
        <f>HYPERLINK("http://141.218.60.56/~jnz1568/getInfo.php?workbook=11_02.xlsx&amp;sheet=U0&amp;row=1421&amp;col=7&amp;number=0.0048&amp;sourceID=14","0.0048")</f>
        <v>0.0048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HYPERLINK("http://141.218.60.56/~jnz1568/getInfo.php?workbook=11_02.xlsx&amp;sheet=U0&amp;row=1422&amp;col=6&amp;number=4.8&amp;sourceID=14","4.8")</f>
        <v>4.8</v>
      </c>
      <c r="G1422" s="4" t="str">
        <f>HYPERLINK("http://141.218.60.56/~jnz1568/getInfo.php?workbook=11_02.xlsx&amp;sheet=U0&amp;row=1422&amp;col=7&amp;number=0.00477&amp;sourceID=14","0.00477")</f>
        <v>0.00477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HYPERLINK("http://141.218.60.56/~jnz1568/getInfo.php?workbook=11_02.xlsx&amp;sheet=U0&amp;row=1423&amp;col=6&amp;number=4.9&amp;sourceID=14","4.9")</f>
        <v>4.9</v>
      </c>
      <c r="G1423" s="4" t="str">
        <f>HYPERLINK("http://141.218.60.56/~jnz1568/getInfo.php?workbook=11_02.xlsx&amp;sheet=U0&amp;row=1423&amp;col=7&amp;number=0.00473&amp;sourceID=14","0.00473")</f>
        <v>0.00473</v>
      </c>
    </row>
    <row r="1424" spans="1:7">
      <c r="A1424" s="3">
        <v>11</v>
      </c>
      <c r="B1424" s="3">
        <v>2</v>
      </c>
      <c r="C1424" s="3">
        <v>6</v>
      </c>
      <c r="D1424" s="3">
        <v>26</v>
      </c>
      <c r="E1424" s="3">
        <v>1</v>
      </c>
      <c r="F1424" s="4" t="str">
        <f>HYPERLINK("http://141.218.60.56/~jnz1568/getInfo.php?workbook=11_02.xlsx&amp;sheet=U0&amp;row=1424&amp;col=6&amp;number=3&amp;sourceID=14","3")</f>
        <v>3</v>
      </c>
      <c r="G1424" s="4" t="str">
        <f>HYPERLINK("http://141.218.60.56/~jnz1568/getInfo.php?workbook=11_02.xlsx&amp;sheet=U0&amp;row=1424&amp;col=7&amp;number=0.00192&amp;sourceID=14","0.00192")</f>
        <v>0.00192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HYPERLINK("http://141.218.60.56/~jnz1568/getInfo.php?workbook=11_02.xlsx&amp;sheet=U0&amp;row=1425&amp;col=6&amp;number=3.1&amp;sourceID=14","3.1")</f>
        <v>3.1</v>
      </c>
      <c r="G1425" s="4" t="str">
        <f>HYPERLINK("http://141.218.60.56/~jnz1568/getInfo.php?workbook=11_02.xlsx&amp;sheet=U0&amp;row=1425&amp;col=7&amp;number=0.00192&amp;sourceID=14","0.00192")</f>
        <v>0.00192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HYPERLINK("http://141.218.60.56/~jnz1568/getInfo.php?workbook=11_02.xlsx&amp;sheet=U0&amp;row=1426&amp;col=6&amp;number=3.2&amp;sourceID=14","3.2")</f>
        <v>3.2</v>
      </c>
      <c r="G1426" s="4" t="str">
        <f>HYPERLINK("http://141.218.60.56/~jnz1568/getInfo.php?workbook=11_02.xlsx&amp;sheet=U0&amp;row=1426&amp;col=7&amp;number=0.00192&amp;sourceID=14","0.00192")</f>
        <v>0.00192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HYPERLINK("http://141.218.60.56/~jnz1568/getInfo.php?workbook=11_02.xlsx&amp;sheet=U0&amp;row=1427&amp;col=6&amp;number=3.3&amp;sourceID=14","3.3")</f>
        <v>3.3</v>
      </c>
      <c r="G1427" s="4" t="str">
        <f>HYPERLINK("http://141.218.60.56/~jnz1568/getInfo.php?workbook=11_02.xlsx&amp;sheet=U0&amp;row=1427&amp;col=7&amp;number=0.00192&amp;sourceID=14","0.00192")</f>
        <v>0.00192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HYPERLINK("http://141.218.60.56/~jnz1568/getInfo.php?workbook=11_02.xlsx&amp;sheet=U0&amp;row=1428&amp;col=6&amp;number=3.4&amp;sourceID=14","3.4")</f>
        <v>3.4</v>
      </c>
      <c r="G1428" s="4" t="str">
        <f>HYPERLINK("http://141.218.60.56/~jnz1568/getInfo.php?workbook=11_02.xlsx&amp;sheet=U0&amp;row=1428&amp;col=7&amp;number=0.00192&amp;sourceID=14","0.00192")</f>
        <v>0.00192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HYPERLINK("http://141.218.60.56/~jnz1568/getInfo.php?workbook=11_02.xlsx&amp;sheet=U0&amp;row=1429&amp;col=6&amp;number=3.5&amp;sourceID=14","3.5")</f>
        <v>3.5</v>
      </c>
      <c r="G1429" s="4" t="str">
        <f>HYPERLINK("http://141.218.60.56/~jnz1568/getInfo.php?workbook=11_02.xlsx&amp;sheet=U0&amp;row=1429&amp;col=7&amp;number=0.00192&amp;sourceID=14","0.00192")</f>
        <v>0.00192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HYPERLINK("http://141.218.60.56/~jnz1568/getInfo.php?workbook=11_02.xlsx&amp;sheet=U0&amp;row=1430&amp;col=6&amp;number=3.6&amp;sourceID=14","3.6")</f>
        <v>3.6</v>
      </c>
      <c r="G1430" s="4" t="str">
        <f>HYPERLINK("http://141.218.60.56/~jnz1568/getInfo.php?workbook=11_02.xlsx&amp;sheet=U0&amp;row=1430&amp;col=7&amp;number=0.00192&amp;sourceID=14","0.00192")</f>
        <v>0.00192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HYPERLINK("http://141.218.60.56/~jnz1568/getInfo.php?workbook=11_02.xlsx&amp;sheet=U0&amp;row=1431&amp;col=6&amp;number=3.7&amp;sourceID=14","3.7")</f>
        <v>3.7</v>
      </c>
      <c r="G1431" s="4" t="str">
        <f>HYPERLINK("http://141.218.60.56/~jnz1568/getInfo.php?workbook=11_02.xlsx&amp;sheet=U0&amp;row=1431&amp;col=7&amp;number=0.00191&amp;sourceID=14","0.00191")</f>
        <v>0.00191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HYPERLINK("http://141.218.60.56/~jnz1568/getInfo.php?workbook=11_02.xlsx&amp;sheet=U0&amp;row=1432&amp;col=6&amp;number=3.8&amp;sourceID=14","3.8")</f>
        <v>3.8</v>
      </c>
      <c r="G1432" s="4" t="str">
        <f>HYPERLINK("http://141.218.60.56/~jnz1568/getInfo.php?workbook=11_02.xlsx&amp;sheet=U0&amp;row=1432&amp;col=7&amp;number=0.00191&amp;sourceID=14","0.00191")</f>
        <v>0.00191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HYPERLINK("http://141.218.60.56/~jnz1568/getInfo.php?workbook=11_02.xlsx&amp;sheet=U0&amp;row=1433&amp;col=6&amp;number=3.9&amp;sourceID=14","3.9")</f>
        <v>3.9</v>
      </c>
      <c r="G1433" s="4" t="str">
        <f>HYPERLINK("http://141.218.60.56/~jnz1568/getInfo.php?workbook=11_02.xlsx&amp;sheet=U0&amp;row=1433&amp;col=7&amp;number=0.00191&amp;sourceID=14","0.00191")</f>
        <v>0.00191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HYPERLINK("http://141.218.60.56/~jnz1568/getInfo.php?workbook=11_02.xlsx&amp;sheet=U0&amp;row=1434&amp;col=6&amp;number=4&amp;sourceID=14","4")</f>
        <v>4</v>
      </c>
      <c r="G1434" s="4" t="str">
        <f>HYPERLINK("http://141.218.60.56/~jnz1568/getInfo.php?workbook=11_02.xlsx&amp;sheet=U0&amp;row=1434&amp;col=7&amp;number=0.00191&amp;sourceID=14","0.00191")</f>
        <v>0.00191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HYPERLINK("http://141.218.60.56/~jnz1568/getInfo.php?workbook=11_02.xlsx&amp;sheet=U0&amp;row=1435&amp;col=6&amp;number=4.1&amp;sourceID=14","4.1")</f>
        <v>4.1</v>
      </c>
      <c r="G1435" s="4" t="str">
        <f>HYPERLINK("http://141.218.60.56/~jnz1568/getInfo.php?workbook=11_02.xlsx&amp;sheet=U0&amp;row=1435&amp;col=7&amp;number=0.00191&amp;sourceID=14","0.00191")</f>
        <v>0.00191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HYPERLINK("http://141.218.60.56/~jnz1568/getInfo.php?workbook=11_02.xlsx&amp;sheet=U0&amp;row=1436&amp;col=6&amp;number=4.2&amp;sourceID=14","4.2")</f>
        <v>4.2</v>
      </c>
      <c r="G1436" s="4" t="str">
        <f>HYPERLINK("http://141.218.60.56/~jnz1568/getInfo.php?workbook=11_02.xlsx&amp;sheet=U0&amp;row=1436&amp;col=7&amp;number=0.0019&amp;sourceID=14","0.0019")</f>
        <v>0.0019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HYPERLINK("http://141.218.60.56/~jnz1568/getInfo.php?workbook=11_02.xlsx&amp;sheet=U0&amp;row=1437&amp;col=6&amp;number=4.3&amp;sourceID=14","4.3")</f>
        <v>4.3</v>
      </c>
      <c r="G1437" s="4" t="str">
        <f>HYPERLINK("http://141.218.60.56/~jnz1568/getInfo.php?workbook=11_02.xlsx&amp;sheet=U0&amp;row=1437&amp;col=7&amp;number=0.0019&amp;sourceID=14","0.0019")</f>
        <v>0.0019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HYPERLINK("http://141.218.60.56/~jnz1568/getInfo.php?workbook=11_02.xlsx&amp;sheet=U0&amp;row=1438&amp;col=6&amp;number=4.4&amp;sourceID=14","4.4")</f>
        <v>4.4</v>
      </c>
      <c r="G1438" s="4" t="str">
        <f>HYPERLINK("http://141.218.60.56/~jnz1568/getInfo.php?workbook=11_02.xlsx&amp;sheet=U0&amp;row=1438&amp;col=7&amp;number=0.00189&amp;sourceID=14","0.00189")</f>
        <v>0.00189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HYPERLINK("http://141.218.60.56/~jnz1568/getInfo.php?workbook=11_02.xlsx&amp;sheet=U0&amp;row=1439&amp;col=6&amp;number=4.5&amp;sourceID=14","4.5")</f>
        <v>4.5</v>
      </c>
      <c r="G1439" s="4" t="str">
        <f>HYPERLINK("http://141.218.60.56/~jnz1568/getInfo.php?workbook=11_02.xlsx&amp;sheet=U0&amp;row=1439&amp;col=7&amp;number=0.00189&amp;sourceID=14","0.00189")</f>
        <v>0.00189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HYPERLINK("http://141.218.60.56/~jnz1568/getInfo.php?workbook=11_02.xlsx&amp;sheet=U0&amp;row=1440&amp;col=6&amp;number=4.6&amp;sourceID=14","4.6")</f>
        <v>4.6</v>
      </c>
      <c r="G1440" s="4" t="str">
        <f>HYPERLINK("http://141.218.60.56/~jnz1568/getInfo.php?workbook=11_02.xlsx&amp;sheet=U0&amp;row=1440&amp;col=7&amp;number=0.00188&amp;sourceID=14","0.00188")</f>
        <v>0.00188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HYPERLINK("http://141.218.60.56/~jnz1568/getInfo.php?workbook=11_02.xlsx&amp;sheet=U0&amp;row=1441&amp;col=6&amp;number=4.7&amp;sourceID=14","4.7")</f>
        <v>4.7</v>
      </c>
      <c r="G1441" s="4" t="str">
        <f>HYPERLINK("http://141.218.60.56/~jnz1568/getInfo.php?workbook=11_02.xlsx&amp;sheet=U0&amp;row=1441&amp;col=7&amp;number=0.00187&amp;sourceID=14","0.00187")</f>
        <v>0.00187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HYPERLINK("http://141.218.60.56/~jnz1568/getInfo.php?workbook=11_02.xlsx&amp;sheet=U0&amp;row=1442&amp;col=6&amp;number=4.8&amp;sourceID=14","4.8")</f>
        <v>4.8</v>
      </c>
      <c r="G1442" s="4" t="str">
        <f>HYPERLINK("http://141.218.60.56/~jnz1568/getInfo.php?workbook=11_02.xlsx&amp;sheet=U0&amp;row=1442&amp;col=7&amp;number=0.00185&amp;sourceID=14","0.00185")</f>
        <v>0.00185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HYPERLINK("http://141.218.60.56/~jnz1568/getInfo.php?workbook=11_02.xlsx&amp;sheet=U0&amp;row=1443&amp;col=6&amp;number=4.9&amp;sourceID=14","4.9")</f>
        <v>4.9</v>
      </c>
      <c r="G1443" s="4" t="str">
        <f>HYPERLINK("http://141.218.60.56/~jnz1568/getInfo.php?workbook=11_02.xlsx&amp;sheet=U0&amp;row=1443&amp;col=7&amp;number=0.00183&amp;sourceID=14","0.00183")</f>
        <v>0.00183</v>
      </c>
    </row>
    <row r="1444" spans="1:7">
      <c r="A1444" s="3">
        <v>11</v>
      </c>
      <c r="B1444" s="3">
        <v>2</v>
      </c>
      <c r="C1444" s="3">
        <v>6</v>
      </c>
      <c r="D1444" s="3">
        <v>27</v>
      </c>
      <c r="E1444" s="3">
        <v>1</v>
      </c>
      <c r="F1444" s="4" t="str">
        <f>HYPERLINK("http://141.218.60.56/~jnz1568/getInfo.php?workbook=11_02.xlsx&amp;sheet=U0&amp;row=1444&amp;col=6&amp;number=3&amp;sourceID=14","3")</f>
        <v>3</v>
      </c>
      <c r="G1444" s="4" t="str">
        <f>HYPERLINK("http://141.218.60.56/~jnz1568/getInfo.php?workbook=11_02.xlsx&amp;sheet=U0&amp;row=1444&amp;col=7&amp;number=0.00419&amp;sourceID=14","0.00419")</f>
        <v>0.00419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HYPERLINK("http://141.218.60.56/~jnz1568/getInfo.php?workbook=11_02.xlsx&amp;sheet=U0&amp;row=1445&amp;col=6&amp;number=3.1&amp;sourceID=14","3.1")</f>
        <v>3.1</v>
      </c>
      <c r="G1445" s="4" t="str">
        <f>HYPERLINK("http://141.218.60.56/~jnz1568/getInfo.php?workbook=11_02.xlsx&amp;sheet=U0&amp;row=1445&amp;col=7&amp;number=0.00419&amp;sourceID=14","0.00419")</f>
        <v>0.00419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HYPERLINK("http://141.218.60.56/~jnz1568/getInfo.php?workbook=11_02.xlsx&amp;sheet=U0&amp;row=1446&amp;col=6&amp;number=3.2&amp;sourceID=14","3.2")</f>
        <v>3.2</v>
      </c>
      <c r="G1446" s="4" t="str">
        <f>HYPERLINK("http://141.218.60.56/~jnz1568/getInfo.php?workbook=11_02.xlsx&amp;sheet=U0&amp;row=1446&amp;col=7&amp;number=0.00419&amp;sourceID=14","0.00419")</f>
        <v>0.00419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HYPERLINK("http://141.218.60.56/~jnz1568/getInfo.php?workbook=11_02.xlsx&amp;sheet=U0&amp;row=1447&amp;col=6&amp;number=3.3&amp;sourceID=14","3.3")</f>
        <v>3.3</v>
      </c>
      <c r="G1447" s="4" t="str">
        <f>HYPERLINK("http://141.218.60.56/~jnz1568/getInfo.php?workbook=11_02.xlsx&amp;sheet=U0&amp;row=1447&amp;col=7&amp;number=0.00419&amp;sourceID=14","0.00419")</f>
        <v>0.00419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HYPERLINK("http://141.218.60.56/~jnz1568/getInfo.php?workbook=11_02.xlsx&amp;sheet=U0&amp;row=1448&amp;col=6&amp;number=3.4&amp;sourceID=14","3.4")</f>
        <v>3.4</v>
      </c>
      <c r="G1448" s="4" t="str">
        <f>HYPERLINK("http://141.218.60.56/~jnz1568/getInfo.php?workbook=11_02.xlsx&amp;sheet=U0&amp;row=1448&amp;col=7&amp;number=0.00419&amp;sourceID=14","0.00419")</f>
        <v>0.00419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HYPERLINK("http://141.218.60.56/~jnz1568/getInfo.php?workbook=11_02.xlsx&amp;sheet=U0&amp;row=1449&amp;col=6&amp;number=3.5&amp;sourceID=14","3.5")</f>
        <v>3.5</v>
      </c>
      <c r="G1449" s="4" t="str">
        <f>HYPERLINK("http://141.218.60.56/~jnz1568/getInfo.php?workbook=11_02.xlsx&amp;sheet=U0&amp;row=1449&amp;col=7&amp;number=0.00419&amp;sourceID=14","0.00419")</f>
        <v>0.00419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HYPERLINK("http://141.218.60.56/~jnz1568/getInfo.php?workbook=11_02.xlsx&amp;sheet=U0&amp;row=1450&amp;col=6&amp;number=3.6&amp;sourceID=14","3.6")</f>
        <v>3.6</v>
      </c>
      <c r="G1450" s="4" t="str">
        <f>HYPERLINK("http://141.218.60.56/~jnz1568/getInfo.php?workbook=11_02.xlsx&amp;sheet=U0&amp;row=1450&amp;col=7&amp;number=0.00419&amp;sourceID=14","0.00419")</f>
        <v>0.00419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HYPERLINK("http://141.218.60.56/~jnz1568/getInfo.php?workbook=11_02.xlsx&amp;sheet=U0&amp;row=1451&amp;col=6&amp;number=3.7&amp;sourceID=14","3.7")</f>
        <v>3.7</v>
      </c>
      <c r="G1451" s="4" t="str">
        <f>HYPERLINK("http://141.218.60.56/~jnz1568/getInfo.php?workbook=11_02.xlsx&amp;sheet=U0&amp;row=1451&amp;col=7&amp;number=0.00419&amp;sourceID=14","0.00419")</f>
        <v>0.00419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HYPERLINK("http://141.218.60.56/~jnz1568/getInfo.php?workbook=11_02.xlsx&amp;sheet=U0&amp;row=1452&amp;col=6&amp;number=3.8&amp;sourceID=14","3.8")</f>
        <v>3.8</v>
      </c>
      <c r="G1452" s="4" t="str">
        <f>HYPERLINK("http://141.218.60.56/~jnz1568/getInfo.php?workbook=11_02.xlsx&amp;sheet=U0&amp;row=1452&amp;col=7&amp;number=0.0042&amp;sourceID=14","0.0042")</f>
        <v>0.0042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HYPERLINK("http://141.218.60.56/~jnz1568/getInfo.php?workbook=11_02.xlsx&amp;sheet=U0&amp;row=1453&amp;col=6&amp;number=3.9&amp;sourceID=14","3.9")</f>
        <v>3.9</v>
      </c>
      <c r="G1453" s="4" t="str">
        <f>HYPERLINK("http://141.218.60.56/~jnz1568/getInfo.php?workbook=11_02.xlsx&amp;sheet=U0&amp;row=1453&amp;col=7&amp;number=0.0042&amp;sourceID=14","0.0042")</f>
        <v>0.0042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HYPERLINK("http://141.218.60.56/~jnz1568/getInfo.php?workbook=11_02.xlsx&amp;sheet=U0&amp;row=1454&amp;col=6&amp;number=4&amp;sourceID=14","4")</f>
        <v>4</v>
      </c>
      <c r="G1454" s="4" t="str">
        <f>HYPERLINK("http://141.218.60.56/~jnz1568/getInfo.php?workbook=11_02.xlsx&amp;sheet=U0&amp;row=1454&amp;col=7&amp;number=0.0042&amp;sourceID=14","0.0042")</f>
        <v>0.0042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HYPERLINK("http://141.218.60.56/~jnz1568/getInfo.php?workbook=11_02.xlsx&amp;sheet=U0&amp;row=1455&amp;col=6&amp;number=4.1&amp;sourceID=14","4.1")</f>
        <v>4.1</v>
      </c>
      <c r="G1455" s="4" t="str">
        <f>HYPERLINK("http://141.218.60.56/~jnz1568/getInfo.php?workbook=11_02.xlsx&amp;sheet=U0&amp;row=1455&amp;col=7&amp;number=0.0042&amp;sourceID=14","0.0042")</f>
        <v>0.0042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HYPERLINK("http://141.218.60.56/~jnz1568/getInfo.php?workbook=11_02.xlsx&amp;sheet=U0&amp;row=1456&amp;col=6&amp;number=4.2&amp;sourceID=14","4.2")</f>
        <v>4.2</v>
      </c>
      <c r="G1456" s="4" t="str">
        <f>HYPERLINK("http://141.218.60.56/~jnz1568/getInfo.php?workbook=11_02.xlsx&amp;sheet=U0&amp;row=1456&amp;col=7&amp;number=0.0042&amp;sourceID=14","0.0042")</f>
        <v>0.0042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HYPERLINK("http://141.218.60.56/~jnz1568/getInfo.php?workbook=11_02.xlsx&amp;sheet=U0&amp;row=1457&amp;col=6&amp;number=4.3&amp;sourceID=14","4.3")</f>
        <v>4.3</v>
      </c>
      <c r="G1457" s="4" t="str">
        <f>HYPERLINK("http://141.218.60.56/~jnz1568/getInfo.php?workbook=11_02.xlsx&amp;sheet=U0&amp;row=1457&amp;col=7&amp;number=0.00421&amp;sourceID=14","0.00421")</f>
        <v>0.00421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HYPERLINK("http://141.218.60.56/~jnz1568/getInfo.php?workbook=11_02.xlsx&amp;sheet=U0&amp;row=1458&amp;col=6&amp;number=4.4&amp;sourceID=14","4.4")</f>
        <v>4.4</v>
      </c>
      <c r="G1458" s="4" t="str">
        <f>HYPERLINK("http://141.218.60.56/~jnz1568/getInfo.php?workbook=11_02.xlsx&amp;sheet=U0&amp;row=1458&amp;col=7&amp;number=0.00421&amp;sourceID=14","0.00421")</f>
        <v>0.00421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HYPERLINK("http://141.218.60.56/~jnz1568/getInfo.php?workbook=11_02.xlsx&amp;sheet=U0&amp;row=1459&amp;col=6&amp;number=4.5&amp;sourceID=14","4.5")</f>
        <v>4.5</v>
      </c>
      <c r="G1459" s="4" t="str">
        <f>HYPERLINK("http://141.218.60.56/~jnz1568/getInfo.php?workbook=11_02.xlsx&amp;sheet=U0&amp;row=1459&amp;col=7&amp;number=0.00422&amp;sourceID=14","0.00422")</f>
        <v>0.00422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HYPERLINK("http://141.218.60.56/~jnz1568/getInfo.php?workbook=11_02.xlsx&amp;sheet=U0&amp;row=1460&amp;col=6&amp;number=4.6&amp;sourceID=14","4.6")</f>
        <v>4.6</v>
      </c>
      <c r="G1460" s="4" t="str">
        <f>HYPERLINK("http://141.218.60.56/~jnz1568/getInfo.php?workbook=11_02.xlsx&amp;sheet=U0&amp;row=1460&amp;col=7&amp;number=0.00422&amp;sourceID=14","0.00422")</f>
        <v>0.00422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HYPERLINK("http://141.218.60.56/~jnz1568/getInfo.php?workbook=11_02.xlsx&amp;sheet=U0&amp;row=1461&amp;col=6&amp;number=4.7&amp;sourceID=14","4.7")</f>
        <v>4.7</v>
      </c>
      <c r="G1461" s="4" t="str">
        <f>HYPERLINK("http://141.218.60.56/~jnz1568/getInfo.php?workbook=11_02.xlsx&amp;sheet=U0&amp;row=1461&amp;col=7&amp;number=0.00423&amp;sourceID=14","0.00423")</f>
        <v>0.00423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HYPERLINK("http://141.218.60.56/~jnz1568/getInfo.php?workbook=11_02.xlsx&amp;sheet=U0&amp;row=1462&amp;col=6&amp;number=4.8&amp;sourceID=14","4.8")</f>
        <v>4.8</v>
      </c>
      <c r="G1462" s="4" t="str">
        <f>HYPERLINK("http://141.218.60.56/~jnz1568/getInfo.php?workbook=11_02.xlsx&amp;sheet=U0&amp;row=1462&amp;col=7&amp;number=0.00424&amp;sourceID=14","0.00424")</f>
        <v>0.00424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HYPERLINK("http://141.218.60.56/~jnz1568/getInfo.php?workbook=11_02.xlsx&amp;sheet=U0&amp;row=1463&amp;col=6&amp;number=4.9&amp;sourceID=14","4.9")</f>
        <v>4.9</v>
      </c>
      <c r="G1463" s="4" t="str">
        <f>HYPERLINK("http://141.218.60.56/~jnz1568/getInfo.php?workbook=11_02.xlsx&amp;sheet=U0&amp;row=1463&amp;col=7&amp;number=0.00424&amp;sourceID=14","0.00424")</f>
        <v>0.00424</v>
      </c>
    </row>
    <row r="1464" spans="1:7">
      <c r="A1464" s="3">
        <v>11</v>
      </c>
      <c r="B1464" s="3">
        <v>2</v>
      </c>
      <c r="C1464" s="3">
        <v>6</v>
      </c>
      <c r="D1464" s="3">
        <v>28</v>
      </c>
      <c r="E1464" s="3">
        <v>1</v>
      </c>
      <c r="F1464" s="4" t="str">
        <f>HYPERLINK("http://141.218.60.56/~jnz1568/getInfo.php?workbook=11_02.xlsx&amp;sheet=U0&amp;row=1464&amp;col=6&amp;number=3&amp;sourceID=14","3")</f>
        <v>3</v>
      </c>
      <c r="G1464" s="4" t="str">
        <f>HYPERLINK("http://141.218.60.56/~jnz1568/getInfo.php?workbook=11_02.xlsx&amp;sheet=U0&amp;row=1464&amp;col=7&amp;number=0.0035&amp;sourceID=14","0.0035")</f>
        <v>0.0035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HYPERLINK("http://141.218.60.56/~jnz1568/getInfo.php?workbook=11_02.xlsx&amp;sheet=U0&amp;row=1465&amp;col=6&amp;number=3.1&amp;sourceID=14","3.1")</f>
        <v>3.1</v>
      </c>
      <c r="G1465" s="4" t="str">
        <f>HYPERLINK("http://141.218.60.56/~jnz1568/getInfo.php?workbook=11_02.xlsx&amp;sheet=U0&amp;row=1465&amp;col=7&amp;number=0.0035&amp;sourceID=14","0.0035")</f>
        <v>0.0035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HYPERLINK("http://141.218.60.56/~jnz1568/getInfo.php?workbook=11_02.xlsx&amp;sheet=U0&amp;row=1466&amp;col=6&amp;number=3.2&amp;sourceID=14","3.2")</f>
        <v>3.2</v>
      </c>
      <c r="G1466" s="4" t="str">
        <f>HYPERLINK("http://141.218.60.56/~jnz1568/getInfo.php?workbook=11_02.xlsx&amp;sheet=U0&amp;row=1466&amp;col=7&amp;number=0.0035&amp;sourceID=14","0.0035")</f>
        <v>0.0035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HYPERLINK("http://141.218.60.56/~jnz1568/getInfo.php?workbook=11_02.xlsx&amp;sheet=U0&amp;row=1467&amp;col=6&amp;number=3.3&amp;sourceID=14","3.3")</f>
        <v>3.3</v>
      </c>
      <c r="G1467" s="4" t="str">
        <f>HYPERLINK("http://141.218.60.56/~jnz1568/getInfo.php?workbook=11_02.xlsx&amp;sheet=U0&amp;row=1467&amp;col=7&amp;number=0.0035&amp;sourceID=14","0.0035")</f>
        <v>0.0035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HYPERLINK("http://141.218.60.56/~jnz1568/getInfo.php?workbook=11_02.xlsx&amp;sheet=U0&amp;row=1468&amp;col=6&amp;number=3.4&amp;sourceID=14","3.4")</f>
        <v>3.4</v>
      </c>
      <c r="G1468" s="4" t="str">
        <f>HYPERLINK("http://141.218.60.56/~jnz1568/getInfo.php?workbook=11_02.xlsx&amp;sheet=U0&amp;row=1468&amp;col=7&amp;number=0.0035&amp;sourceID=14","0.0035")</f>
        <v>0.0035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HYPERLINK("http://141.218.60.56/~jnz1568/getInfo.php?workbook=11_02.xlsx&amp;sheet=U0&amp;row=1469&amp;col=6&amp;number=3.5&amp;sourceID=14","3.5")</f>
        <v>3.5</v>
      </c>
      <c r="G1469" s="4" t="str">
        <f>HYPERLINK("http://141.218.60.56/~jnz1568/getInfo.php?workbook=11_02.xlsx&amp;sheet=U0&amp;row=1469&amp;col=7&amp;number=0.0035&amp;sourceID=14","0.0035")</f>
        <v>0.0035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HYPERLINK("http://141.218.60.56/~jnz1568/getInfo.php?workbook=11_02.xlsx&amp;sheet=U0&amp;row=1470&amp;col=6&amp;number=3.6&amp;sourceID=14","3.6")</f>
        <v>3.6</v>
      </c>
      <c r="G1470" s="4" t="str">
        <f>HYPERLINK("http://141.218.60.56/~jnz1568/getInfo.php?workbook=11_02.xlsx&amp;sheet=U0&amp;row=1470&amp;col=7&amp;number=0.00349&amp;sourceID=14","0.00349")</f>
        <v>0.00349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HYPERLINK("http://141.218.60.56/~jnz1568/getInfo.php?workbook=11_02.xlsx&amp;sheet=U0&amp;row=1471&amp;col=6&amp;number=3.7&amp;sourceID=14","3.7")</f>
        <v>3.7</v>
      </c>
      <c r="G1471" s="4" t="str">
        <f>HYPERLINK("http://141.218.60.56/~jnz1568/getInfo.php?workbook=11_02.xlsx&amp;sheet=U0&amp;row=1471&amp;col=7&amp;number=0.00349&amp;sourceID=14","0.00349")</f>
        <v>0.00349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HYPERLINK("http://141.218.60.56/~jnz1568/getInfo.php?workbook=11_02.xlsx&amp;sheet=U0&amp;row=1472&amp;col=6&amp;number=3.8&amp;sourceID=14","3.8")</f>
        <v>3.8</v>
      </c>
      <c r="G1472" s="4" t="str">
        <f>HYPERLINK("http://141.218.60.56/~jnz1568/getInfo.php?workbook=11_02.xlsx&amp;sheet=U0&amp;row=1472&amp;col=7&amp;number=0.00349&amp;sourceID=14","0.00349")</f>
        <v>0.00349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HYPERLINK("http://141.218.60.56/~jnz1568/getInfo.php?workbook=11_02.xlsx&amp;sheet=U0&amp;row=1473&amp;col=6&amp;number=3.9&amp;sourceID=14","3.9")</f>
        <v>3.9</v>
      </c>
      <c r="G1473" s="4" t="str">
        <f>HYPERLINK("http://141.218.60.56/~jnz1568/getInfo.php?workbook=11_02.xlsx&amp;sheet=U0&amp;row=1473&amp;col=7&amp;number=0.00349&amp;sourceID=14","0.00349")</f>
        <v>0.00349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HYPERLINK("http://141.218.60.56/~jnz1568/getInfo.php?workbook=11_02.xlsx&amp;sheet=U0&amp;row=1474&amp;col=6&amp;number=4&amp;sourceID=14","4")</f>
        <v>4</v>
      </c>
      <c r="G1474" s="4" t="str">
        <f>HYPERLINK("http://141.218.60.56/~jnz1568/getInfo.php?workbook=11_02.xlsx&amp;sheet=U0&amp;row=1474&amp;col=7&amp;number=0.00348&amp;sourceID=14","0.00348")</f>
        <v>0.00348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HYPERLINK("http://141.218.60.56/~jnz1568/getInfo.php?workbook=11_02.xlsx&amp;sheet=U0&amp;row=1475&amp;col=6&amp;number=4.1&amp;sourceID=14","4.1")</f>
        <v>4.1</v>
      </c>
      <c r="G1475" s="4" t="str">
        <f>HYPERLINK("http://141.218.60.56/~jnz1568/getInfo.php?workbook=11_02.xlsx&amp;sheet=U0&amp;row=1475&amp;col=7&amp;number=0.00348&amp;sourceID=14","0.00348")</f>
        <v>0.00348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HYPERLINK("http://141.218.60.56/~jnz1568/getInfo.php?workbook=11_02.xlsx&amp;sheet=U0&amp;row=1476&amp;col=6&amp;number=4.2&amp;sourceID=14","4.2")</f>
        <v>4.2</v>
      </c>
      <c r="G1476" s="4" t="str">
        <f>HYPERLINK("http://141.218.60.56/~jnz1568/getInfo.php?workbook=11_02.xlsx&amp;sheet=U0&amp;row=1476&amp;col=7&amp;number=0.00347&amp;sourceID=14","0.00347")</f>
        <v>0.00347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HYPERLINK("http://141.218.60.56/~jnz1568/getInfo.php?workbook=11_02.xlsx&amp;sheet=U0&amp;row=1477&amp;col=6&amp;number=4.3&amp;sourceID=14","4.3")</f>
        <v>4.3</v>
      </c>
      <c r="G1477" s="4" t="str">
        <f>HYPERLINK("http://141.218.60.56/~jnz1568/getInfo.php?workbook=11_02.xlsx&amp;sheet=U0&amp;row=1477&amp;col=7&amp;number=0.00346&amp;sourceID=14","0.00346")</f>
        <v>0.00346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HYPERLINK("http://141.218.60.56/~jnz1568/getInfo.php?workbook=11_02.xlsx&amp;sheet=U0&amp;row=1478&amp;col=6&amp;number=4.4&amp;sourceID=14","4.4")</f>
        <v>4.4</v>
      </c>
      <c r="G1478" s="4" t="str">
        <f>HYPERLINK("http://141.218.60.56/~jnz1568/getInfo.php?workbook=11_02.xlsx&amp;sheet=U0&amp;row=1478&amp;col=7&amp;number=0.00345&amp;sourceID=14","0.00345")</f>
        <v>0.00345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HYPERLINK("http://141.218.60.56/~jnz1568/getInfo.php?workbook=11_02.xlsx&amp;sheet=U0&amp;row=1479&amp;col=6&amp;number=4.5&amp;sourceID=14","4.5")</f>
        <v>4.5</v>
      </c>
      <c r="G1479" s="4" t="str">
        <f>HYPERLINK("http://141.218.60.56/~jnz1568/getInfo.php?workbook=11_02.xlsx&amp;sheet=U0&amp;row=1479&amp;col=7&amp;number=0.00344&amp;sourceID=14","0.00344")</f>
        <v>0.00344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HYPERLINK("http://141.218.60.56/~jnz1568/getInfo.php?workbook=11_02.xlsx&amp;sheet=U0&amp;row=1480&amp;col=6&amp;number=4.6&amp;sourceID=14","4.6")</f>
        <v>4.6</v>
      </c>
      <c r="G1480" s="4" t="str">
        <f>HYPERLINK("http://141.218.60.56/~jnz1568/getInfo.php?workbook=11_02.xlsx&amp;sheet=U0&amp;row=1480&amp;col=7&amp;number=0.00342&amp;sourceID=14","0.00342")</f>
        <v>0.00342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HYPERLINK("http://141.218.60.56/~jnz1568/getInfo.php?workbook=11_02.xlsx&amp;sheet=U0&amp;row=1481&amp;col=6&amp;number=4.7&amp;sourceID=14","4.7")</f>
        <v>4.7</v>
      </c>
      <c r="G1481" s="4" t="str">
        <f>HYPERLINK("http://141.218.60.56/~jnz1568/getInfo.php?workbook=11_02.xlsx&amp;sheet=U0&amp;row=1481&amp;col=7&amp;number=0.0034&amp;sourceID=14","0.0034")</f>
        <v>0.0034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HYPERLINK("http://141.218.60.56/~jnz1568/getInfo.php?workbook=11_02.xlsx&amp;sheet=U0&amp;row=1482&amp;col=6&amp;number=4.8&amp;sourceID=14","4.8")</f>
        <v>4.8</v>
      </c>
      <c r="G1482" s="4" t="str">
        <f>HYPERLINK("http://141.218.60.56/~jnz1568/getInfo.php?workbook=11_02.xlsx&amp;sheet=U0&amp;row=1482&amp;col=7&amp;number=0.00338&amp;sourceID=14","0.00338")</f>
        <v>0.00338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HYPERLINK("http://141.218.60.56/~jnz1568/getInfo.php?workbook=11_02.xlsx&amp;sheet=U0&amp;row=1483&amp;col=6&amp;number=4.9&amp;sourceID=14","4.9")</f>
        <v>4.9</v>
      </c>
      <c r="G1483" s="4" t="str">
        <f>HYPERLINK("http://141.218.60.56/~jnz1568/getInfo.php?workbook=11_02.xlsx&amp;sheet=U0&amp;row=1483&amp;col=7&amp;number=0.00335&amp;sourceID=14","0.00335")</f>
        <v>0.00335</v>
      </c>
    </row>
    <row r="1484" spans="1:7">
      <c r="A1484" s="3">
        <v>11</v>
      </c>
      <c r="B1484" s="3">
        <v>2</v>
      </c>
      <c r="C1484" s="3">
        <v>6</v>
      </c>
      <c r="D1484" s="3">
        <v>29</v>
      </c>
      <c r="E1484" s="3">
        <v>1</v>
      </c>
      <c r="F1484" s="4" t="str">
        <f>HYPERLINK("http://141.218.60.56/~jnz1568/getInfo.php?workbook=11_02.xlsx&amp;sheet=U0&amp;row=1484&amp;col=6&amp;number=3&amp;sourceID=14","3")</f>
        <v>3</v>
      </c>
      <c r="G1484" s="4" t="str">
        <f>HYPERLINK("http://141.218.60.56/~jnz1568/getInfo.php?workbook=11_02.xlsx&amp;sheet=U0&amp;row=1484&amp;col=7&amp;number=0.00501&amp;sourceID=14","0.00501")</f>
        <v>0.00501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HYPERLINK("http://141.218.60.56/~jnz1568/getInfo.php?workbook=11_02.xlsx&amp;sheet=U0&amp;row=1485&amp;col=6&amp;number=3.1&amp;sourceID=14","3.1")</f>
        <v>3.1</v>
      </c>
      <c r="G1485" s="4" t="str">
        <f>HYPERLINK("http://141.218.60.56/~jnz1568/getInfo.php?workbook=11_02.xlsx&amp;sheet=U0&amp;row=1485&amp;col=7&amp;number=0.00501&amp;sourceID=14","0.00501")</f>
        <v>0.00501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HYPERLINK("http://141.218.60.56/~jnz1568/getInfo.php?workbook=11_02.xlsx&amp;sheet=U0&amp;row=1486&amp;col=6&amp;number=3.2&amp;sourceID=14","3.2")</f>
        <v>3.2</v>
      </c>
      <c r="G1486" s="4" t="str">
        <f>HYPERLINK("http://141.218.60.56/~jnz1568/getInfo.php?workbook=11_02.xlsx&amp;sheet=U0&amp;row=1486&amp;col=7&amp;number=0.00501&amp;sourceID=14","0.00501")</f>
        <v>0.00501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HYPERLINK("http://141.218.60.56/~jnz1568/getInfo.php?workbook=11_02.xlsx&amp;sheet=U0&amp;row=1487&amp;col=6&amp;number=3.3&amp;sourceID=14","3.3")</f>
        <v>3.3</v>
      </c>
      <c r="G1487" s="4" t="str">
        <f>HYPERLINK("http://141.218.60.56/~jnz1568/getInfo.php?workbook=11_02.xlsx&amp;sheet=U0&amp;row=1487&amp;col=7&amp;number=0.00502&amp;sourceID=14","0.00502")</f>
        <v>0.00502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HYPERLINK("http://141.218.60.56/~jnz1568/getInfo.php?workbook=11_02.xlsx&amp;sheet=U0&amp;row=1488&amp;col=6&amp;number=3.4&amp;sourceID=14","3.4")</f>
        <v>3.4</v>
      </c>
      <c r="G1488" s="4" t="str">
        <f>HYPERLINK("http://141.218.60.56/~jnz1568/getInfo.php?workbook=11_02.xlsx&amp;sheet=U0&amp;row=1488&amp;col=7&amp;number=0.00502&amp;sourceID=14","0.00502")</f>
        <v>0.00502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HYPERLINK("http://141.218.60.56/~jnz1568/getInfo.php?workbook=11_02.xlsx&amp;sheet=U0&amp;row=1489&amp;col=6&amp;number=3.5&amp;sourceID=14","3.5")</f>
        <v>3.5</v>
      </c>
      <c r="G1489" s="4" t="str">
        <f>HYPERLINK("http://141.218.60.56/~jnz1568/getInfo.php?workbook=11_02.xlsx&amp;sheet=U0&amp;row=1489&amp;col=7&amp;number=0.00502&amp;sourceID=14","0.00502")</f>
        <v>0.00502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HYPERLINK("http://141.218.60.56/~jnz1568/getInfo.php?workbook=11_02.xlsx&amp;sheet=U0&amp;row=1490&amp;col=6&amp;number=3.6&amp;sourceID=14","3.6")</f>
        <v>3.6</v>
      </c>
      <c r="G1490" s="4" t="str">
        <f>HYPERLINK("http://141.218.60.56/~jnz1568/getInfo.php?workbook=11_02.xlsx&amp;sheet=U0&amp;row=1490&amp;col=7&amp;number=0.00502&amp;sourceID=14","0.00502")</f>
        <v>0.00502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HYPERLINK("http://141.218.60.56/~jnz1568/getInfo.php?workbook=11_02.xlsx&amp;sheet=U0&amp;row=1491&amp;col=6&amp;number=3.7&amp;sourceID=14","3.7")</f>
        <v>3.7</v>
      </c>
      <c r="G1491" s="4" t="str">
        <f>HYPERLINK("http://141.218.60.56/~jnz1568/getInfo.php?workbook=11_02.xlsx&amp;sheet=U0&amp;row=1491&amp;col=7&amp;number=0.00503&amp;sourceID=14","0.00503")</f>
        <v>0.00503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HYPERLINK("http://141.218.60.56/~jnz1568/getInfo.php?workbook=11_02.xlsx&amp;sheet=U0&amp;row=1492&amp;col=6&amp;number=3.8&amp;sourceID=14","3.8")</f>
        <v>3.8</v>
      </c>
      <c r="G1492" s="4" t="str">
        <f>HYPERLINK("http://141.218.60.56/~jnz1568/getInfo.php?workbook=11_02.xlsx&amp;sheet=U0&amp;row=1492&amp;col=7&amp;number=0.00503&amp;sourceID=14","0.00503")</f>
        <v>0.00503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HYPERLINK("http://141.218.60.56/~jnz1568/getInfo.php?workbook=11_02.xlsx&amp;sheet=U0&amp;row=1493&amp;col=6&amp;number=3.9&amp;sourceID=14","3.9")</f>
        <v>3.9</v>
      </c>
      <c r="G1493" s="4" t="str">
        <f>HYPERLINK("http://141.218.60.56/~jnz1568/getInfo.php?workbook=11_02.xlsx&amp;sheet=U0&amp;row=1493&amp;col=7&amp;number=0.00503&amp;sourceID=14","0.00503")</f>
        <v>0.00503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HYPERLINK("http://141.218.60.56/~jnz1568/getInfo.php?workbook=11_02.xlsx&amp;sheet=U0&amp;row=1494&amp;col=6&amp;number=4&amp;sourceID=14","4")</f>
        <v>4</v>
      </c>
      <c r="G1494" s="4" t="str">
        <f>HYPERLINK("http://141.218.60.56/~jnz1568/getInfo.php?workbook=11_02.xlsx&amp;sheet=U0&amp;row=1494&amp;col=7&amp;number=0.00504&amp;sourceID=14","0.00504")</f>
        <v>0.00504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HYPERLINK("http://141.218.60.56/~jnz1568/getInfo.php?workbook=11_02.xlsx&amp;sheet=U0&amp;row=1495&amp;col=6&amp;number=4.1&amp;sourceID=14","4.1")</f>
        <v>4.1</v>
      </c>
      <c r="G1495" s="4" t="str">
        <f>HYPERLINK("http://141.218.60.56/~jnz1568/getInfo.php?workbook=11_02.xlsx&amp;sheet=U0&amp;row=1495&amp;col=7&amp;number=0.00505&amp;sourceID=14","0.00505")</f>
        <v>0.00505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HYPERLINK("http://141.218.60.56/~jnz1568/getInfo.php?workbook=11_02.xlsx&amp;sheet=U0&amp;row=1496&amp;col=6&amp;number=4.2&amp;sourceID=14","4.2")</f>
        <v>4.2</v>
      </c>
      <c r="G1496" s="4" t="str">
        <f>HYPERLINK("http://141.218.60.56/~jnz1568/getInfo.php?workbook=11_02.xlsx&amp;sheet=U0&amp;row=1496&amp;col=7&amp;number=0.00506&amp;sourceID=14","0.00506")</f>
        <v>0.00506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HYPERLINK("http://141.218.60.56/~jnz1568/getInfo.php?workbook=11_02.xlsx&amp;sheet=U0&amp;row=1497&amp;col=6&amp;number=4.3&amp;sourceID=14","4.3")</f>
        <v>4.3</v>
      </c>
      <c r="G1497" s="4" t="str">
        <f>HYPERLINK("http://141.218.60.56/~jnz1568/getInfo.php?workbook=11_02.xlsx&amp;sheet=U0&amp;row=1497&amp;col=7&amp;number=0.00507&amp;sourceID=14","0.00507")</f>
        <v>0.00507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HYPERLINK("http://141.218.60.56/~jnz1568/getInfo.php?workbook=11_02.xlsx&amp;sheet=U0&amp;row=1498&amp;col=6&amp;number=4.4&amp;sourceID=14","4.4")</f>
        <v>4.4</v>
      </c>
      <c r="G1498" s="4" t="str">
        <f>HYPERLINK("http://141.218.60.56/~jnz1568/getInfo.php?workbook=11_02.xlsx&amp;sheet=U0&amp;row=1498&amp;col=7&amp;number=0.00509&amp;sourceID=14","0.00509")</f>
        <v>0.00509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HYPERLINK("http://141.218.60.56/~jnz1568/getInfo.php?workbook=11_02.xlsx&amp;sheet=U0&amp;row=1499&amp;col=6&amp;number=4.5&amp;sourceID=14","4.5")</f>
        <v>4.5</v>
      </c>
      <c r="G1499" s="4" t="str">
        <f>HYPERLINK("http://141.218.60.56/~jnz1568/getInfo.php?workbook=11_02.xlsx&amp;sheet=U0&amp;row=1499&amp;col=7&amp;number=0.00511&amp;sourceID=14","0.00511")</f>
        <v>0.00511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HYPERLINK("http://141.218.60.56/~jnz1568/getInfo.php?workbook=11_02.xlsx&amp;sheet=U0&amp;row=1500&amp;col=6&amp;number=4.6&amp;sourceID=14","4.6")</f>
        <v>4.6</v>
      </c>
      <c r="G1500" s="4" t="str">
        <f>HYPERLINK("http://141.218.60.56/~jnz1568/getInfo.php?workbook=11_02.xlsx&amp;sheet=U0&amp;row=1500&amp;col=7&amp;number=0.00513&amp;sourceID=14","0.00513")</f>
        <v>0.00513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HYPERLINK("http://141.218.60.56/~jnz1568/getInfo.php?workbook=11_02.xlsx&amp;sheet=U0&amp;row=1501&amp;col=6&amp;number=4.7&amp;sourceID=14","4.7")</f>
        <v>4.7</v>
      </c>
      <c r="G1501" s="4" t="str">
        <f>HYPERLINK("http://141.218.60.56/~jnz1568/getInfo.php?workbook=11_02.xlsx&amp;sheet=U0&amp;row=1501&amp;col=7&amp;number=0.00516&amp;sourceID=14","0.00516")</f>
        <v>0.00516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HYPERLINK("http://141.218.60.56/~jnz1568/getInfo.php?workbook=11_02.xlsx&amp;sheet=U0&amp;row=1502&amp;col=6&amp;number=4.8&amp;sourceID=14","4.8")</f>
        <v>4.8</v>
      </c>
      <c r="G1502" s="4" t="str">
        <f>HYPERLINK("http://141.218.60.56/~jnz1568/getInfo.php?workbook=11_02.xlsx&amp;sheet=U0&amp;row=1502&amp;col=7&amp;number=0.00519&amp;sourceID=14","0.00519")</f>
        <v>0.00519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HYPERLINK("http://141.218.60.56/~jnz1568/getInfo.php?workbook=11_02.xlsx&amp;sheet=U0&amp;row=1503&amp;col=6&amp;number=4.9&amp;sourceID=14","4.9")</f>
        <v>4.9</v>
      </c>
      <c r="G1503" s="4" t="str">
        <f>HYPERLINK("http://141.218.60.56/~jnz1568/getInfo.php?workbook=11_02.xlsx&amp;sheet=U0&amp;row=1503&amp;col=7&amp;number=0.00522&amp;sourceID=14","0.00522")</f>
        <v>0.00522</v>
      </c>
    </row>
    <row r="1504" spans="1:7">
      <c r="A1504" s="3">
        <v>11</v>
      </c>
      <c r="B1504" s="3">
        <v>2</v>
      </c>
      <c r="C1504" s="3">
        <v>6</v>
      </c>
      <c r="D1504" s="3">
        <v>30</v>
      </c>
      <c r="E1504" s="3">
        <v>1</v>
      </c>
      <c r="F1504" s="4" t="str">
        <f>HYPERLINK("http://141.218.60.56/~jnz1568/getInfo.php?workbook=11_02.xlsx&amp;sheet=U0&amp;row=1504&amp;col=6&amp;number=3&amp;sourceID=14","3")</f>
        <v>3</v>
      </c>
      <c r="G1504" s="4" t="str">
        <f>HYPERLINK("http://141.218.60.56/~jnz1568/getInfo.php?workbook=11_02.xlsx&amp;sheet=U0&amp;row=1504&amp;col=7&amp;number=0.00843&amp;sourceID=14","0.00843")</f>
        <v>0.00843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HYPERLINK("http://141.218.60.56/~jnz1568/getInfo.php?workbook=11_02.xlsx&amp;sheet=U0&amp;row=1505&amp;col=6&amp;number=3.1&amp;sourceID=14","3.1")</f>
        <v>3.1</v>
      </c>
      <c r="G1505" s="4" t="str">
        <f>HYPERLINK("http://141.218.60.56/~jnz1568/getInfo.php?workbook=11_02.xlsx&amp;sheet=U0&amp;row=1505&amp;col=7&amp;number=0.00843&amp;sourceID=14","0.00843")</f>
        <v>0.00843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HYPERLINK("http://141.218.60.56/~jnz1568/getInfo.php?workbook=11_02.xlsx&amp;sheet=U0&amp;row=1506&amp;col=6&amp;number=3.2&amp;sourceID=14","3.2")</f>
        <v>3.2</v>
      </c>
      <c r="G1506" s="4" t="str">
        <f>HYPERLINK("http://141.218.60.56/~jnz1568/getInfo.php?workbook=11_02.xlsx&amp;sheet=U0&amp;row=1506&amp;col=7&amp;number=0.00843&amp;sourceID=14","0.00843")</f>
        <v>0.00843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HYPERLINK("http://141.218.60.56/~jnz1568/getInfo.php?workbook=11_02.xlsx&amp;sheet=U0&amp;row=1507&amp;col=6&amp;number=3.3&amp;sourceID=14","3.3")</f>
        <v>3.3</v>
      </c>
      <c r="G1507" s="4" t="str">
        <f>HYPERLINK("http://141.218.60.56/~jnz1568/getInfo.php?workbook=11_02.xlsx&amp;sheet=U0&amp;row=1507&amp;col=7&amp;number=0.00843&amp;sourceID=14","0.00843")</f>
        <v>0.00843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HYPERLINK("http://141.218.60.56/~jnz1568/getInfo.php?workbook=11_02.xlsx&amp;sheet=U0&amp;row=1508&amp;col=6&amp;number=3.4&amp;sourceID=14","3.4")</f>
        <v>3.4</v>
      </c>
      <c r="G1508" s="4" t="str">
        <f>HYPERLINK("http://141.218.60.56/~jnz1568/getInfo.php?workbook=11_02.xlsx&amp;sheet=U0&amp;row=1508&amp;col=7&amp;number=0.00843&amp;sourceID=14","0.00843")</f>
        <v>0.00843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HYPERLINK("http://141.218.60.56/~jnz1568/getInfo.php?workbook=11_02.xlsx&amp;sheet=U0&amp;row=1509&amp;col=6&amp;number=3.5&amp;sourceID=14","3.5")</f>
        <v>3.5</v>
      </c>
      <c r="G1509" s="4" t="str">
        <f>HYPERLINK("http://141.218.60.56/~jnz1568/getInfo.php?workbook=11_02.xlsx&amp;sheet=U0&amp;row=1509&amp;col=7&amp;number=0.00843&amp;sourceID=14","0.00843")</f>
        <v>0.00843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HYPERLINK("http://141.218.60.56/~jnz1568/getInfo.php?workbook=11_02.xlsx&amp;sheet=U0&amp;row=1510&amp;col=6&amp;number=3.6&amp;sourceID=14","3.6")</f>
        <v>3.6</v>
      </c>
      <c r="G1510" s="4" t="str">
        <f>HYPERLINK("http://141.218.60.56/~jnz1568/getInfo.php?workbook=11_02.xlsx&amp;sheet=U0&amp;row=1510&amp;col=7&amp;number=0.00843&amp;sourceID=14","0.00843")</f>
        <v>0.00843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HYPERLINK("http://141.218.60.56/~jnz1568/getInfo.php?workbook=11_02.xlsx&amp;sheet=U0&amp;row=1511&amp;col=6&amp;number=3.7&amp;sourceID=14","3.7")</f>
        <v>3.7</v>
      </c>
      <c r="G1511" s="4" t="str">
        <f>HYPERLINK("http://141.218.60.56/~jnz1568/getInfo.php?workbook=11_02.xlsx&amp;sheet=U0&amp;row=1511&amp;col=7&amp;number=0.00843&amp;sourceID=14","0.00843")</f>
        <v>0.00843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HYPERLINK("http://141.218.60.56/~jnz1568/getInfo.php?workbook=11_02.xlsx&amp;sheet=U0&amp;row=1512&amp;col=6&amp;number=3.8&amp;sourceID=14","3.8")</f>
        <v>3.8</v>
      </c>
      <c r="G1512" s="4" t="str">
        <f>HYPERLINK("http://141.218.60.56/~jnz1568/getInfo.php?workbook=11_02.xlsx&amp;sheet=U0&amp;row=1512&amp;col=7&amp;number=0.00843&amp;sourceID=14","0.00843")</f>
        <v>0.00843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HYPERLINK("http://141.218.60.56/~jnz1568/getInfo.php?workbook=11_02.xlsx&amp;sheet=U0&amp;row=1513&amp;col=6&amp;number=3.9&amp;sourceID=14","3.9")</f>
        <v>3.9</v>
      </c>
      <c r="G1513" s="4" t="str">
        <f>HYPERLINK("http://141.218.60.56/~jnz1568/getInfo.php?workbook=11_02.xlsx&amp;sheet=U0&amp;row=1513&amp;col=7&amp;number=0.00844&amp;sourceID=14","0.00844")</f>
        <v>0.00844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HYPERLINK("http://141.218.60.56/~jnz1568/getInfo.php?workbook=11_02.xlsx&amp;sheet=U0&amp;row=1514&amp;col=6&amp;number=4&amp;sourceID=14","4")</f>
        <v>4</v>
      </c>
      <c r="G1514" s="4" t="str">
        <f>HYPERLINK("http://141.218.60.56/~jnz1568/getInfo.php?workbook=11_02.xlsx&amp;sheet=U0&amp;row=1514&amp;col=7&amp;number=0.00844&amp;sourceID=14","0.00844")</f>
        <v>0.00844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HYPERLINK("http://141.218.60.56/~jnz1568/getInfo.php?workbook=11_02.xlsx&amp;sheet=U0&amp;row=1515&amp;col=6&amp;number=4.1&amp;sourceID=14","4.1")</f>
        <v>4.1</v>
      </c>
      <c r="G1515" s="4" t="str">
        <f>HYPERLINK("http://141.218.60.56/~jnz1568/getInfo.php?workbook=11_02.xlsx&amp;sheet=U0&amp;row=1515&amp;col=7&amp;number=0.00844&amp;sourceID=14","0.00844")</f>
        <v>0.00844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HYPERLINK("http://141.218.60.56/~jnz1568/getInfo.php?workbook=11_02.xlsx&amp;sheet=U0&amp;row=1516&amp;col=6&amp;number=4.2&amp;sourceID=14","4.2")</f>
        <v>4.2</v>
      </c>
      <c r="G1516" s="4" t="str">
        <f>HYPERLINK("http://141.218.60.56/~jnz1568/getInfo.php?workbook=11_02.xlsx&amp;sheet=U0&amp;row=1516&amp;col=7&amp;number=0.00845&amp;sourceID=14","0.00845")</f>
        <v>0.00845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HYPERLINK("http://141.218.60.56/~jnz1568/getInfo.php?workbook=11_02.xlsx&amp;sheet=U0&amp;row=1517&amp;col=6&amp;number=4.3&amp;sourceID=14","4.3")</f>
        <v>4.3</v>
      </c>
      <c r="G1517" s="4" t="str">
        <f>HYPERLINK("http://141.218.60.56/~jnz1568/getInfo.php?workbook=11_02.xlsx&amp;sheet=U0&amp;row=1517&amp;col=7&amp;number=0.00845&amp;sourceID=14","0.00845")</f>
        <v>0.00845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HYPERLINK("http://141.218.60.56/~jnz1568/getInfo.php?workbook=11_02.xlsx&amp;sheet=U0&amp;row=1518&amp;col=6&amp;number=4.4&amp;sourceID=14","4.4")</f>
        <v>4.4</v>
      </c>
      <c r="G1518" s="4" t="str">
        <f>HYPERLINK("http://141.218.60.56/~jnz1568/getInfo.php?workbook=11_02.xlsx&amp;sheet=U0&amp;row=1518&amp;col=7&amp;number=0.00846&amp;sourceID=14","0.00846")</f>
        <v>0.00846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HYPERLINK("http://141.218.60.56/~jnz1568/getInfo.php?workbook=11_02.xlsx&amp;sheet=U0&amp;row=1519&amp;col=6&amp;number=4.5&amp;sourceID=14","4.5")</f>
        <v>4.5</v>
      </c>
      <c r="G1519" s="4" t="str">
        <f>HYPERLINK("http://141.218.60.56/~jnz1568/getInfo.php?workbook=11_02.xlsx&amp;sheet=U0&amp;row=1519&amp;col=7&amp;number=0.00847&amp;sourceID=14","0.00847")</f>
        <v>0.00847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HYPERLINK("http://141.218.60.56/~jnz1568/getInfo.php?workbook=11_02.xlsx&amp;sheet=U0&amp;row=1520&amp;col=6&amp;number=4.6&amp;sourceID=14","4.6")</f>
        <v>4.6</v>
      </c>
      <c r="G1520" s="4" t="str">
        <f>HYPERLINK("http://141.218.60.56/~jnz1568/getInfo.php?workbook=11_02.xlsx&amp;sheet=U0&amp;row=1520&amp;col=7&amp;number=0.00848&amp;sourceID=14","0.00848")</f>
        <v>0.00848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HYPERLINK("http://141.218.60.56/~jnz1568/getInfo.php?workbook=11_02.xlsx&amp;sheet=U0&amp;row=1521&amp;col=6&amp;number=4.7&amp;sourceID=14","4.7")</f>
        <v>4.7</v>
      </c>
      <c r="G1521" s="4" t="str">
        <f>HYPERLINK("http://141.218.60.56/~jnz1568/getInfo.php?workbook=11_02.xlsx&amp;sheet=U0&amp;row=1521&amp;col=7&amp;number=0.00849&amp;sourceID=14","0.00849")</f>
        <v>0.00849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HYPERLINK("http://141.218.60.56/~jnz1568/getInfo.php?workbook=11_02.xlsx&amp;sheet=U0&amp;row=1522&amp;col=6&amp;number=4.8&amp;sourceID=14","4.8")</f>
        <v>4.8</v>
      </c>
      <c r="G1522" s="4" t="str">
        <f>HYPERLINK("http://141.218.60.56/~jnz1568/getInfo.php?workbook=11_02.xlsx&amp;sheet=U0&amp;row=1522&amp;col=7&amp;number=0.00851&amp;sourceID=14","0.00851")</f>
        <v>0.00851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HYPERLINK("http://141.218.60.56/~jnz1568/getInfo.php?workbook=11_02.xlsx&amp;sheet=U0&amp;row=1523&amp;col=6&amp;number=4.9&amp;sourceID=14","4.9")</f>
        <v>4.9</v>
      </c>
      <c r="G1523" s="4" t="str">
        <f>HYPERLINK("http://141.218.60.56/~jnz1568/getInfo.php?workbook=11_02.xlsx&amp;sheet=U0&amp;row=1523&amp;col=7&amp;number=0.00853&amp;sourceID=14","0.00853")</f>
        <v>0.00853</v>
      </c>
    </row>
    <row r="1524" spans="1:7">
      <c r="A1524" s="3">
        <v>11</v>
      </c>
      <c r="B1524" s="3">
        <v>2</v>
      </c>
      <c r="C1524" s="3">
        <v>6</v>
      </c>
      <c r="D1524" s="3">
        <v>31</v>
      </c>
      <c r="E1524" s="3">
        <v>1</v>
      </c>
      <c r="F1524" s="4" t="str">
        <f>HYPERLINK("http://141.218.60.56/~jnz1568/getInfo.php?workbook=11_02.xlsx&amp;sheet=U0&amp;row=1524&amp;col=6&amp;number=3&amp;sourceID=14","3")</f>
        <v>3</v>
      </c>
      <c r="G1524" s="4" t="str">
        <f>HYPERLINK("http://141.218.60.56/~jnz1568/getInfo.php?workbook=11_02.xlsx&amp;sheet=U0&amp;row=1524&amp;col=7&amp;number=0.00827&amp;sourceID=14","0.00827")</f>
        <v>0.00827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HYPERLINK("http://141.218.60.56/~jnz1568/getInfo.php?workbook=11_02.xlsx&amp;sheet=U0&amp;row=1525&amp;col=6&amp;number=3.1&amp;sourceID=14","3.1")</f>
        <v>3.1</v>
      </c>
      <c r="G1525" s="4" t="str">
        <f>HYPERLINK("http://141.218.60.56/~jnz1568/getInfo.php?workbook=11_02.xlsx&amp;sheet=U0&amp;row=1525&amp;col=7&amp;number=0.00827&amp;sourceID=14","0.00827")</f>
        <v>0.00827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HYPERLINK("http://141.218.60.56/~jnz1568/getInfo.php?workbook=11_02.xlsx&amp;sheet=U0&amp;row=1526&amp;col=6&amp;number=3.2&amp;sourceID=14","3.2")</f>
        <v>3.2</v>
      </c>
      <c r="G1526" s="4" t="str">
        <f>HYPERLINK("http://141.218.60.56/~jnz1568/getInfo.php?workbook=11_02.xlsx&amp;sheet=U0&amp;row=1526&amp;col=7&amp;number=0.00827&amp;sourceID=14","0.00827")</f>
        <v>0.00827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HYPERLINK("http://141.218.60.56/~jnz1568/getInfo.php?workbook=11_02.xlsx&amp;sheet=U0&amp;row=1527&amp;col=6&amp;number=3.3&amp;sourceID=14","3.3")</f>
        <v>3.3</v>
      </c>
      <c r="G1527" s="4" t="str">
        <f>HYPERLINK("http://141.218.60.56/~jnz1568/getInfo.php?workbook=11_02.xlsx&amp;sheet=U0&amp;row=1527&amp;col=7&amp;number=0.00827&amp;sourceID=14","0.00827")</f>
        <v>0.00827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HYPERLINK("http://141.218.60.56/~jnz1568/getInfo.php?workbook=11_02.xlsx&amp;sheet=U0&amp;row=1528&amp;col=6&amp;number=3.4&amp;sourceID=14","3.4")</f>
        <v>3.4</v>
      </c>
      <c r="G1528" s="4" t="str">
        <f>HYPERLINK("http://141.218.60.56/~jnz1568/getInfo.php?workbook=11_02.xlsx&amp;sheet=U0&amp;row=1528&amp;col=7&amp;number=0.00828&amp;sourceID=14","0.00828")</f>
        <v>0.00828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HYPERLINK("http://141.218.60.56/~jnz1568/getInfo.php?workbook=11_02.xlsx&amp;sheet=U0&amp;row=1529&amp;col=6&amp;number=3.5&amp;sourceID=14","3.5")</f>
        <v>3.5</v>
      </c>
      <c r="G1529" s="4" t="str">
        <f>HYPERLINK("http://141.218.60.56/~jnz1568/getInfo.php?workbook=11_02.xlsx&amp;sheet=U0&amp;row=1529&amp;col=7&amp;number=0.00828&amp;sourceID=14","0.00828")</f>
        <v>0.00828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HYPERLINK("http://141.218.60.56/~jnz1568/getInfo.php?workbook=11_02.xlsx&amp;sheet=U0&amp;row=1530&amp;col=6&amp;number=3.6&amp;sourceID=14","3.6")</f>
        <v>3.6</v>
      </c>
      <c r="G1530" s="4" t="str">
        <f>HYPERLINK("http://141.218.60.56/~jnz1568/getInfo.php?workbook=11_02.xlsx&amp;sheet=U0&amp;row=1530&amp;col=7&amp;number=0.00828&amp;sourceID=14","0.00828")</f>
        <v>0.00828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HYPERLINK("http://141.218.60.56/~jnz1568/getInfo.php?workbook=11_02.xlsx&amp;sheet=U0&amp;row=1531&amp;col=6&amp;number=3.7&amp;sourceID=14","3.7")</f>
        <v>3.7</v>
      </c>
      <c r="G1531" s="4" t="str">
        <f>HYPERLINK("http://141.218.60.56/~jnz1568/getInfo.php?workbook=11_02.xlsx&amp;sheet=U0&amp;row=1531&amp;col=7&amp;number=0.00828&amp;sourceID=14","0.00828")</f>
        <v>0.00828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HYPERLINK("http://141.218.60.56/~jnz1568/getInfo.php?workbook=11_02.xlsx&amp;sheet=U0&amp;row=1532&amp;col=6&amp;number=3.8&amp;sourceID=14","3.8")</f>
        <v>3.8</v>
      </c>
      <c r="G1532" s="4" t="str">
        <f>HYPERLINK("http://141.218.60.56/~jnz1568/getInfo.php?workbook=11_02.xlsx&amp;sheet=U0&amp;row=1532&amp;col=7&amp;number=0.00828&amp;sourceID=14","0.00828")</f>
        <v>0.00828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HYPERLINK("http://141.218.60.56/~jnz1568/getInfo.php?workbook=11_02.xlsx&amp;sheet=U0&amp;row=1533&amp;col=6&amp;number=3.9&amp;sourceID=14","3.9")</f>
        <v>3.9</v>
      </c>
      <c r="G1533" s="4" t="str">
        <f>HYPERLINK("http://141.218.60.56/~jnz1568/getInfo.php?workbook=11_02.xlsx&amp;sheet=U0&amp;row=1533&amp;col=7&amp;number=0.00828&amp;sourceID=14","0.00828")</f>
        <v>0.00828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HYPERLINK("http://141.218.60.56/~jnz1568/getInfo.php?workbook=11_02.xlsx&amp;sheet=U0&amp;row=1534&amp;col=6&amp;number=4&amp;sourceID=14","4")</f>
        <v>4</v>
      </c>
      <c r="G1534" s="4" t="str">
        <f>HYPERLINK("http://141.218.60.56/~jnz1568/getInfo.php?workbook=11_02.xlsx&amp;sheet=U0&amp;row=1534&amp;col=7&amp;number=0.00829&amp;sourceID=14","0.00829")</f>
        <v>0.00829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HYPERLINK("http://141.218.60.56/~jnz1568/getInfo.php?workbook=11_02.xlsx&amp;sheet=U0&amp;row=1535&amp;col=6&amp;number=4.1&amp;sourceID=14","4.1")</f>
        <v>4.1</v>
      </c>
      <c r="G1535" s="4" t="str">
        <f>HYPERLINK("http://141.218.60.56/~jnz1568/getInfo.php?workbook=11_02.xlsx&amp;sheet=U0&amp;row=1535&amp;col=7&amp;number=0.00829&amp;sourceID=14","0.00829")</f>
        <v>0.00829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HYPERLINK("http://141.218.60.56/~jnz1568/getInfo.php?workbook=11_02.xlsx&amp;sheet=U0&amp;row=1536&amp;col=6&amp;number=4.2&amp;sourceID=14","4.2")</f>
        <v>4.2</v>
      </c>
      <c r="G1536" s="4" t="str">
        <f>HYPERLINK("http://141.218.60.56/~jnz1568/getInfo.php?workbook=11_02.xlsx&amp;sheet=U0&amp;row=1536&amp;col=7&amp;number=0.0083&amp;sourceID=14","0.0083")</f>
        <v>0.0083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HYPERLINK("http://141.218.60.56/~jnz1568/getInfo.php?workbook=11_02.xlsx&amp;sheet=U0&amp;row=1537&amp;col=6&amp;number=4.3&amp;sourceID=14","4.3")</f>
        <v>4.3</v>
      </c>
      <c r="G1537" s="4" t="str">
        <f>HYPERLINK("http://141.218.60.56/~jnz1568/getInfo.php?workbook=11_02.xlsx&amp;sheet=U0&amp;row=1537&amp;col=7&amp;number=0.0083&amp;sourceID=14","0.0083")</f>
        <v>0.0083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HYPERLINK("http://141.218.60.56/~jnz1568/getInfo.php?workbook=11_02.xlsx&amp;sheet=U0&amp;row=1538&amp;col=6&amp;number=4.4&amp;sourceID=14","4.4")</f>
        <v>4.4</v>
      </c>
      <c r="G1538" s="4" t="str">
        <f>HYPERLINK("http://141.218.60.56/~jnz1568/getInfo.php?workbook=11_02.xlsx&amp;sheet=U0&amp;row=1538&amp;col=7&amp;number=0.00831&amp;sourceID=14","0.00831")</f>
        <v>0.00831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HYPERLINK("http://141.218.60.56/~jnz1568/getInfo.php?workbook=11_02.xlsx&amp;sheet=U0&amp;row=1539&amp;col=6&amp;number=4.5&amp;sourceID=14","4.5")</f>
        <v>4.5</v>
      </c>
      <c r="G1539" s="4" t="str">
        <f>HYPERLINK("http://141.218.60.56/~jnz1568/getInfo.php?workbook=11_02.xlsx&amp;sheet=U0&amp;row=1539&amp;col=7&amp;number=0.00832&amp;sourceID=14","0.00832")</f>
        <v>0.00832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HYPERLINK("http://141.218.60.56/~jnz1568/getInfo.php?workbook=11_02.xlsx&amp;sheet=U0&amp;row=1540&amp;col=6&amp;number=4.6&amp;sourceID=14","4.6")</f>
        <v>4.6</v>
      </c>
      <c r="G1540" s="4" t="str">
        <f>HYPERLINK("http://141.218.60.56/~jnz1568/getInfo.php?workbook=11_02.xlsx&amp;sheet=U0&amp;row=1540&amp;col=7&amp;number=0.00833&amp;sourceID=14","0.00833")</f>
        <v>0.00833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HYPERLINK("http://141.218.60.56/~jnz1568/getInfo.php?workbook=11_02.xlsx&amp;sheet=U0&amp;row=1541&amp;col=6&amp;number=4.7&amp;sourceID=14","4.7")</f>
        <v>4.7</v>
      </c>
      <c r="G1541" s="4" t="str">
        <f>HYPERLINK("http://141.218.60.56/~jnz1568/getInfo.php?workbook=11_02.xlsx&amp;sheet=U0&amp;row=1541&amp;col=7&amp;number=0.00835&amp;sourceID=14","0.00835")</f>
        <v>0.00835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HYPERLINK("http://141.218.60.56/~jnz1568/getInfo.php?workbook=11_02.xlsx&amp;sheet=U0&amp;row=1542&amp;col=6&amp;number=4.8&amp;sourceID=14","4.8")</f>
        <v>4.8</v>
      </c>
      <c r="G1542" s="4" t="str">
        <f>HYPERLINK("http://141.218.60.56/~jnz1568/getInfo.php?workbook=11_02.xlsx&amp;sheet=U0&amp;row=1542&amp;col=7&amp;number=0.00837&amp;sourceID=14","0.00837")</f>
        <v>0.00837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HYPERLINK("http://141.218.60.56/~jnz1568/getInfo.php?workbook=11_02.xlsx&amp;sheet=U0&amp;row=1543&amp;col=6&amp;number=4.9&amp;sourceID=14","4.9")</f>
        <v>4.9</v>
      </c>
      <c r="G1543" s="4" t="str">
        <f>HYPERLINK("http://141.218.60.56/~jnz1568/getInfo.php?workbook=11_02.xlsx&amp;sheet=U0&amp;row=1543&amp;col=7&amp;number=0.0084&amp;sourceID=14","0.0084")</f>
        <v>0.0084</v>
      </c>
    </row>
    <row r="1544" spans="1:7">
      <c r="A1544" s="3">
        <v>11</v>
      </c>
      <c r="B1544" s="3">
        <v>2</v>
      </c>
      <c r="C1544" s="3">
        <v>6</v>
      </c>
      <c r="D1544" s="3">
        <v>32</v>
      </c>
      <c r="E1544" s="3">
        <v>1</v>
      </c>
      <c r="F1544" s="4" t="str">
        <f>HYPERLINK("http://141.218.60.56/~jnz1568/getInfo.php?workbook=11_02.xlsx&amp;sheet=U0&amp;row=1544&amp;col=6&amp;number=3&amp;sourceID=14","3")</f>
        <v>3</v>
      </c>
      <c r="G1544" s="4" t="str">
        <f>HYPERLINK("http://141.218.60.56/~jnz1568/getInfo.php?workbook=11_02.xlsx&amp;sheet=U0&amp;row=1544&amp;col=7&amp;number=0.000709&amp;sourceID=14","0.000709")</f>
        <v>0.000709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HYPERLINK("http://141.218.60.56/~jnz1568/getInfo.php?workbook=11_02.xlsx&amp;sheet=U0&amp;row=1545&amp;col=6&amp;number=3.1&amp;sourceID=14","3.1")</f>
        <v>3.1</v>
      </c>
      <c r="G1545" s="4" t="str">
        <f>HYPERLINK("http://141.218.60.56/~jnz1568/getInfo.php?workbook=11_02.xlsx&amp;sheet=U0&amp;row=1545&amp;col=7&amp;number=0.000709&amp;sourceID=14","0.000709")</f>
        <v>0.000709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HYPERLINK("http://141.218.60.56/~jnz1568/getInfo.php?workbook=11_02.xlsx&amp;sheet=U0&amp;row=1546&amp;col=6&amp;number=3.2&amp;sourceID=14","3.2")</f>
        <v>3.2</v>
      </c>
      <c r="G1546" s="4" t="str">
        <f>HYPERLINK("http://141.218.60.56/~jnz1568/getInfo.php?workbook=11_02.xlsx&amp;sheet=U0&amp;row=1546&amp;col=7&amp;number=0.000708&amp;sourceID=14","0.000708")</f>
        <v>0.000708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HYPERLINK("http://141.218.60.56/~jnz1568/getInfo.php?workbook=11_02.xlsx&amp;sheet=U0&amp;row=1547&amp;col=6&amp;number=3.3&amp;sourceID=14","3.3")</f>
        <v>3.3</v>
      </c>
      <c r="G1547" s="4" t="str">
        <f>HYPERLINK("http://141.218.60.56/~jnz1568/getInfo.php?workbook=11_02.xlsx&amp;sheet=U0&amp;row=1547&amp;col=7&amp;number=0.000708&amp;sourceID=14","0.000708")</f>
        <v>0.000708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HYPERLINK("http://141.218.60.56/~jnz1568/getInfo.php?workbook=11_02.xlsx&amp;sheet=U0&amp;row=1548&amp;col=6&amp;number=3.4&amp;sourceID=14","3.4")</f>
        <v>3.4</v>
      </c>
      <c r="G1548" s="4" t="str">
        <f>HYPERLINK("http://141.218.60.56/~jnz1568/getInfo.php?workbook=11_02.xlsx&amp;sheet=U0&amp;row=1548&amp;col=7&amp;number=0.000707&amp;sourceID=14","0.000707")</f>
        <v>0.000707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HYPERLINK("http://141.218.60.56/~jnz1568/getInfo.php?workbook=11_02.xlsx&amp;sheet=U0&amp;row=1549&amp;col=6&amp;number=3.5&amp;sourceID=14","3.5")</f>
        <v>3.5</v>
      </c>
      <c r="G1549" s="4" t="str">
        <f>HYPERLINK("http://141.218.60.56/~jnz1568/getInfo.php?workbook=11_02.xlsx&amp;sheet=U0&amp;row=1549&amp;col=7&amp;number=0.000707&amp;sourceID=14","0.000707")</f>
        <v>0.000707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HYPERLINK("http://141.218.60.56/~jnz1568/getInfo.php?workbook=11_02.xlsx&amp;sheet=U0&amp;row=1550&amp;col=6&amp;number=3.6&amp;sourceID=14","3.6")</f>
        <v>3.6</v>
      </c>
      <c r="G1550" s="4" t="str">
        <f>HYPERLINK("http://141.218.60.56/~jnz1568/getInfo.php?workbook=11_02.xlsx&amp;sheet=U0&amp;row=1550&amp;col=7&amp;number=0.000706&amp;sourceID=14","0.000706")</f>
        <v>0.000706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HYPERLINK("http://141.218.60.56/~jnz1568/getInfo.php?workbook=11_02.xlsx&amp;sheet=U0&amp;row=1551&amp;col=6&amp;number=3.7&amp;sourceID=14","3.7")</f>
        <v>3.7</v>
      </c>
      <c r="G1551" s="4" t="str">
        <f>HYPERLINK("http://141.218.60.56/~jnz1568/getInfo.php?workbook=11_02.xlsx&amp;sheet=U0&amp;row=1551&amp;col=7&amp;number=0.000705&amp;sourceID=14","0.000705")</f>
        <v>0.000705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HYPERLINK("http://141.218.60.56/~jnz1568/getInfo.php?workbook=11_02.xlsx&amp;sheet=U0&amp;row=1552&amp;col=6&amp;number=3.8&amp;sourceID=14","3.8")</f>
        <v>3.8</v>
      </c>
      <c r="G1552" s="4" t="str">
        <f>HYPERLINK("http://141.218.60.56/~jnz1568/getInfo.php?workbook=11_02.xlsx&amp;sheet=U0&amp;row=1552&amp;col=7&amp;number=0.000704&amp;sourceID=14","0.000704")</f>
        <v>0.000704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HYPERLINK("http://141.218.60.56/~jnz1568/getInfo.php?workbook=11_02.xlsx&amp;sheet=U0&amp;row=1553&amp;col=6&amp;number=3.9&amp;sourceID=14","3.9")</f>
        <v>3.9</v>
      </c>
      <c r="G1553" s="4" t="str">
        <f>HYPERLINK("http://141.218.60.56/~jnz1568/getInfo.php?workbook=11_02.xlsx&amp;sheet=U0&amp;row=1553&amp;col=7&amp;number=0.000702&amp;sourceID=14","0.000702")</f>
        <v>0.000702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HYPERLINK("http://141.218.60.56/~jnz1568/getInfo.php?workbook=11_02.xlsx&amp;sheet=U0&amp;row=1554&amp;col=6&amp;number=4&amp;sourceID=14","4")</f>
        <v>4</v>
      </c>
      <c r="G1554" s="4" t="str">
        <f>HYPERLINK("http://141.218.60.56/~jnz1568/getInfo.php?workbook=11_02.xlsx&amp;sheet=U0&amp;row=1554&amp;col=7&amp;number=0.0007&amp;sourceID=14","0.0007")</f>
        <v>0.0007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HYPERLINK("http://141.218.60.56/~jnz1568/getInfo.php?workbook=11_02.xlsx&amp;sheet=U0&amp;row=1555&amp;col=6&amp;number=4.1&amp;sourceID=14","4.1")</f>
        <v>4.1</v>
      </c>
      <c r="G1555" s="4" t="str">
        <f>HYPERLINK("http://141.218.60.56/~jnz1568/getInfo.php?workbook=11_02.xlsx&amp;sheet=U0&amp;row=1555&amp;col=7&amp;number=0.000697&amp;sourceID=14","0.000697")</f>
        <v>0.000697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HYPERLINK("http://141.218.60.56/~jnz1568/getInfo.php?workbook=11_02.xlsx&amp;sheet=U0&amp;row=1556&amp;col=6&amp;number=4.2&amp;sourceID=14","4.2")</f>
        <v>4.2</v>
      </c>
      <c r="G1556" s="4" t="str">
        <f>HYPERLINK("http://141.218.60.56/~jnz1568/getInfo.php?workbook=11_02.xlsx&amp;sheet=U0&amp;row=1556&amp;col=7&amp;number=0.000694&amp;sourceID=14","0.000694")</f>
        <v>0.000694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HYPERLINK("http://141.218.60.56/~jnz1568/getInfo.php?workbook=11_02.xlsx&amp;sheet=U0&amp;row=1557&amp;col=6&amp;number=4.3&amp;sourceID=14","4.3")</f>
        <v>4.3</v>
      </c>
      <c r="G1557" s="4" t="str">
        <f>HYPERLINK("http://141.218.60.56/~jnz1568/getInfo.php?workbook=11_02.xlsx&amp;sheet=U0&amp;row=1557&amp;col=7&amp;number=0.00069&amp;sourceID=14","0.00069")</f>
        <v>0.00069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HYPERLINK("http://141.218.60.56/~jnz1568/getInfo.php?workbook=11_02.xlsx&amp;sheet=U0&amp;row=1558&amp;col=6&amp;number=4.4&amp;sourceID=14","4.4")</f>
        <v>4.4</v>
      </c>
      <c r="G1558" s="4" t="str">
        <f>HYPERLINK("http://141.218.60.56/~jnz1568/getInfo.php?workbook=11_02.xlsx&amp;sheet=U0&amp;row=1558&amp;col=7&amp;number=0.000684&amp;sourceID=14","0.000684")</f>
        <v>0.000684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HYPERLINK("http://141.218.60.56/~jnz1568/getInfo.php?workbook=11_02.xlsx&amp;sheet=U0&amp;row=1559&amp;col=6&amp;number=4.5&amp;sourceID=14","4.5")</f>
        <v>4.5</v>
      </c>
      <c r="G1559" s="4" t="str">
        <f>HYPERLINK("http://141.218.60.56/~jnz1568/getInfo.php?workbook=11_02.xlsx&amp;sheet=U0&amp;row=1559&amp;col=7&amp;number=0.000678&amp;sourceID=14","0.000678")</f>
        <v>0.000678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HYPERLINK("http://141.218.60.56/~jnz1568/getInfo.php?workbook=11_02.xlsx&amp;sheet=U0&amp;row=1560&amp;col=6&amp;number=4.6&amp;sourceID=14","4.6")</f>
        <v>4.6</v>
      </c>
      <c r="G1560" s="4" t="str">
        <f>HYPERLINK("http://141.218.60.56/~jnz1568/getInfo.php?workbook=11_02.xlsx&amp;sheet=U0&amp;row=1560&amp;col=7&amp;number=0.00067&amp;sourceID=14","0.00067")</f>
        <v>0.00067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HYPERLINK("http://141.218.60.56/~jnz1568/getInfo.php?workbook=11_02.xlsx&amp;sheet=U0&amp;row=1561&amp;col=6&amp;number=4.7&amp;sourceID=14","4.7")</f>
        <v>4.7</v>
      </c>
      <c r="G1561" s="4" t="str">
        <f>HYPERLINK("http://141.218.60.56/~jnz1568/getInfo.php?workbook=11_02.xlsx&amp;sheet=U0&amp;row=1561&amp;col=7&amp;number=0.00066&amp;sourceID=14","0.00066")</f>
        <v>0.00066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HYPERLINK("http://141.218.60.56/~jnz1568/getInfo.php?workbook=11_02.xlsx&amp;sheet=U0&amp;row=1562&amp;col=6&amp;number=4.8&amp;sourceID=14","4.8")</f>
        <v>4.8</v>
      </c>
      <c r="G1562" s="4" t="str">
        <f>HYPERLINK("http://141.218.60.56/~jnz1568/getInfo.php?workbook=11_02.xlsx&amp;sheet=U0&amp;row=1562&amp;col=7&amp;number=0.000648&amp;sourceID=14","0.000648")</f>
        <v>0.000648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HYPERLINK("http://141.218.60.56/~jnz1568/getInfo.php?workbook=11_02.xlsx&amp;sheet=U0&amp;row=1563&amp;col=6&amp;number=4.9&amp;sourceID=14","4.9")</f>
        <v>4.9</v>
      </c>
      <c r="G1563" s="4" t="str">
        <f>HYPERLINK("http://141.218.60.56/~jnz1568/getInfo.php?workbook=11_02.xlsx&amp;sheet=U0&amp;row=1563&amp;col=7&amp;number=0.000634&amp;sourceID=14","0.000634")</f>
        <v>0.000634</v>
      </c>
    </row>
    <row r="1564" spans="1:7">
      <c r="A1564" s="3">
        <v>11</v>
      </c>
      <c r="B1564" s="3">
        <v>2</v>
      </c>
      <c r="C1564" s="3">
        <v>6</v>
      </c>
      <c r="D1564" s="3">
        <v>33</v>
      </c>
      <c r="E1564" s="3">
        <v>1</v>
      </c>
      <c r="F1564" s="4" t="str">
        <f>HYPERLINK("http://141.218.60.56/~jnz1568/getInfo.php?workbook=11_02.xlsx&amp;sheet=U0&amp;row=1564&amp;col=6&amp;number=3&amp;sourceID=14","3")</f>
        <v>3</v>
      </c>
      <c r="G1564" s="4" t="str">
        <f>HYPERLINK("http://141.218.60.56/~jnz1568/getInfo.php?workbook=11_02.xlsx&amp;sheet=U0&amp;row=1564&amp;col=7&amp;number=0.000278&amp;sourceID=14","0.000278")</f>
        <v>0.000278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HYPERLINK("http://141.218.60.56/~jnz1568/getInfo.php?workbook=11_02.xlsx&amp;sheet=U0&amp;row=1565&amp;col=6&amp;number=3.1&amp;sourceID=14","3.1")</f>
        <v>3.1</v>
      </c>
      <c r="G1565" s="4" t="str">
        <f>HYPERLINK("http://141.218.60.56/~jnz1568/getInfo.php?workbook=11_02.xlsx&amp;sheet=U0&amp;row=1565&amp;col=7&amp;number=0.000278&amp;sourceID=14","0.000278")</f>
        <v>0.000278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HYPERLINK("http://141.218.60.56/~jnz1568/getInfo.php?workbook=11_02.xlsx&amp;sheet=U0&amp;row=1566&amp;col=6&amp;number=3.2&amp;sourceID=14","3.2")</f>
        <v>3.2</v>
      </c>
      <c r="G1566" s="4" t="str">
        <f>HYPERLINK("http://141.218.60.56/~jnz1568/getInfo.php?workbook=11_02.xlsx&amp;sheet=U0&amp;row=1566&amp;col=7&amp;number=0.000278&amp;sourceID=14","0.000278")</f>
        <v>0.000278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HYPERLINK("http://141.218.60.56/~jnz1568/getInfo.php?workbook=11_02.xlsx&amp;sheet=U0&amp;row=1567&amp;col=6&amp;number=3.3&amp;sourceID=14","3.3")</f>
        <v>3.3</v>
      </c>
      <c r="G1567" s="4" t="str">
        <f>HYPERLINK("http://141.218.60.56/~jnz1568/getInfo.php?workbook=11_02.xlsx&amp;sheet=U0&amp;row=1567&amp;col=7&amp;number=0.000278&amp;sourceID=14","0.000278")</f>
        <v>0.000278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HYPERLINK("http://141.218.60.56/~jnz1568/getInfo.php?workbook=11_02.xlsx&amp;sheet=U0&amp;row=1568&amp;col=6&amp;number=3.4&amp;sourceID=14","3.4")</f>
        <v>3.4</v>
      </c>
      <c r="G1568" s="4" t="str">
        <f>HYPERLINK("http://141.218.60.56/~jnz1568/getInfo.php?workbook=11_02.xlsx&amp;sheet=U0&amp;row=1568&amp;col=7&amp;number=0.000278&amp;sourceID=14","0.000278")</f>
        <v>0.000278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HYPERLINK("http://141.218.60.56/~jnz1568/getInfo.php?workbook=11_02.xlsx&amp;sheet=U0&amp;row=1569&amp;col=6&amp;number=3.5&amp;sourceID=14","3.5")</f>
        <v>3.5</v>
      </c>
      <c r="G1569" s="4" t="str">
        <f>HYPERLINK("http://141.218.60.56/~jnz1568/getInfo.php?workbook=11_02.xlsx&amp;sheet=U0&amp;row=1569&amp;col=7&amp;number=0.000277&amp;sourceID=14","0.000277")</f>
        <v>0.000277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HYPERLINK("http://141.218.60.56/~jnz1568/getInfo.php?workbook=11_02.xlsx&amp;sheet=U0&amp;row=1570&amp;col=6&amp;number=3.6&amp;sourceID=14","3.6")</f>
        <v>3.6</v>
      </c>
      <c r="G1570" s="4" t="str">
        <f>HYPERLINK("http://141.218.60.56/~jnz1568/getInfo.php?workbook=11_02.xlsx&amp;sheet=U0&amp;row=1570&amp;col=7&amp;number=0.000277&amp;sourceID=14","0.000277")</f>
        <v>0.000277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HYPERLINK("http://141.218.60.56/~jnz1568/getInfo.php?workbook=11_02.xlsx&amp;sheet=U0&amp;row=1571&amp;col=6&amp;number=3.7&amp;sourceID=14","3.7")</f>
        <v>3.7</v>
      </c>
      <c r="G1571" s="4" t="str">
        <f>HYPERLINK("http://141.218.60.56/~jnz1568/getInfo.php?workbook=11_02.xlsx&amp;sheet=U0&amp;row=1571&amp;col=7&amp;number=0.000277&amp;sourceID=14","0.000277")</f>
        <v>0.000277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HYPERLINK("http://141.218.60.56/~jnz1568/getInfo.php?workbook=11_02.xlsx&amp;sheet=U0&amp;row=1572&amp;col=6&amp;number=3.8&amp;sourceID=14","3.8")</f>
        <v>3.8</v>
      </c>
      <c r="G1572" s="4" t="str">
        <f>HYPERLINK("http://141.218.60.56/~jnz1568/getInfo.php?workbook=11_02.xlsx&amp;sheet=U0&amp;row=1572&amp;col=7&amp;number=0.000277&amp;sourceID=14","0.000277")</f>
        <v>0.000277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HYPERLINK("http://141.218.60.56/~jnz1568/getInfo.php?workbook=11_02.xlsx&amp;sheet=U0&amp;row=1573&amp;col=6&amp;number=3.9&amp;sourceID=14","3.9")</f>
        <v>3.9</v>
      </c>
      <c r="G1573" s="4" t="str">
        <f>HYPERLINK("http://141.218.60.56/~jnz1568/getInfo.php?workbook=11_02.xlsx&amp;sheet=U0&amp;row=1573&amp;col=7&amp;number=0.000276&amp;sourceID=14","0.000276")</f>
        <v>0.000276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HYPERLINK("http://141.218.60.56/~jnz1568/getInfo.php?workbook=11_02.xlsx&amp;sheet=U0&amp;row=1574&amp;col=6&amp;number=4&amp;sourceID=14","4")</f>
        <v>4</v>
      </c>
      <c r="G1574" s="4" t="str">
        <f>HYPERLINK("http://141.218.60.56/~jnz1568/getInfo.php?workbook=11_02.xlsx&amp;sheet=U0&amp;row=1574&amp;col=7&amp;number=0.000276&amp;sourceID=14","0.000276")</f>
        <v>0.000276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HYPERLINK("http://141.218.60.56/~jnz1568/getInfo.php?workbook=11_02.xlsx&amp;sheet=U0&amp;row=1575&amp;col=6&amp;number=4.1&amp;sourceID=14","4.1")</f>
        <v>4.1</v>
      </c>
      <c r="G1575" s="4" t="str">
        <f>HYPERLINK("http://141.218.60.56/~jnz1568/getInfo.php?workbook=11_02.xlsx&amp;sheet=U0&amp;row=1575&amp;col=7&amp;number=0.000275&amp;sourceID=14","0.000275")</f>
        <v>0.000275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HYPERLINK("http://141.218.60.56/~jnz1568/getInfo.php?workbook=11_02.xlsx&amp;sheet=U0&amp;row=1576&amp;col=6&amp;number=4.2&amp;sourceID=14","4.2")</f>
        <v>4.2</v>
      </c>
      <c r="G1576" s="4" t="str">
        <f>HYPERLINK("http://141.218.60.56/~jnz1568/getInfo.php?workbook=11_02.xlsx&amp;sheet=U0&amp;row=1576&amp;col=7&amp;number=0.000274&amp;sourceID=14","0.000274")</f>
        <v>0.000274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HYPERLINK("http://141.218.60.56/~jnz1568/getInfo.php?workbook=11_02.xlsx&amp;sheet=U0&amp;row=1577&amp;col=6&amp;number=4.3&amp;sourceID=14","4.3")</f>
        <v>4.3</v>
      </c>
      <c r="G1577" s="4" t="str">
        <f>HYPERLINK("http://141.218.60.56/~jnz1568/getInfo.php?workbook=11_02.xlsx&amp;sheet=U0&amp;row=1577&amp;col=7&amp;number=0.000273&amp;sourceID=14","0.000273")</f>
        <v>0.000273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HYPERLINK("http://141.218.60.56/~jnz1568/getInfo.php?workbook=11_02.xlsx&amp;sheet=U0&amp;row=1578&amp;col=6&amp;number=4.4&amp;sourceID=14","4.4")</f>
        <v>4.4</v>
      </c>
      <c r="G1578" s="4" t="str">
        <f>HYPERLINK("http://141.218.60.56/~jnz1568/getInfo.php?workbook=11_02.xlsx&amp;sheet=U0&amp;row=1578&amp;col=7&amp;number=0.000272&amp;sourceID=14","0.000272")</f>
        <v>0.000272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HYPERLINK("http://141.218.60.56/~jnz1568/getInfo.php?workbook=11_02.xlsx&amp;sheet=U0&amp;row=1579&amp;col=6&amp;number=4.5&amp;sourceID=14","4.5")</f>
        <v>4.5</v>
      </c>
      <c r="G1579" s="4" t="str">
        <f>HYPERLINK("http://141.218.60.56/~jnz1568/getInfo.php?workbook=11_02.xlsx&amp;sheet=U0&amp;row=1579&amp;col=7&amp;number=0.000271&amp;sourceID=14","0.000271")</f>
        <v>0.000271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HYPERLINK("http://141.218.60.56/~jnz1568/getInfo.php?workbook=11_02.xlsx&amp;sheet=U0&amp;row=1580&amp;col=6&amp;number=4.6&amp;sourceID=14","4.6")</f>
        <v>4.6</v>
      </c>
      <c r="G1580" s="4" t="str">
        <f>HYPERLINK("http://141.218.60.56/~jnz1568/getInfo.php?workbook=11_02.xlsx&amp;sheet=U0&amp;row=1580&amp;col=7&amp;number=0.000269&amp;sourceID=14","0.000269")</f>
        <v>0.000269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HYPERLINK("http://141.218.60.56/~jnz1568/getInfo.php?workbook=11_02.xlsx&amp;sheet=U0&amp;row=1581&amp;col=6&amp;number=4.7&amp;sourceID=14","4.7")</f>
        <v>4.7</v>
      </c>
      <c r="G1581" s="4" t="str">
        <f>HYPERLINK("http://141.218.60.56/~jnz1568/getInfo.php?workbook=11_02.xlsx&amp;sheet=U0&amp;row=1581&amp;col=7&amp;number=0.000267&amp;sourceID=14","0.000267")</f>
        <v>0.000267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HYPERLINK("http://141.218.60.56/~jnz1568/getInfo.php?workbook=11_02.xlsx&amp;sheet=U0&amp;row=1582&amp;col=6&amp;number=4.8&amp;sourceID=14","4.8")</f>
        <v>4.8</v>
      </c>
      <c r="G1582" s="4" t="str">
        <f>HYPERLINK("http://141.218.60.56/~jnz1568/getInfo.php?workbook=11_02.xlsx&amp;sheet=U0&amp;row=1582&amp;col=7&amp;number=0.000264&amp;sourceID=14","0.000264")</f>
        <v>0.000264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HYPERLINK("http://141.218.60.56/~jnz1568/getInfo.php?workbook=11_02.xlsx&amp;sheet=U0&amp;row=1583&amp;col=6&amp;number=4.9&amp;sourceID=14","4.9")</f>
        <v>4.9</v>
      </c>
      <c r="G1583" s="4" t="str">
        <f>HYPERLINK("http://141.218.60.56/~jnz1568/getInfo.php?workbook=11_02.xlsx&amp;sheet=U0&amp;row=1583&amp;col=7&amp;number=0.000261&amp;sourceID=14","0.000261")</f>
        <v>0.000261</v>
      </c>
    </row>
    <row r="1584" spans="1:7">
      <c r="A1584" s="3">
        <v>11</v>
      </c>
      <c r="B1584" s="3">
        <v>2</v>
      </c>
      <c r="C1584" s="3">
        <v>6</v>
      </c>
      <c r="D1584" s="3">
        <v>34</v>
      </c>
      <c r="E1584" s="3">
        <v>1</v>
      </c>
      <c r="F1584" s="4" t="str">
        <f>HYPERLINK("http://141.218.60.56/~jnz1568/getInfo.php?workbook=11_02.xlsx&amp;sheet=U0&amp;row=1584&amp;col=6&amp;number=3&amp;sourceID=14","3")</f>
        <v>3</v>
      </c>
      <c r="G1584" s="4" t="str">
        <f>HYPERLINK("http://141.218.60.56/~jnz1568/getInfo.php?workbook=11_02.xlsx&amp;sheet=U0&amp;row=1584&amp;col=7&amp;number=0.000863&amp;sourceID=14","0.000863")</f>
        <v>0.000863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HYPERLINK("http://141.218.60.56/~jnz1568/getInfo.php?workbook=11_02.xlsx&amp;sheet=U0&amp;row=1585&amp;col=6&amp;number=3.1&amp;sourceID=14","3.1")</f>
        <v>3.1</v>
      </c>
      <c r="G1585" s="4" t="str">
        <f>HYPERLINK("http://141.218.60.56/~jnz1568/getInfo.php?workbook=11_02.xlsx&amp;sheet=U0&amp;row=1585&amp;col=7&amp;number=0.000863&amp;sourceID=14","0.000863")</f>
        <v>0.000863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HYPERLINK("http://141.218.60.56/~jnz1568/getInfo.php?workbook=11_02.xlsx&amp;sheet=U0&amp;row=1586&amp;col=6&amp;number=3.2&amp;sourceID=14","3.2")</f>
        <v>3.2</v>
      </c>
      <c r="G1586" s="4" t="str">
        <f>HYPERLINK("http://141.218.60.56/~jnz1568/getInfo.php?workbook=11_02.xlsx&amp;sheet=U0&amp;row=1586&amp;col=7&amp;number=0.000863&amp;sourceID=14","0.000863")</f>
        <v>0.000863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HYPERLINK("http://141.218.60.56/~jnz1568/getInfo.php?workbook=11_02.xlsx&amp;sheet=U0&amp;row=1587&amp;col=6&amp;number=3.3&amp;sourceID=14","3.3")</f>
        <v>3.3</v>
      </c>
      <c r="G1587" s="4" t="str">
        <f>HYPERLINK("http://141.218.60.56/~jnz1568/getInfo.php?workbook=11_02.xlsx&amp;sheet=U0&amp;row=1587&amp;col=7&amp;number=0.000863&amp;sourceID=14","0.000863")</f>
        <v>0.000863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HYPERLINK("http://141.218.60.56/~jnz1568/getInfo.php?workbook=11_02.xlsx&amp;sheet=U0&amp;row=1588&amp;col=6&amp;number=3.4&amp;sourceID=14","3.4")</f>
        <v>3.4</v>
      </c>
      <c r="G1588" s="4" t="str">
        <f>HYPERLINK("http://141.218.60.56/~jnz1568/getInfo.php?workbook=11_02.xlsx&amp;sheet=U0&amp;row=1588&amp;col=7&amp;number=0.000862&amp;sourceID=14","0.000862")</f>
        <v>0.000862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HYPERLINK("http://141.218.60.56/~jnz1568/getInfo.php?workbook=11_02.xlsx&amp;sheet=U0&amp;row=1589&amp;col=6&amp;number=3.5&amp;sourceID=14","3.5")</f>
        <v>3.5</v>
      </c>
      <c r="G1589" s="4" t="str">
        <f>HYPERLINK("http://141.218.60.56/~jnz1568/getInfo.php?workbook=11_02.xlsx&amp;sheet=U0&amp;row=1589&amp;col=7&amp;number=0.000862&amp;sourceID=14","0.000862")</f>
        <v>0.000862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HYPERLINK("http://141.218.60.56/~jnz1568/getInfo.php?workbook=11_02.xlsx&amp;sheet=U0&amp;row=1590&amp;col=6&amp;number=3.6&amp;sourceID=14","3.6")</f>
        <v>3.6</v>
      </c>
      <c r="G1590" s="4" t="str">
        <f>HYPERLINK("http://141.218.60.56/~jnz1568/getInfo.php?workbook=11_02.xlsx&amp;sheet=U0&amp;row=1590&amp;col=7&amp;number=0.000861&amp;sourceID=14","0.000861")</f>
        <v>0.000861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HYPERLINK("http://141.218.60.56/~jnz1568/getInfo.php?workbook=11_02.xlsx&amp;sheet=U0&amp;row=1591&amp;col=6&amp;number=3.7&amp;sourceID=14","3.7")</f>
        <v>3.7</v>
      </c>
      <c r="G1591" s="4" t="str">
        <f>HYPERLINK("http://141.218.60.56/~jnz1568/getInfo.php?workbook=11_02.xlsx&amp;sheet=U0&amp;row=1591&amp;col=7&amp;number=0.000861&amp;sourceID=14","0.000861")</f>
        <v>0.000861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HYPERLINK("http://141.218.60.56/~jnz1568/getInfo.php?workbook=11_02.xlsx&amp;sheet=U0&amp;row=1592&amp;col=6&amp;number=3.8&amp;sourceID=14","3.8")</f>
        <v>3.8</v>
      </c>
      <c r="G1592" s="4" t="str">
        <f>HYPERLINK("http://141.218.60.56/~jnz1568/getInfo.php?workbook=11_02.xlsx&amp;sheet=U0&amp;row=1592&amp;col=7&amp;number=0.00086&amp;sourceID=14","0.00086")</f>
        <v>0.00086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HYPERLINK("http://141.218.60.56/~jnz1568/getInfo.php?workbook=11_02.xlsx&amp;sheet=U0&amp;row=1593&amp;col=6&amp;number=3.9&amp;sourceID=14","3.9")</f>
        <v>3.9</v>
      </c>
      <c r="G1593" s="4" t="str">
        <f>HYPERLINK("http://141.218.60.56/~jnz1568/getInfo.php?workbook=11_02.xlsx&amp;sheet=U0&amp;row=1593&amp;col=7&amp;number=0.000858&amp;sourceID=14","0.000858")</f>
        <v>0.000858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HYPERLINK("http://141.218.60.56/~jnz1568/getInfo.php?workbook=11_02.xlsx&amp;sheet=U0&amp;row=1594&amp;col=6&amp;number=4&amp;sourceID=14","4")</f>
        <v>4</v>
      </c>
      <c r="G1594" s="4" t="str">
        <f>HYPERLINK("http://141.218.60.56/~jnz1568/getInfo.php?workbook=11_02.xlsx&amp;sheet=U0&amp;row=1594&amp;col=7&amp;number=0.000857&amp;sourceID=14","0.000857")</f>
        <v>0.000857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HYPERLINK("http://141.218.60.56/~jnz1568/getInfo.php?workbook=11_02.xlsx&amp;sheet=U0&amp;row=1595&amp;col=6&amp;number=4.1&amp;sourceID=14","4.1")</f>
        <v>4.1</v>
      </c>
      <c r="G1595" s="4" t="str">
        <f>HYPERLINK("http://141.218.60.56/~jnz1568/getInfo.php?workbook=11_02.xlsx&amp;sheet=U0&amp;row=1595&amp;col=7&amp;number=0.000855&amp;sourceID=14","0.000855")</f>
        <v>0.000855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HYPERLINK("http://141.218.60.56/~jnz1568/getInfo.php?workbook=11_02.xlsx&amp;sheet=U0&amp;row=1596&amp;col=6&amp;number=4.2&amp;sourceID=14","4.2")</f>
        <v>4.2</v>
      </c>
      <c r="G1596" s="4" t="str">
        <f>HYPERLINK("http://141.218.60.56/~jnz1568/getInfo.php?workbook=11_02.xlsx&amp;sheet=U0&amp;row=1596&amp;col=7&amp;number=0.000853&amp;sourceID=14","0.000853")</f>
        <v>0.000853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HYPERLINK("http://141.218.60.56/~jnz1568/getInfo.php?workbook=11_02.xlsx&amp;sheet=U0&amp;row=1597&amp;col=6&amp;number=4.3&amp;sourceID=14","4.3")</f>
        <v>4.3</v>
      </c>
      <c r="G1597" s="4" t="str">
        <f>HYPERLINK("http://141.218.60.56/~jnz1568/getInfo.php?workbook=11_02.xlsx&amp;sheet=U0&amp;row=1597&amp;col=7&amp;number=0.00085&amp;sourceID=14","0.00085")</f>
        <v>0.00085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HYPERLINK("http://141.218.60.56/~jnz1568/getInfo.php?workbook=11_02.xlsx&amp;sheet=U0&amp;row=1598&amp;col=6&amp;number=4.4&amp;sourceID=14","4.4")</f>
        <v>4.4</v>
      </c>
      <c r="G1598" s="4" t="str">
        <f>HYPERLINK("http://141.218.60.56/~jnz1568/getInfo.php?workbook=11_02.xlsx&amp;sheet=U0&amp;row=1598&amp;col=7&amp;number=0.000846&amp;sourceID=14","0.000846")</f>
        <v>0.000846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HYPERLINK("http://141.218.60.56/~jnz1568/getInfo.php?workbook=11_02.xlsx&amp;sheet=U0&amp;row=1599&amp;col=6&amp;number=4.5&amp;sourceID=14","4.5")</f>
        <v>4.5</v>
      </c>
      <c r="G1599" s="4" t="str">
        <f>HYPERLINK("http://141.218.60.56/~jnz1568/getInfo.php?workbook=11_02.xlsx&amp;sheet=U0&amp;row=1599&amp;col=7&amp;number=0.000841&amp;sourceID=14","0.000841")</f>
        <v>0.000841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HYPERLINK("http://141.218.60.56/~jnz1568/getInfo.php?workbook=11_02.xlsx&amp;sheet=U0&amp;row=1600&amp;col=6&amp;number=4.6&amp;sourceID=14","4.6")</f>
        <v>4.6</v>
      </c>
      <c r="G1600" s="4" t="str">
        <f>HYPERLINK("http://141.218.60.56/~jnz1568/getInfo.php?workbook=11_02.xlsx&amp;sheet=U0&amp;row=1600&amp;col=7&amp;number=0.000836&amp;sourceID=14","0.000836")</f>
        <v>0.000836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HYPERLINK("http://141.218.60.56/~jnz1568/getInfo.php?workbook=11_02.xlsx&amp;sheet=U0&amp;row=1601&amp;col=6&amp;number=4.7&amp;sourceID=14","4.7")</f>
        <v>4.7</v>
      </c>
      <c r="G1601" s="4" t="str">
        <f>HYPERLINK("http://141.218.60.56/~jnz1568/getInfo.php?workbook=11_02.xlsx&amp;sheet=U0&amp;row=1601&amp;col=7&amp;number=0.000829&amp;sourceID=14","0.000829")</f>
        <v>0.000829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HYPERLINK("http://141.218.60.56/~jnz1568/getInfo.php?workbook=11_02.xlsx&amp;sheet=U0&amp;row=1602&amp;col=6&amp;number=4.8&amp;sourceID=14","4.8")</f>
        <v>4.8</v>
      </c>
      <c r="G1602" s="4" t="str">
        <f>HYPERLINK("http://141.218.60.56/~jnz1568/getInfo.php?workbook=11_02.xlsx&amp;sheet=U0&amp;row=1602&amp;col=7&amp;number=0.00082&amp;sourceID=14","0.00082")</f>
        <v>0.00082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HYPERLINK("http://141.218.60.56/~jnz1568/getInfo.php?workbook=11_02.xlsx&amp;sheet=U0&amp;row=1603&amp;col=6&amp;number=4.9&amp;sourceID=14","4.9")</f>
        <v>4.9</v>
      </c>
      <c r="G1603" s="4" t="str">
        <f>HYPERLINK("http://141.218.60.56/~jnz1568/getInfo.php?workbook=11_02.xlsx&amp;sheet=U0&amp;row=1603&amp;col=7&amp;number=0.000809&amp;sourceID=14","0.000809")</f>
        <v>0.000809</v>
      </c>
    </row>
    <row r="1604" spans="1:7">
      <c r="A1604" s="3">
        <v>11</v>
      </c>
      <c r="B1604" s="3">
        <v>2</v>
      </c>
      <c r="C1604" s="3">
        <v>6</v>
      </c>
      <c r="D1604" s="3">
        <v>35</v>
      </c>
      <c r="E1604" s="3">
        <v>1</v>
      </c>
      <c r="F1604" s="4" t="str">
        <f>HYPERLINK("http://141.218.60.56/~jnz1568/getInfo.php?workbook=11_02.xlsx&amp;sheet=U0&amp;row=1604&amp;col=6&amp;number=3&amp;sourceID=14","3")</f>
        <v>3</v>
      </c>
      <c r="G1604" s="4" t="str">
        <f>HYPERLINK("http://141.218.60.56/~jnz1568/getInfo.php?workbook=11_02.xlsx&amp;sheet=U0&amp;row=1604&amp;col=7&amp;number=0.00138&amp;sourceID=14","0.00138")</f>
        <v>0.00138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HYPERLINK("http://141.218.60.56/~jnz1568/getInfo.php?workbook=11_02.xlsx&amp;sheet=U0&amp;row=1605&amp;col=6&amp;number=3.1&amp;sourceID=14","3.1")</f>
        <v>3.1</v>
      </c>
      <c r="G1605" s="4" t="str">
        <f>HYPERLINK("http://141.218.60.56/~jnz1568/getInfo.php?workbook=11_02.xlsx&amp;sheet=U0&amp;row=1605&amp;col=7&amp;number=0.00138&amp;sourceID=14","0.00138")</f>
        <v>0.00138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HYPERLINK("http://141.218.60.56/~jnz1568/getInfo.php?workbook=11_02.xlsx&amp;sheet=U0&amp;row=1606&amp;col=6&amp;number=3.2&amp;sourceID=14","3.2")</f>
        <v>3.2</v>
      </c>
      <c r="G1606" s="4" t="str">
        <f>HYPERLINK("http://141.218.60.56/~jnz1568/getInfo.php?workbook=11_02.xlsx&amp;sheet=U0&amp;row=1606&amp;col=7&amp;number=0.00138&amp;sourceID=14","0.00138")</f>
        <v>0.00138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HYPERLINK("http://141.218.60.56/~jnz1568/getInfo.php?workbook=11_02.xlsx&amp;sheet=U0&amp;row=1607&amp;col=6&amp;number=3.3&amp;sourceID=14","3.3")</f>
        <v>3.3</v>
      </c>
      <c r="G1607" s="4" t="str">
        <f>HYPERLINK("http://141.218.60.56/~jnz1568/getInfo.php?workbook=11_02.xlsx&amp;sheet=U0&amp;row=1607&amp;col=7&amp;number=0.00137&amp;sourceID=14","0.00137")</f>
        <v>0.00137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HYPERLINK("http://141.218.60.56/~jnz1568/getInfo.php?workbook=11_02.xlsx&amp;sheet=U0&amp;row=1608&amp;col=6&amp;number=3.4&amp;sourceID=14","3.4")</f>
        <v>3.4</v>
      </c>
      <c r="G1608" s="4" t="str">
        <f>HYPERLINK("http://141.218.60.56/~jnz1568/getInfo.php?workbook=11_02.xlsx&amp;sheet=U0&amp;row=1608&amp;col=7&amp;number=0.00137&amp;sourceID=14","0.00137")</f>
        <v>0.00137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HYPERLINK("http://141.218.60.56/~jnz1568/getInfo.php?workbook=11_02.xlsx&amp;sheet=U0&amp;row=1609&amp;col=6&amp;number=3.5&amp;sourceID=14","3.5")</f>
        <v>3.5</v>
      </c>
      <c r="G1609" s="4" t="str">
        <f>HYPERLINK("http://141.218.60.56/~jnz1568/getInfo.php?workbook=11_02.xlsx&amp;sheet=U0&amp;row=1609&amp;col=7&amp;number=0.00137&amp;sourceID=14","0.00137")</f>
        <v>0.00137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HYPERLINK("http://141.218.60.56/~jnz1568/getInfo.php?workbook=11_02.xlsx&amp;sheet=U0&amp;row=1610&amp;col=6&amp;number=3.6&amp;sourceID=14","3.6")</f>
        <v>3.6</v>
      </c>
      <c r="G1610" s="4" t="str">
        <f>HYPERLINK("http://141.218.60.56/~jnz1568/getInfo.php?workbook=11_02.xlsx&amp;sheet=U0&amp;row=1610&amp;col=7&amp;number=0.00137&amp;sourceID=14","0.00137")</f>
        <v>0.00137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HYPERLINK("http://141.218.60.56/~jnz1568/getInfo.php?workbook=11_02.xlsx&amp;sheet=U0&amp;row=1611&amp;col=6&amp;number=3.7&amp;sourceID=14","3.7")</f>
        <v>3.7</v>
      </c>
      <c r="G1611" s="4" t="str">
        <f>HYPERLINK("http://141.218.60.56/~jnz1568/getInfo.php?workbook=11_02.xlsx&amp;sheet=U0&amp;row=1611&amp;col=7&amp;number=0.00137&amp;sourceID=14","0.00137")</f>
        <v>0.00137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HYPERLINK("http://141.218.60.56/~jnz1568/getInfo.php?workbook=11_02.xlsx&amp;sheet=U0&amp;row=1612&amp;col=6&amp;number=3.8&amp;sourceID=14","3.8")</f>
        <v>3.8</v>
      </c>
      <c r="G1612" s="4" t="str">
        <f>HYPERLINK("http://141.218.60.56/~jnz1568/getInfo.php?workbook=11_02.xlsx&amp;sheet=U0&amp;row=1612&amp;col=7&amp;number=0.00137&amp;sourceID=14","0.00137")</f>
        <v>0.00137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HYPERLINK("http://141.218.60.56/~jnz1568/getInfo.php?workbook=11_02.xlsx&amp;sheet=U0&amp;row=1613&amp;col=6&amp;number=3.9&amp;sourceID=14","3.9")</f>
        <v>3.9</v>
      </c>
      <c r="G1613" s="4" t="str">
        <f>HYPERLINK("http://141.218.60.56/~jnz1568/getInfo.php?workbook=11_02.xlsx&amp;sheet=U0&amp;row=1613&amp;col=7&amp;number=0.00137&amp;sourceID=14","0.00137")</f>
        <v>0.00137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HYPERLINK("http://141.218.60.56/~jnz1568/getInfo.php?workbook=11_02.xlsx&amp;sheet=U0&amp;row=1614&amp;col=6&amp;number=4&amp;sourceID=14","4")</f>
        <v>4</v>
      </c>
      <c r="G1614" s="4" t="str">
        <f>HYPERLINK("http://141.218.60.56/~jnz1568/getInfo.php?workbook=11_02.xlsx&amp;sheet=U0&amp;row=1614&amp;col=7&amp;number=0.00137&amp;sourceID=14","0.00137")</f>
        <v>0.00137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HYPERLINK("http://141.218.60.56/~jnz1568/getInfo.php?workbook=11_02.xlsx&amp;sheet=U0&amp;row=1615&amp;col=6&amp;number=4.1&amp;sourceID=14","4.1")</f>
        <v>4.1</v>
      </c>
      <c r="G1615" s="4" t="str">
        <f>HYPERLINK("http://141.218.60.56/~jnz1568/getInfo.php?workbook=11_02.xlsx&amp;sheet=U0&amp;row=1615&amp;col=7&amp;number=0.00136&amp;sourceID=14","0.00136")</f>
        <v>0.00136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HYPERLINK("http://141.218.60.56/~jnz1568/getInfo.php?workbook=11_02.xlsx&amp;sheet=U0&amp;row=1616&amp;col=6&amp;number=4.2&amp;sourceID=14","4.2")</f>
        <v>4.2</v>
      </c>
      <c r="G1616" s="4" t="str">
        <f>HYPERLINK("http://141.218.60.56/~jnz1568/getInfo.php?workbook=11_02.xlsx&amp;sheet=U0&amp;row=1616&amp;col=7&amp;number=0.00136&amp;sourceID=14","0.00136")</f>
        <v>0.00136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HYPERLINK("http://141.218.60.56/~jnz1568/getInfo.php?workbook=11_02.xlsx&amp;sheet=U0&amp;row=1617&amp;col=6&amp;number=4.3&amp;sourceID=14","4.3")</f>
        <v>4.3</v>
      </c>
      <c r="G1617" s="4" t="str">
        <f>HYPERLINK("http://141.218.60.56/~jnz1568/getInfo.php?workbook=11_02.xlsx&amp;sheet=U0&amp;row=1617&amp;col=7&amp;number=0.00136&amp;sourceID=14","0.00136")</f>
        <v>0.00136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HYPERLINK("http://141.218.60.56/~jnz1568/getInfo.php?workbook=11_02.xlsx&amp;sheet=U0&amp;row=1618&amp;col=6&amp;number=4.4&amp;sourceID=14","4.4")</f>
        <v>4.4</v>
      </c>
      <c r="G1618" s="4" t="str">
        <f>HYPERLINK("http://141.218.60.56/~jnz1568/getInfo.php?workbook=11_02.xlsx&amp;sheet=U0&amp;row=1618&amp;col=7&amp;number=0.00135&amp;sourceID=14","0.00135")</f>
        <v>0.00135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HYPERLINK("http://141.218.60.56/~jnz1568/getInfo.php?workbook=11_02.xlsx&amp;sheet=U0&amp;row=1619&amp;col=6&amp;number=4.5&amp;sourceID=14","4.5")</f>
        <v>4.5</v>
      </c>
      <c r="G1619" s="4" t="str">
        <f>HYPERLINK("http://141.218.60.56/~jnz1568/getInfo.php?workbook=11_02.xlsx&amp;sheet=U0&amp;row=1619&amp;col=7&amp;number=0.00134&amp;sourceID=14","0.00134")</f>
        <v>0.00134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HYPERLINK("http://141.218.60.56/~jnz1568/getInfo.php?workbook=11_02.xlsx&amp;sheet=U0&amp;row=1620&amp;col=6&amp;number=4.6&amp;sourceID=14","4.6")</f>
        <v>4.6</v>
      </c>
      <c r="G1620" s="4" t="str">
        <f>HYPERLINK("http://141.218.60.56/~jnz1568/getInfo.php?workbook=11_02.xlsx&amp;sheet=U0&amp;row=1620&amp;col=7&amp;number=0.00134&amp;sourceID=14","0.00134")</f>
        <v>0.00134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HYPERLINK("http://141.218.60.56/~jnz1568/getInfo.php?workbook=11_02.xlsx&amp;sheet=U0&amp;row=1621&amp;col=6&amp;number=4.7&amp;sourceID=14","4.7")</f>
        <v>4.7</v>
      </c>
      <c r="G1621" s="4" t="str">
        <f>HYPERLINK("http://141.218.60.56/~jnz1568/getInfo.php?workbook=11_02.xlsx&amp;sheet=U0&amp;row=1621&amp;col=7&amp;number=0.00133&amp;sourceID=14","0.00133")</f>
        <v>0.00133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HYPERLINK("http://141.218.60.56/~jnz1568/getInfo.php?workbook=11_02.xlsx&amp;sheet=U0&amp;row=1622&amp;col=6&amp;number=4.8&amp;sourceID=14","4.8")</f>
        <v>4.8</v>
      </c>
      <c r="G1622" s="4" t="str">
        <f>HYPERLINK("http://141.218.60.56/~jnz1568/getInfo.php?workbook=11_02.xlsx&amp;sheet=U0&amp;row=1622&amp;col=7&amp;number=0.00131&amp;sourceID=14","0.00131")</f>
        <v>0.00131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HYPERLINK("http://141.218.60.56/~jnz1568/getInfo.php?workbook=11_02.xlsx&amp;sheet=U0&amp;row=1623&amp;col=6&amp;number=4.9&amp;sourceID=14","4.9")</f>
        <v>4.9</v>
      </c>
      <c r="G1623" s="4" t="str">
        <f>HYPERLINK("http://141.218.60.56/~jnz1568/getInfo.php?workbook=11_02.xlsx&amp;sheet=U0&amp;row=1623&amp;col=7&amp;number=0.0013&amp;sourceID=14","0.0013")</f>
        <v>0.0013</v>
      </c>
    </row>
    <row r="1624" spans="1:7">
      <c r="A1624" s="3">
        <v>11</v>
      </c>
      <c r="B1624" s="3">
        <v>2</v>
      </c>
      <c r="C1624" s="3">
        <v>6</v>
      </c>
      <c r="D1624" s="3">
        <v>36</v>
      </c>
      <c r="E1624" s="3">
        <v>1</v>
      </c>
      <c r="F1624" s="4" t="str">
        <f>HYPERLINK("http://141.218.60.56/~jnz1568/getInfo.php?workbook=11_02.xlsx&amp;sheet=U0&amp;row=1624&amp;col=6&amp;number=3&amp;sourceID=14","3")</f>
        <v>3</v>
      </c>
      <c r="G1624" s="4" t="str">
        <f>HYPERLINK("http://141.218.60.56/~jnz1568/getInfo.php?workbook=11_02.xlsx&amp;sheet=U0&amp;row=1624&amp;col=7&amp;number=0.00331&amp;sourceID=14","0.00331")</f>
        <v>0.00331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HYPERLINK("http://141.218.60.56/~jnz1568/getInfo.php?workbook=11_02.xlsx&amp;sheet=U0&amp;row=1625&amp;col=6&amp;number=3.1&amp;sourceID=14","3.1")</f>
        <v>3.1</v>
      </c>
      <c r="G1625" s="4" t="str">
        <f>HYPERLINK("http://141.218.60.56/~jnz1568/getInfo.php?workbook=11_02.xlsx&amp;sheet=U0&amp;row=1625&amp;col=7&amp;number=0.00331&amp;sourceID=14","0.00331")</f>
        <v>0.00331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HYPERLINK("http://141.218.60.56/~jnz1568/getInfo.php?workbook=11_02.xlsx&amp;sheet=U0&amp;row=1626&amp;col=6&amp;number=3.2&amp;sourceID=14","3.2")</f>
        <v>3.2</v>
      </c>
      <c r="G1626" s="4" t="str">
        <f>HYPERLINK("http://141.218.60.56/~jnz1568/getInfo.php?workbook=11_02.xlsx&amp;sheet=U0&amp;row=1626&amp;col=7&amp;number=0.00331&amp;sourceID=14","0.00331")</f>
        <v>0.00331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HYPERLINK("http://141.218.60.56/~jnz1568/getInfo.php?workbook=11_02.xlsx&amp;sheet=U0&amp;row=1627&amp;col=6&amp;number=3.3&amp;sourceID=14","3.3")</f>
        <v>3.3</v>
      </c>
      <c r="G1627" s="4" t="str">
        <f>HYPERLINK("http://141.218.60.56/~jnz1568/getInfo.php?workbook=11_02.xlsx&amp;sheet=U0&amp;row=1627&amp;col=7&amp;number=0.00331&amp;sourceID=14","0.00331")</f>
        <v>0.00331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HYPERLINK("http://141.218.60.56/~jnz1568/getInfo.php?workbook=11_02.xlsx&amp;sheet=U0&amp;row=1628&amp;col=6&amp;number=3.4&amp;sourceID=14","3.4")</f>
        <v>3.4</v>
      </c>
      <c r="G1628" s="4" t="str">
        <f>HYPERLINK("http://141.218.60.56/~jnz1568/getInfo.php?workbook=11_02.xlsx&amp;sheet=U0&amp;row=1628&amp;col=7&amp;number=0.00331&amp;sourceID=14","0.00331")</f>
        <v>0.00331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HYPERLINK("http://141.218.60.56/~jnz1568/getInfo.php?workbook=11_02.xlsx&amp;sheet=U0&amp;row=1629&amp;col=6&amp;number=3.5&amp;sourceID=14","3.5")</f>
        <v>3.5</v>
      </c>
      <c r="G1629" s="4" t="str">
        <f>HYPERLINK("http://141.218.60.56/~jnz1568/getInfo.php?workbook=11_02.xlsx&amp;sheet=U0&amp;row=1629&amp;col=7&amp;number=0.00331&amp;sourceID=14","0.00331")</f>
        <v>0.00331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HYPERLINK("http://141.218.60.56/~jnz1568/getInfo.php?workbook=11_02.xlsx&amp;sheet=U0&amp;row=1630&amp;col=6&amp;number=3.6&amp;sourceID=14","3.6")</f>
        <v>3.6</v>
      </c>
      <c r="G1630" s="4" t="str">
        <f>HYPERLINK("http://141.218.60.56/~jnz1568/getInfo.php?workbook=11_02.xlsx&amp;sheet=U0&amp;row=1630&amp;col=7&amp;number=0.00331&amp;sourceID=14","0.00331")</f>
        <v>0.00331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HYPERLINK("http://141.218.60.56/~jnz1568/getInfo.php?workbook=11_02.xlsx&amp;sheet=U0&amp;row=1631&amp;col=6&amp;number=3.7&amp;sourceID=14","3.7")</f>
        <v>3.7</v>
      </c>
      <c r="G1631" s="4" t="str">
        <f>HYPERLINK("http://141.218.60.56/~jnz1568/getInfo.php?workbook=11_02.xlsx&amp;sheet=U0&amp;row=1631&amp;col=7&amp;number=0.00331&amp;sourceID=14","0.00331")</f>
        <v>0.00331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HYPERLINK("http://141.218.60.56/~jnz1568/getInfo.php?workbook=11_02.xlsx&amp;sheet=U0&amp;row=1632&amp;col=6&amp;number=3.8&amp;sourceID=14","3.8")</f>
        <v>3.8</v>
      </c>
      <c r="G1632" s="4" t="str">
        <f>HYPERLINK("http://141.218.60.56/~jnz1568/getInfo.php?workbook=11_02.xlsx&amp;sheet=U0&amp;row=1632&amp;col=7&amp;number=0.00331&amp;sourceID=14","0.00331")</f>
        <v>0.00331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HYPERLINK("http://141.218.60.56/~jnz1568/getInfo.php?workbook=11_02.xlsx&amp;sheet=U0&amp;row=1633&amp;col=6&amp;number=3.9&amp;sourceID=14","3.9")</f>
        <v>3.9</v>
      </c>
      <c r="G1633" s="4" t="str">
        <f>HYPERLINK("http://141.218.60.56/~jnz1568/getInfo.php?workbook=11_02.xlsx&amp;sheet=U0&amp;row=1633&amp;col=7&amp;number=0.00331&amp;sourceID=14","0.00331")</f>
        <v>0.00331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HYPERLINK("http://141.218.60.56/~jnz1568/getInfo.php?workbook=11_02.xlsx&amp;sheet=U0&amp;row=1634&amp;col=6&amp;number=4&amp;sourceID=14","4")</f>
        <v>4</v>
      </c>
      <c r="G1634" s="4" t="str">
        <f>HYPERLINK("http://141.218.60.56/~jnz1568/getInfo.php?workbook=11_02.xlsx&amp;sheet=U0&amp;row=1634&amp;col=7&amp;number=0.00331&amp;sourceID=14","0.00331")</f>
        <v>0.00331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HYPERLINK("http://141.218.60.56/~jnz1568/getInfo.php?workbook=11_02.xlsx&amp;sheet=U0&amp;row=1635&amp;col=6&amp;number=4.1&amp;sourceID=14","4.1")</f>
        <v>4.1</v>
      </c>
      <c r="G1635" s="4" t="str">
        <f>HYPERLINK("http://141.218.60.56/~jnz1568/getInfo.php?workbook=11_02.xlsx&amp;sheet=U0&amp;row=1635&amp;col=7&amp;number=0.00331&amp;sourceID=14","0.00331")</f>
        <v>0.00331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HYPERLINK("http://141.218.60.56/~jnz1568/getInfo.php?workbook=11_02.xlsx&amp;sheet=U0&amp;row=1636&amp;col=6&amp;number=4.2&amp;sourceID=14","4.2")</f>
        <v>4.2</v>
      </c>
      <c r="G1636" s="4" t="str">
        <f>HYPERLINK("http://141.218.60.56/~jnz1568/getInfo.php?workbook=11_02.xlsx&amp;sheet=U0&amp;row=1636&amp;col=7&amp;number=0.00331&amp;sourceID=14","0.00331")</f>
        <v>0.00331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HYPERLINK("http://141.218.60.56/~jnz1568/getInfo.php?workbook=11_02.xlsx&amp;sheet=U0&amp;row=1637&amp;col=6&amp;number=4.3&amp;sourceID=14","4.3")</f>
        <v>4.3</v>
      </c>
      <c r="G1637" s="4" t="str">
        <f>HYPERLINK("http://141.218.60.56/~jnz1568/getInfo.php?workbook=11_02.xlsx&amp;sheet=U0&amp;row=1637&amp;col=7&amp;number=0.00331&amp;sourceID=14","0.00331")</f>
        <v>0.00331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HYPERLINK("http://141.218.60.56/~jnz1568/getInfo.php?workbook=11_02.xlsx&amp;sheet=U0&amp;row=1638&amp;col=6&amp;number=4.4&amp;sourceID=14","4.4")</f>
        <v>4.4</v>
      </c>
      <c r="G1638" s="4" t="str">
        <f>HYPERLINK("http://141.218.60.56/~jnz1568/getInfo.php?workbook=11_02.xlsx&amp;sheet=U0&amp;row=1638&amp;col=7&amp;number=0.00331&amp;sourceID=14","0.00331")</f>
        <v>0.00331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HYPERLINK("http://141.218.60.56/~jnz1568/getInfo.php?workbook=11_02.xlsx&amp;sheet=U0&amp;row=1639&amp;col=6&amp;number=4.5&amp;sourceID=14","4.5")</f>
        <v>4.5</v>
      </c>
      <c r="G1639" s="4" t="str">
        <f>HYPERLINK("http://141.218.60.56/~jnz1568/getInfo.php?workbook=11_02.xlsx&amp;sheet=U0&amp;row=1639&amp;col=7&amp;number=0.0033&amp;sourceID=14","0.0033")</f>
        <v>0.0033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HYPERLINK("http://141.218.60.56/~jnz1568/getInfo.php?workbook=11_02.xlsx&amp;sheet=U0&amp;row=1640&amp;col=6&amp;number=4.6&amp;sourceID=14","4.6")</f>
        <v>4.6</v>
      </c>
      <c r="G1640" s="4" t="str">
        <f>HYPERLINK("http://141.218.60.56/~jnz1568/getInfo.php?workbook=11_02.xlsx&amp;sheet=U0&amp;row=1640&amp;col=7&amp;number=0.0033&amp;sourceID=14","0.0033")</f>
        <v>0.0033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HYPERLINK("http://141.218.60.56/~jnz1568/getInfo.php?workbook=11_02.xlsx&amp;sheet=U0&amp;row=1641&amp;col=6&amp;number=4.7&amp;sourceID=14","4.7")</f>
        <v>4.7</v>
      </c>
      <c r="G1641" s="4" t="str">
        <f>HYPERLINK("http://141.218.60.56/~jnz1568/getInfo.php?workbook=11_02.xlsx&amp;sheet=U0&amp;row=1641&amp;col=7&amp;number=0.0033&amp;sourceID=14","0.0033")</f>
        <v>0.0033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HYPERLINK("http://141.218.60.56/~jnz1568/getInfo.php?workbook=11_02.xlsx&amp;sheet=U0&amp;row=1642&amp;col=6&amp;number=4.8&amp;sourceID=14","4.8")</f>
        <v>4.8</v>
      </c>
      <c r="G1642" s="4" t="str">
        <f>HYPERLINK("http://141.218.60.56/~jnz1568/getInfo.php?workbook=11_02.xlsx&amp;sheet=U0&amp;row=1642&amp;col=7&amp;number=0.0033&amp;sourceID=14","0.0033")</f>
        <v>0.0033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HYPERLINK("http://141.218.60.56/~jnz1568/getInfo.php?workbook=11_02.xlsx&amp;sheet=U0&amp;row=1643&amp;col=6&amp;number=4.9&amp;sourceID=14","4.9")</f>
        <v>4.9</v>
      </c>
      <c r="G1643" s="4" t="str">
        <f>HYPERLINK("http://141.218.60.56/~jnz1568/getInfo.php?workbook=11_02.xlsx&amp;sheet=U0&amp;row=1643&amp;col=7&amp;number=0.0033&amp;sourceID=14","0.0033")</f>
        <v>0.0033</v>
      </c>
    </row>
    <row r="1644" spans="1:7">
      <c r="A1644" s="3">
        <v>11</v>
      </c>
      <c r="B1644" s="3">
        <v>2</v>
      </c>
      <c r="C1644" s="3">
        <v>6</v>
      </c>
      <c r="D1644" s="3">
        <v>37</v>
      </c>
      <c r="E1644" s="3">
        <v>1</v>
      </c>
      <c r="F1644" s="4" t="str">
        <f>HYPERLINK("http://141.218.60.56/~jnz1568/getInfo.php?workbook=11_02.xlsx&amp;sheet=U0&amp;row=1644&amp;col=6&amp;number=3&amp;sourceID=14","3")</f>
        <v>3</v>
      </c>
      <c r="G1644" s="4" t="str">
        <f>HYPERLINK("http://141.218.60.56/~jnz1568/getInfo.php?workbook=11_02.xlsx&amp;sheet=U0&amp;row=1644&amp;col=7&amp;number=0.000842&amp;sourceID=14","0.000842")</f>
        <v>0.000842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HYPERLINK("http://141.218.60.56/~jnz1568/getInfo.php?workbook=11_02.xlsx&amp;sheet=U0&amp;row=1645&amp;col=6&amp;number=3.1&amp;sourceID=14","3.1")</f>
        <v>3.1</v>
      </c>
      <c r="G1645" s="4" t="str">
        <f>HYPERLINK("http://141.218.60.56/~jnz1568/getInfo.php?workbook=11_02.xlsx&amp;sheet=U0&amp;row=1645&amp;col=7&amp;number=0.000842&amp;sourceID=14","0.000842")</f>
        <v>0.000842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HYPERLINK("http://141.218.60.56/~jnz1568/getInfo.php?workbook=11_02.xlsx&amp;sheet=U0&amp;row=1646&amp;col=6&amp;number=3.2&amp;sourceID=14","3.2")</f>
        <v>3.2</v>
      </c>
      <c r="G1646" s="4" t="str">
        <f>HYPERLINK("http://141.218.60.56/~jnz1568/getInfo.php?workbook=11_02.xlsx&amp;sheet=U0&amp;row=1646&amp;col=7&amp;number=0.000842&amp;sourceID=14","0.000842")</f>
        <v>0.000842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HYPERLINK("http://141.218.60.56/~jnz1568/getInfo.php?workbook=11_02.xlsx&amp;sheet=U0&amp;row=1647&amp;col=6&amp;number=3.3&amp;sourceID=14","3.3")</f>
        <v>3.3</v>
      </c>
      <c r="G1647" s="4" t="str">
        <f>HYPERLINK("http://141.218.60.56/~jnz1568/getInfo.php?workbook=11_02.xlsx&amp;sheet=U0&amp;row=1647&amp;col=7&amp;number=0.000842&amp;sourceID=14","0.000842")</f>
        <v>0.000842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HYPERLINK("http://141.218.60.56/~jnz1568/getInfo.php?workbook=11_02.xlsx&amp;sheet=U0&amp;row=1648&amp;col=6&amp;number=3.4&amp;sourceID=14","3.4")</f>
        <v>3.4</v>
      </c>
      <c r="G1648" s="4" t="str">
        <f>HYPERLINK("http://141.218.60.56/~jnz1568/getInfo.php?workbook=11_02.xlsx&amp;sheet=U0&amp;row=1648&amp;col=7&amp;number=0.000842&amp;sourceID=14","0.000842")</f>
        <v>0.000842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HYPERLINK("http://141.218.60.56/~jnz1568/getInfo.php?workbook=11_02.xlsx&amp;sheet=U0&amp;row=1649&amp;col=6&amp;number=3.5&amp;sourceID=14","3.5")</f>
        <v>3.5</v>
      </c>
      <c r="G1649" s="4" t="str">
        <f>HYPERLINK("http://141.218.60.56/~jnz1568/getInfo.php?workbook=11_02.xlsx&amp;sheet=U0&amp;row=1649&amp;col=7&amp;number=0.000841&amp;sourceID=14","0.000841")</f>
        <v>0.000841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HYPERLINK("http://141.218.60.56/~jnz1568/getInfo.php?workbook=11_02.xlsx&amp;sheet=U0&amp;row=1650&amp;col=6&amp;number=3.6&amp;sourceID=14","3.6")</f>
        <v>3.6</v>
      </c>
      <c r="G1650" s="4" t="str">
        <f>HYPERLINK("http://141.218.60.56/~jnz1568/getInfo.php?workbook=11_02.xlsx&amp;sheet=U0&amp;row=1650&amp;col=7&amp;number=0.000841&amp;sourceID=14","0.000841")</f>
        <v>0.000841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HYPERLINK("http://141.218.60.56/~jnz1568/getInfo.php?workbook=11_02.xlsx&amp;sheet=U0&amp;row=1651&amp;col=6&amp;number=3.7&amp;sourceID=14","3.7")</f>
        <v>3.7</v>
      </c>
      <c r="G1651" s="4" t="str">
        <f>HYPERLINK("http://141.218.60.56/~jnz1568/getInfo.php?workbook=11_02.xlsx&amp;sheet=U0&amp;row=1651&amp;col=7&amp;number=0.000841&amp;sourceID=14","0.000841")</f>
        <v>0.000841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HYPERLINK("http://141.218.60.56/~jnz1568/getInfo.php?workbook=11_02.xlsx&amp;sheet=U0&amp;row=1652&amp;col=6&amp;number=3.8&amp;sourceID=14","3.8")</f>
        <v>3.8</v>
      </c>
      <c r="G1652" s="4" t="str">
        <f>HYPERLINK("http://141.218.60.56/~jnz1568/getInfo.php?workbook=11_02.xlsx&amp;sheet=U0&amp;row=1652&amp;col=7&amp;number=0.00084&amp;sourceID=14","0.00084")</f>
        <v>0.00084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HYPERLINK("http://141.218.60.56/~jnz1568/getInfo.php?workbook=11_02.xlsx&amp;sheet=U0&amp;row=1653&amp;col=6&amp;number=3.9&amp;sourceID=14","3.9")</f>
        <v>3.9</v>
      </c>
      <c r="G1653" s="4" t="str">
        <f>HYPERLINK("http://141.218.60.56/~jnz1568/getInfo.php?workbook=11_02.xlsx&amp;sheet=U0&amp;row=1653&amp;col=7&amp;number=0.000839&amp;sourceID=14","0.000839")</f>
        <v>0.000839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HYPERLINK("http://141.218.60.56/~jnz1568/getInfo.php?workbook=11_02.xlsx&amp;sheet=U0&amp;row=1654&amp;col=6&amp;number=4&amp;sourceID=14","4")</f>
        <v>4</v>
      </c>
      <c r="G1654" s="4" t="str">
        <f>HYPERLINK("http://141.218.60.56/~jnz1568/getInfo.php?workbook=11_02.xlsx&amp;sheet=U0&amp;row=1654&amp;col=7&amp;number=0.000839&amp;sourceID=14","0.000839")</f>
        <v>0.000839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HYPERLINK("http://141.218.60.56/~jnz1568/getInfo.php?workbook=11_02.xlsx&amp;sheet=U0&amp;row=1655&amp;col=6&amp;number=4.1&amp;sourceID=14","4.1")</f>
        <v>4.1</v>
      </c>
      <c r="G1655" s="4" t="str">
        <f>HYPERLINK("http://141.218.60.56/~jnz1568/getInfo.php?workbook=11_02.xlsx&amp;sheet=U0&amp;row=1655&amp;col=7&amp;number=0.000838&amp;sourceID=14","0.000838")</f>
        <v>0.000838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HYPERLINK("http://141.218.60.56/~jnz1568/getInfo.php?workbook=11_02.xlsx&amp;sheet=U0&amp;row=1656&amp;col=6&amp;number=4.2&amp;sourceID=14","4.2")</f>
        <v>4.2</v>
      </c>
      <c r="G1656" s="4" t="str">
        <f>HYPERLINK("http://141.218.60.56/~jnz1568/getInfo.php?workbook=11_02.xlsx&amp;sheet=U0&amp;row=1656&amp;col=7&amp;number=0.000836&amp;sourceID=14","0.000836")</f>
        <v>0.000836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HYPERLINK("http://141.218.60.56/~jnz1568/getInfo.php?workbook=11_02.xlsx&amp;sheet=U0&amp;row=1657&amp;col=6&amp;number=4.3&amp;sourceID=14","4.3")</f>
        <v>4.3</v>
      </c>
      <c r="G1657" s="4" t="str">
        <f>HYPERLINK("http://141.218.60.56/~jnz1568/getInfo.php?workbook=11_02.xlsx&amp;sheet=U0&amp;row=1657&amp;col=7&amp;number=0.000835&amp;sourceID=14","0.000835")</f>
        <v>0.000835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HYPERLINK("http://141.218.60.56/~jnz1568/getInfo.php?workbook=11_02.xlsx&amp;sheet=U0&amp;row=1658&amp;col=6&amp;number=4.4&amp;sourceID=14","4.4")</f>
        <v>4.4</v>
      </c>
      <c r="G1658" s="4" t="str">
        <f>HYPERLINK("http://141.218.60.56/~jnz1568/getInfo.php?workbook=11_02.xlsx&amp;sheet=U0&amp;row=1658&amp;col=7&amp;number=0.000833&amp;sourceID=14","0.000833")</f>
        <v>0.000833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HYPERLINK("http://141.218.60.56/~jnz1568/getInfo.php?workbook=11_02.xlsx&amp;sheet=U0&amp;row=1659&amp;col=6&amp;number=4.5&amp;sourceID=14","4.5")</f>
        <v>4.5</v>
      </c>
      <c r="G1659" s="4" t="str">
        <f>HYPERLINK("http://141.218.60.56/~jnz1568/getInfo.php?workbook=11_02.xlsx&amp;sheet=U0&amp;row=1659&amp;col=7&amp;number=0.00083&amp;sourceID=14","0.00083")</f>
        <v>0.00083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HYPERLINK("http://141.218.60.56/~jnz1568/getInfo.php?workbook=11_02.xlsx&amp;sheet=U0&amp;row=1660&amp;col=6&amp;number=4.6&amp;sourceID=14","4.6")</f>
        <v>4.6</v>
      </c>
      <c r="G1660" s="4" t="str">
        <f>HYPERLINK("http://141.218.60.56/~jnz1568/getInfo.php?workbook=11_02.xlsx&amp;sheet=U0&amp;row=1660&amp;col=7&amp;number=0.000827&amp;sourceID=14","0.000827")</f>
        <v>0.000827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HYPERLINK("http://141.218.60.56/~jnz1568/getInfo.php?workbook=11_02.xlsx&amp;sheet=U0&amp;row=1661&amp;col=6&amp;number=4.7&amp;sourceID=14","4.7")</f>
        <v>4.7</v>
      </c>
      <c r="G1661" s="4" t="str">
        <f>HYPERLINK("http://141.218.60.56/~jnz1568/getInfo.php?workbook=11_02.xlsx&amp;sheet=U0&amp;row=1661&amp;col=7&amp;number=0.000824&amp;sourceID=14","0.000824")</f>
        <v>0.000824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HYPERLINK("http://141.218.60.56/~jnz1568/getInfo.php?workbook=11_02.xlsx&amp;sheet=U0&amp;row=1662&amp;col=6&amp;number=4.8&amp;sourceID=14","4.8")</f>
        <v>4.8</v>
      </c>
      <c r="G1662" s="4" t="str">
        <f>HYPERLINK("http://141.218.60.56/~jnz1568/getInfo.php?workbook=11_02.xlsx&amp;sheet=U0&amp;row=1662&amp;col=7&amp;number=0.000819&amp;sourceID=14","0.000819")</f>
        <v>0.000819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HYPERLINK("http://141.218.60.56/~jnz1568/getInfo.php?workbook=11_02.xlsx&amp;sheet=U0&amp;row=1663&amp;col=6&amp;number=4.9&amp;sourceID=14","4.9")</f>
        <v>4.9</v>
      </c>
      <c r="G1663" s="4" t="str">
        <f>HYPERLINK("http://141.218.60.56/~jnz1568/getInfo.php?workbook=11_02.xlsx&amp;sheet=U0&amp;row=1663&amp;col=7&amp;number=0.000813&amp;sourceID=14","0.000813")</f>
        <v>0.000813</v>
      </c>
    </row>
    <row r="1664" spans="1:7">
      <c r="A1664" s="3">
        <v>11</v>
      </c>
      <c r="B1664" s="3">
        <v>2</v>
      </c>
      <c r="C1664" s="3">
        <v>6</v>
      </c>
      <c r="D1664" s="3">
        <v>38</v>
      </c>
      <c r="E1664" s="3">
        <v>1</v>
      </c>
      <c r="F1664" s="4" t="str">
        <f>HYPERLINK("http://141.218.60.56/~jnz1568/getInfo.php?workbook=11_02.xlsx&amp;sheet=U0&amp;row=1664&amp;col=6&amp;number=3&amp;sourceID=14","3")</f>
        <v>3</v>
      </c>
      <c r="G1664" s="4" t="str">
        <f>HYPERLINK("http://141.218.60.56/~jnz1568/getInfo.php?workbook=11_02.xlsx&amp;sheet=U0&amp;row=1664&amp;col=7&amp;number=0.00145&amp;sourceID=14","0.00145")</f>
        <v>0.00145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HYPERLINK("http://141.218.60.56/~jnz1568/getInfo.php?workbook=11_02.xlsx&amp;sheet=U0&amp;row=1665&amp;col=6&amp;number=3.1&amp;sourceID=14","3.1")</f>
        <v>3.1</v>
      </c>
      <c r="G1665" s="4" t="str">
        <f>HYPERLINK("http://141.218.60.56/~jnz1568/getInfo.php?workbook=11_02.xlsx&amp;sheet=U0&amp;row=1665&amp;col=7&amp;number=0.00145&amp;sourceID=14","0.00145")</f>
        <v>0.00145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HYPERLINK("http://141.218.60.56/~jnz1568/getInfo.php?workbook=11_02.xlsx&amp;sheet=U0&amp;row=1666&amp;col=6&amp;number=3.2&amp;sourceID=14","3.2")</f>
        <v>3.2</v>
      </c>
      <c r="G1666" s="4" t="str">
        <f>HYPERLINK("http://141.218.60.56/~jnz1568/getInfo.php?workbook=11_02.xlsx&amp;sheet=U0&amp;row=1666&amp;col=7&amp;number=0.00145&amp;sourceID=14","0.00145")</f>
        <v>0.00145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HYPERLINK("http://141.218.60.56/~jnz1568/getInfo.php?workbook=11_02.xlsx&amp;sheet=U0&amp;row=1667&amp;col=6&amp;number=3.3&amp;sourceID=14","3.3")</f>
        <v>3.3</v>
      </c>
      <c r="G1667" s="4" t="str">
        <f>HYPERLINK("http://141.218.60.56/~jnz1568/getInfo.php?workbook=11_02.xlsx&amp;sheet=U0&amp;row=1667&amp;col=7&amp;number=0.00145&amp;sourceID=14","0.00145")</f>
        <v>0.00145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HYPERLINK("http://141.218.60.56/~jnz1568/getInfo.php?workbook=11_02.xlsx&amp;sheet=U0&amp;row=1668&amp;col=6&amp;number=3.4&amp;sourceID=14","3.4")</f>
        <v>3.4</v>
      </c>
      <c r="G1668" s="4" t="str">
        <f>HYPERLINK("http://141.218.60.56/~jnz1568/getInfo.php?workbook=11_02.xlsx&amp;sheet=U0&amp;row=1668&amp;col=7&amp;number=0.00145&amp;sourceID=14","0.00145")</f>
        <v>0.00145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HYPERLINK("http://141.218.60.56/~jnz1568/getInfo.php?workbook=11_02.xlsx&amp;sheet=U0&amp;row=1669&amp;col=6&amp;number=3.5&amp;sourceID=14","3.5")</f>
        <v>3.5</v>
      </c>
      <c r="G1669" s="4" t="str">
        <f>HYPERLINK("http://141.218.60.56/~jnz1568/getInfo.php?workbook=11_02.xlsx&amp;sheet=U0&amp;row=1669&amp;col=7&amp;number=0.00145&amp;sourceID=14","0.00145")</f>
        <v>0.00145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HYPERLINK("http://141.218.60.56/~jnz1568/getInfo.php?workbook=11_02.xlsx&amp;sheet=U0&amp;row=1670&amp;col=6&amp;number=3.6&amp;sourceID=14","3.6")</f>
        <v>3.6</v>
      </c>
      <c r="G1670" s="4" t="str">
        <f>HYPERLINK("http://141.218.60.56/~jnz1568/getInfo.php?workbook=11_02.xlsx&amp;sheet=U0&amp;row=1670&amp;col=7&amp;number=0.00145&amp;sourceID=14","0.00145")</f>
        <v>0.00145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HYPERLINK("http://141.218.60.56/~jnz1568/getInfo.php?workbook=11_02.xlsx&amp;sheet=U0&amp;row=1671&amp;col=6&amp;number=3.7&amp;sourceID=14","3.7")</f>
        <v>3.7</v>
      </c>
      <c r="G1671" s="4" t="str">
        <f>HYPERLINK("http://141.218.60.56/~jnz1568/getInfo.php?workbook=11_02.xlsx&amp;sheet=U0&amp;row=1671&amp;col=7&amp;number=0.00145&amp;sourceID=14","0.00145")</f>
        <v>0.00145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HYPERLINK("http://141.218.60.56/~jnz1568/getInfo.php?workbook=11_02.xlsx&amp;sheet=U0&amp;row=1672&amp;col=6&amp;number=3.8&amp;sourceID=14","3.8")</f>
        <v>3.8</v>
      </c>
      <c r="G1672" s="4" t="str">
        <f>HYPERLINK("http://141.218.60.56/~jnz1568/getInfo.php?workbook=11_02.xlsx&amp;sheet=U0&amp;row=1672&amp;col=7&amp;number=0.00145&amp;sourceID=14","0.00145")</f>
        <v>0.00145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HYPERLINK("http://141.218.60.56/~jnz1568/getInfo.php?workbook=11_02.xlsx&amp;sheet=U0&amp;row=1673&amp;col=6&amp;number=3.9&amp;sourceID=14","3.9")</f>
        <v>3.9</v>
      </c>
      <c r="G1673" s="4" t="str">
        <f>HYPERLINK("http://141.218.60.56/~jnz1568/getInfo.php?workbook=11_02.xlsx&amp;sheet=U0&amp;row=1673&amp;col=7&amp;number=0.00145&amp;sourceID=14","0.00145")</f>
        <v>0.00145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HYPERLINK("http://141.218.60.56/~jnz1568/getInfo.php?workbook=11_02.xlsx&amp;sheet=U0&amp;row=1674&amp;col=6&amp;number=4&amp;sourceID=14","4")</f>
        <v>4</v>
      </c>
      <c r="G1674" s="4" t="str">
        <f>HYPERLINK("http://141.218.60.56/~jnz1568/getInfo.php?workbook=11_02.xlsx&amp;sheet=U0&amp;row=1674&amp;col=7&amp;number=0.00144&amp;sourceID=14","0.00144")</f>
        <v>0.00144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HYPERLINK("http://141.218.60.56/~jnz1568/getInfo.php?workbook=11_02.xlsx&amp;sheet=U0&amp;row=1675&amp;col=6&amp;number=4.1&amp;sourceID=14","4.1")</f>
        <v>4.1</v>
      </c>
      <c r="G1675" s="4" t="str">
        <f>HYPERLINK("http://141.218.60.56/~jnz1568/getInfo.php?workbook=11_02.xlsx&amp;sheet=U0&amp;row=1675&amp;col=7&amp;number=0.00144&amp;sourceID=14","0.00144")</f>
        <v>0.00144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HYPERLINK("http://141.218.60.56/~jnz1568/getInfo.php?workbook=11_02.xlsx&amp;sheet=U0&amp;row=1676&amp;col=6&amp;number=4.2&amp;sourceID=14","4.2")</f>
        <v>4.2</v>
      </c>
      <c r="G1676" s="4" t="str">
        <f>HYPERLINK("http://141.218.60.56/~jnz1568/getInfo.php?workbook=11_02.xlsx&amp;sheet=U0&amp;row=1676&amp;col=7&amp;number=0.00144&amp;sourceID=14","0.00144")</f>
        <v>0.00144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HYPERLINK("http://141.218.60.56/~jnz1568/getInfo.php?workbook=11_02.xlsx&amp;sheet=U0&amp;row=1677&amp;col=6&amp;number=4.3&amp;sourceID=14","4.3")</f>
        <v>4.3</v>
      </c>
      <c r="G1677" s="4" t="str">
        <f>HYPERLINK("http://141.218.60.56/~jnz1568/getInfo.php?workbook=11_02.xlsx&amp;sheet=U0&amp;row=1677&amp;col=7&amp;number=0.00144&amp;sourceID=14","0.00144")</f>
        <v>0.00144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HYPERLINK("http://141.218.60.56/~jnz1568/getInfo.php?workbook=11_02.xlsx&amp;sheet=U0&amp;row=1678&amp;col=6&amp;number=4.4&amp;sourceID=14","4.4")</f>
        <v>4.4</v>
      </c>
      <c r="G1678" s="4" t="str">
        <f>HYPERLINK("http://141.218.60.56/~jnz1568/getInfo.php?workbook=11_02.xlsx&amp;sheet=U0&amp;row=1678&amp;col=7&amp;number=0.00143&amp;sourceID=14","0.00143")</f>
        <v>0.00143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HYPERLINK("http://141.218.60.56/~jnz1568/getInfo.php?workbook=11_02.xlsx&amp;sheet=U0&amp;row=1679&amp;col=6&amp;number=4.5&amp;sourceID=14","4.5")</f>
        <v>4.5</v>
      </c>
      <c r="G1679" s="4" t="str">
        <f>HYPERLINK("http://141.218.60.56/~jnz1568/getInfo.php?workbook=11_02.xlsx&amp;sheet=U0&amp;row=1679&amp;col=7&amp;number=0.00143&amp;sourceID=14","0.00143")</f>
        <v>0.00143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HYPERLINK("http://141.218.60.56/~jnz1568/getInfo.php?workbook=11_02.xlsx&amp;sheet=U0&amp;row=1680&amp;col=6&amp;number=4.6&amp;sourceID=14","4.6")</f>
        <v>4.6</v>
      </c>
      <c r="G1680" s="4" t="str">
        <f>HYPERLINK("http://141.218.60.56/~jnz1568/getInfo.php?workbook=11_02.xlsx&amp;sheet=U0&amp;row=1680&amp;col=7&amp;number=0.00142&amp;sourceID=14","0.00142")</f>
        <v>0.00142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HYPERLINK("http://141.218.60.56/~jnz1568/getInfo.php?workbook=11_02.xlsx&amp;sheet=U0&amp;row=1681&amp;col=6&amp;number=4.7&amp;sourceID=14","4.7")</f>
        <v>4.7</v>
      </c>
      <c r="G1681" s="4" t="str">
        <f>HYPERLINK("http://141.218.60.56/~jnz1568/getInfo.php?workbook=11_02.xlsx&amp;sheet=U0&amp;row=1681&amp;col=7&amp;number=0.00141&amp;sourceID=14","0.00141")</f>
        <v>0.00141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HYPERLINK("http://141.218.60.56/~jnz1568/getInfo.php?workbook=11_02.xlsx&amp;sheet=U0&amp;row=1682&amp;col=6&amp;number=4.8&amp;sourceID=14","4.8")</f>
        <v>4.8</v>
      </c>
      <c r="G1682" s="4" t="str">
        <f>HYPERLINK("http://141.218.60.56/~jnz1568/getInfo.php?workbook=11_02.xlsx&amp;sheet=U0&amp;row=1682&amp;col=7&amp;number=0.0014&amp;sourceID=14","0.0014")</f>
        <v>0.0014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HYPERLINK("http://141.218.60.56/~jnz1568/getInfo.php?workbook=11_02.xlsx&amp;sheet=U0&amp;row=1683&amp;col=6&amp;number=4.9&amp;sourceID=14","4.9")</f>
        <v>4.9</v>
      </c>
      <c r="G1683" s="4" t="str">
        <f>HYPERLINK("http://141.218.60.56/~jnz1568/getInfo.php?workbook=11_02.xlsx&amp;sheet=U0&amp;row=1683&amp;col=7&amp;number=0.00139&amp;sourceID=14","0.00139")</f>
        <v>0.00139</v>
      </c>
    </row>
    <row r="1684" spans="1:7">
      <c r="A1684" s="3">
        <v>11</v>
      </c>
      <c r="B1684" s="3">
        <v>2</v>
      </c>
      <c r="C1684" s="3">
        <v>6</v>
      </c>
      <c r="D1684" s="3">
        <v>39</v>
      </c>
      <c r="E1684" s="3">
        <v>1</v>
      </c>
      <c r="F1684" s="4" t="str">
        <f>HYPERLINK("http://141.218.60.56/~jnz1568/getInfo.php?workbook=11_02.xlsx&amp;sheet=U0&amp;row=1684&amp;col=6&amp;number=3&amp;sourceID=14","3")</f>
        <v>3</v>
      </c>
      <c r="G1684" s="4" t="str">
        <f>HYPERLINK("http://141.218.60.56/~jnz1568/getInfo.php?workbook=11_02.xlsx&amp;sheet=U0&amp;row=1684&amp;col=7&amp;number=0.00197&amp;sourceID=14","0.00197")</f>
        <v>0.00197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HYPERLINK("http://141.218.60.56/~jnz1568/getInfo.php?workbook=11_02.xlsx&amp;sheet=U0&amp;row=1685&amp;col=6&amp;number=3.1&amp;sourceID=14","3.1")</f>
        <v>3.1</v>
      </c>
      <c r="G1685" s="4" t="str">
        <f>HYPERLINK("http://141.218.60.56/~jnz1568/getInfo.php?workbook=11_02.xlsx&amp;sheet=U0&amp;row=1685&amp;col=7&amp;number=0.00197&amp;sourceID=14","0.00197")</f>
        <v>0.00197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HYPERLINK("http://141.218.60.56/~jnz1568/getInfo.php?workbook=11_02.xlsx&amp;sheet=U0&amp;row=1686&amp;col=6&amp;number=3.2&amp;sourceID=14","3.2")</f>
        <v>3.2</v>
      </c>
      <c r="G1686" s="4" t="str">
        <f>HYPERLINK("http://141.218.60.56/~jnz1568/getInfo.php?workbook=11_02.xlsx&amp;sheet=U0&amp;row=1686&amp;col=7&amp;number=0.00197&amp;sourceID=14","0.00197")</f>
        <v>0.00197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HYPERLINK("http://141.218.60.56/~jnz1568/getInfo.php?workbook=11_02.xlsx&amp;sheet=U0&amp;row=1687&amp;col=6&amp;number=3.3&amp;sourceID=14","3.3")</f>
        <v>3.3</v>
      </c>
      <c r="G1687" s="4" t="str">
        <f>HYPERLINK("http://141.218.60.56/~jnz1568/getInfo.php?workbook=11_02.xlsx&amp;sheet=U0&amp;row=1687&amp;col=7&amp;number=0.00197&amp;sourceID=14","0.00197")</f>
        <v>0.00197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HYPERLINK("http://141.218.60.56/~jnz1568/getInfo.php?workbook=11_02.xlsx&amp;sheet=U0&amp;row=1688&amp;col=6&amp;number=3.4&amp;sourceID=14","3.4")</f>
        <v>3.4</v>
      </c>
      <c r="G1688" s="4" t="str">
        <f>HYPERLINK("http://141.218.60.56/~jnz1568/getInfo.php?workbook=11_02.xlsx&amp;sheet=U0&amp;row=1688&amp;col=7&amp;number=0.00197&amp;sourceID=14","0.00197")</f>
        <v>0.00197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HYPERLINK("http://141.218.60.56/~jnz1568/getInfo.php?workbook=11_02.xlsx&amp;sheet=U0&amp;row=1689&amp;col=6&amp;number=3.5&amp;sourceID=14","3.5")</f>
        <v>3.5</v>
      </c>
      <c r="G1689" s="4" t="str">
        <f>HYPERLINK("http://141.218.60.56/~jnz1568/getInfo.php?workbook=11_02.xlsx&amp;sheet=U0&amp;row=1689&amp;col=7&amp;number=0.00197&amp;sourceID=14","0.00197")</f>
        <v>0.00197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HYPERLINK("http://141.218.60.56/~jnz1568/getInfo.php?workbook=11_02.xlsx&amp;sheet=U0&amp;row=1690&amp;col=6&amp;number=3.6&amp;sourceID=14","3.6")</f>
        <v>3.6</v>
      </c>
      <c r="G1690" s="4" t="str">
        <f>HYPERLINK("http://141.218.60.56/~jnz1568/getInfo.php?workbook=11_02.xlsx&amp;sheet=U0&amp;row=1690&amp;col=7&amp;number=0.00197&amp;sourceID=14","0.00197")</f>
        <v>0.00197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HYPERLINK("http://141.218.60.56/~jnz1568/getInfo.php?workbook=11_02.xlsx&amp;sheet=U0&amp;row=1691&amp;col=6&amp;number=3.7&amp;sourceID=14","3.7")</f>
        <v>3.7</v>
      </c>
      <c r="G1691" s="4" t="str">
        <f>HYPERLINK("http://141.218.60.56/~jnz1568/getInfo.php?workbook=11_02.xlsx&amp;sheet=U0&amp;row=1691&amp;col=7&amp;number=0.00197&amp;sourceID=14","0.00197")</f>
        <v>0.00197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HYPERLINK("http://141.218.60.56/~jnz1568/getInfo.php?workbook=11_02.xlsx&amp;sheet=U0&amp;row=1692&amp;col=6&amp;number=3.8&amp;sourceID=14","3.8")</f>
        <v>3.8</v>
      </c>
      <c r="G1692" s="4" t="str">
        <f>HYPERLINK("http://141.218.60.56/~jnz1568/getInfo.php?workbook=11_02.xlsx&amp;sheet=U0&amp;row=1692&amp;col=7&amp;number=0.00197&amp;sourceID=14","0.00197")</f>
        <v>0.00197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HYPERLINK("http://141.218.60.56/~jnz1568/getInfo.php?workbook=11_02.xlsx&amp;sheet=U0&amp;row=1693&amp;col=6&amp;number=3.9&amp;sourceID=14","3.9")</f>
        <v>3.9</v>
      </c>
      <c r="G1693" s="4" t="str">
        <f>HYPERLINK("http://141.218.60.56/~jnz1568/getInfo.php?workbook=11_02.xlsx&amp;sheet=U0&amp;row=1693&amp;col=7&amp;number=0.00196&amp;sourceID=14","0.00196")</f>
        <v>0.00196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HYPERLINK("http://141.218.60.56/~jnz1568/getInfo.php?workbook=11_02.xlsx&amp;sheet=U0&amp;row=1694&amp;col=6&amp;number=4&amp;sourceID=14","4")</f>
        <v>4</v>
      </c>
      <c r="G1694" s="4" t="str">
        <f>HYPERLINK("http://141.218.60.56/~jnz1568/getInfo.php?workbook=11_02.xlsx&amp;sheet=U0&amp;row=1694&amp;col=7&amp;number=0.00196&amp;sourceID=14","0.00196")</f>
        <v>0.00196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HYPERLINK("http://141.218.60.56/~jnz1568/getInfo.php?workbook=11_02.xlsx&amp;sheet=U0&amp;row=1695&amp;col=6&amp;number=4.1&amp;sourceID=14","4.1")</f>
        <v>4.1</v>
      </c>
      <c r="G1695" s="4" t="str">
        <f>HYPERLINK("http://141.218.60.56/~jnz1568/getInfo.php?workbook=11_02.xlsx&amp;sheet=U0&amp;row=1695&amp;col=7&amp;number=0.00196&amp;sourceID=14","0.00196")</f>
        <v>0.00196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HYPERLINK("http://141.218.60.56/~jnz1568/getInfo.php?workbook=11_02.xlsx&amp;sheet=U0&amp;row=1696&amp;col=6&amp;number=4.2&amp;sourceID=14","4.2")</f>
        <v>4.2</v>
      </c>
      <c r="G1696" s="4" t="str">
        <f>HYPERLINK("http://141.218.60.56/~jnz1568/getInfo.php?workbook=11_02.xlsx&amp;sheet=U0&amp;row=1696&amp;col=7&amp;number=0.00196&amp;sourceID=14","0.00196")</f>
        <v>0.00196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HYPERLINK("http://141.218.60.56/~jnz1568/getInfo.php?workbook=11_02.xlsx&amp;sheet=U0&amp;row=1697&amp;col=6&amp;number=4.3&amp;sourceID=14","4.3")</f>
        <v>4.3</v>
      </c>
      <c r="G1697" s="4" t="str">
        <f>HYPERLINK("http://141.218.60.56/~jnz1568/getInfo.php?workbook=11_02.xlsx&amp;sheet=U0&amp;row=1697&amp;col=7&amp;number=0.00195&amp;sourceID=14","0.00195")</f>
        <v>0.00195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HYPERLINK("http://141.218.60.56/~jnz1568/getInfo.php?workbook=11_02.xlsx&amp;sheet=U0&amp;row=1698&amp;col=6&amp;number=4.4&amp;sourceID=14","4.4")</f>
        <v>4.4</v>
      </c>
      <c r="G1698" s="4" t="str">
        <f>HYPERLINK("http://141.218.60.56/~jnz1568/getInfo.php?workbook=11_02.xlsx&amp;sheet=U0&amp;row=1698&amp;col=7&amp;number=0.00195&amp;sourceID=14","0.00195")</f>
        <v>0.00195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HYPERLINK("http://141.218.60.56/~jnz1568/getInfo.php?workbook=11_02.xlsx&amp;sheet=U0&amp;row=1699&amp;col=6&amp;number=4.5&amp;sourceID=14","4.5")</f>
        <v>4.5</v>
      </c>
      <c r="G1699" s="4" t="str">
        <f>HYPERLINK("http://141.218.60.56/~jnz1568/getInfo.php?workbook=11_02.xlsx&amp;sheet=U0&amp;row=1699&amp;col=7&amp;number=0.00194&amp;sourceID=14","0.00194")</f>
        <v>0.00194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HYPERLINK("http://141.218.60.56/~jnz1568/getInfo.php?workbook=11_02.xlsx&amp;sheet=U0&amp;row=1700&amp;col=6&amp;number=4.6&amp;sourceID=14","4.6")</f>
        <v>4.6</v>
      </c>
      <c r="G1700" s="4" t="str">
        <f>HYPERLINK("http://141.218.60.56/~jnz1568/getInfo.php?workbook=11_02.xlsx&amp;sheet=U0&amp;row=1700&amp;col=7&amp;number=0.00194&amp;sourceID=14","0.00194")</f>
        <v>0.00194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HYPERLINK("http://141.218.60.56/~jnz1568/getInfo.php?workbook=11_02.xlsx&amp;sheet=U0&amp;row=1701&amp;col=6&amp;number=4.7&amp;sourceID=14","4.7")</f>
        <v>4.7</v>
      </c>
      <c r="G1701" s="4" t="str">
        <f>HYPERLINK("http://141.218.60.56/~jnz1568/getInfo.php?workbook=11_02.xlsx&amp;sheet=U0&amp;row=1701&amp;col=7&amp;number=0.00193&amp;sourceID=14","0.00193")</f>
        <v>0.00193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HYPERLINK("http://141.218.60.56/~jnz1568/getInfo.php?workbook=11_02.xlsx&amp;sheet=U0&amp;row=1702&amp;col=6&amp;number=4.8&amp;sourceID=14","4.8")</f>
        <v>4.8</v>
      </c>
      <c r="G1702" s="4" t="str">
        <f>HYPERLINK("http://141.218.60.56/~jnz1568/getInfo.php?workbook=11_02.xlsx&amp;sheet=U0&amp;row=1702&amp;col=7&amp;number=0.00191&amp;sourceID=14","0.00191")</f>
        <v>0.00191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HYPERLINK("http://141.218.60.56/~jnz1568/getInfo.php?workbook=11_02.xlsx&amp;sheet=U0&amp;row=1703&amp;col=6&amp;number=4.9&amp;sourceID=14","4.9")</f>
        <v>4.9</v>
      </c>
      <c r="G1703" s="4" t="str">
        <f>HYPERLINK("http://141.218.60.56/~jnz1568/getInfo.php?workbook=11_02.xlsx&amp;sheet=U0&amp;row=1703&amp;col=7&amp;number=0.0019&amp;sourceID=14","0.0019")</f>
        <v>0.0019</v>
      </c>
    </row>
    <row r="1704" spans="1:7">
      <c r="A1704" s="3">
        <v>11</v>
      </c>
      <c r="B1704" s="3">
        <v>2</v>
      </c>
      <c r="C1704" s="3">
        <v>6</v>
      </c>
      <c r="D1704" s="3">
        <v>40</v>
      </c>
      <c r="E1704" s="3">
        <v>1</v>
      </c>
      <c r="F1704" s="4" t="str">
        <f>HYPERLINK("http://141.218.60.56/~jnz1568/getInfo.php?workbook=11_02.xlsx&amp;sheet=U0&amp;row=1704&amp;col=6&amp;number=3&amp;sourceID=14","3")</f>
        <v>3</v>
      </c>
      <c r="G1704" s="4" t="str">
        <f>HYPERLINK("http://141.218.60.56/~jnz1568/getInfo.php?workbook=11_02.xlsx&amp;sheet=U0&amp;row=1704&amp;col=7&amp;number=0.000829&amp;sourceID=14","0.000829")</f>
        <v>0.000829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HYPERLINK("http://141.218.60.56/~jnz1568/getInfo.php?workbook=11_02.xlsx&amp;sheet=U0&amp;row=1705&amp;col=6&amp;number=3.1&amp;sourceID=14","3.1")</f>
        <v>3.1</v>
      </c>
      <c r="G1705" s="4" t="str">
        <f>HYPERLINK("http://141.218.60.56/~jnz1568/getInfo.php?workbook=11_02.xlsx&amp;sheet=U0&amp;row=1705&amp;col=7&amp;number=0.000829&amp;sourceID=14","0.000829")</f>
        <v>0.000829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HYPERLINK("http://141.218.60.56/~jnz1568/getInfo.php?workbook=11_02.xlsx&amp;sheet=U0&amp;row=1706&amp;col=6&amp;number=3.2&amp;sourceID=14","3.2")</f>
        <v>3.2</v>
      </c>
      <c r="G1706" s="4" t="str">
        <f>HYPERLINK("http://141.218.60.56/~jnz1568/getInfo.php?workbook=11_02.xlsx&amp;sheet=U0&amp;row=1706&amp;col=7&amp;number=0.000829&amp;sourceID=14","0.000829")</f>
        <v>0.000829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HYPERLINK("http://141.218.60.56/~jnz1568/getInfo.php?workbook=11_02.xlsx&amp;sheet=U0&amp;row=1707&amp;col=6&amp;number=3.3&amp;sourceID=14","3.3")</f>
        <v>3.3</v>
      </c>
      <c r="G1707" s="4" t="str">
        <f>HYPERLINK("http://141.218.60.56/~jnz1568/getInfo.php?workbook=11_02.xlsx&amp;sheet=U0&amp;row=1707&amp;col=7&amp;number=0.000828&amp;sourceID=14","0.000828")</f>
        <v>0.000828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HYPERLINK("http://141.218.60.56/~jnz1568/getInfo.php?workbook=11_02.xlsx&amp;sheet=U0&amp;row=1708&amp;col=6&amp;number=3.4&amp;sourceID=14","3.4")</f>
        <v>3.4</v>
      </c>
      <c r="G1708" s="4" t="str">
        <f>HYPERLINK("http://141.218.60.56/~jnz1568/getInfo.php?workbook=11_02.xlsx&amp;sheet=U0&amp;row=1708&amp;col=7&amp;number=0.000828&amp;sourceID=14","0.000828")</f>
        <v>0.000828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HYPERLINK("http://141.218.60.56/~jnz1568/getInfo.php?workbook=11_02.xlsx&amp;sheet=U0&amp;row=1709&amp;col=6&amp;number=3.5&amp;sourceID=14","3.5")</f>
        <v>3.5</v>
      </c>
      <c r="G1709" s="4" t="str">
        <f>HYPERLINK("http://141.218.60.56/~jnz1568/getInfo.php?workbook=11_02.xlsx&amp;sheet=U0&amp;row=1709&amp;col=7&amp;number=0.000828&amp;sourceID=14","0.000828")</f>
        <v>0.000828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HYPERLINK("http://141.218.60.56/~jnz1568/getInfo.php?workbook=11_02.xlsx&amp;sheet=U0&amp;row=1710&amp;col=6&amp;number=3.6&amp;sourceID=14","3.6")</f>
        <v>3.6</v>
      </c>
      <c r="G1710" s="4" t="str">
        <f>HYPERLINK("http://141.218.60.56/~jnz1568/getInfo.php?workbook=11_02.xlsx&amp;sheet=U0&amp;row=1710&amp;col=7&amp;number=0.000828&amp;sourceID=14","0.000828")</f>
        <v>0.000828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HYPERLINK("http://141.218.60.56/~jnz1568/getInfo.php?workbook=11_02.xlsx&amp;sheet=U0&amp;row=1711&amp;col=6&amp;number=3.7&amp;sourceID=14","3.7")</f>
        <v>3.7</v>
      </c>
      <c r="G1711" s="4" t="str">
        <f>HYPERLINK("http://141.218.60.56/~jnz1568/getInfo.php?workbook=11_02.xlsx&amp;sheet=U0&amp;row=1711&amp;col=7&amp;number=0.000827&amp;sourceID=14","0.000827")</f>
        <v>0.000827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HYPERLINK("http://141.218.60.56/~jnz1568/getInfo.php?workbook=11_02.xlsx&amp;sheet=U0&amp;row=1712&amp;col=6&amp;number=3.8&amp;sourceID=14","3.8")</f>
        <v>3.8</v>
      </c>
      <c r="G1712" s="4" t="str">
        <f>HYPERLINK("http://141.218.60.56/~jnz1568/getInfo.php?workbook=11_02.xlsx&amp;sheet=U0&amp;row=1712&amp;col=7&amp;number=0.000827&amp;sourceID=14","0.000827")</f>
        <v>0.000827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HYPERLINK("http://141.218.60.56/~jnz1568/getInfo.php?workbook=11_02.xlsx&amp;sheet=U0&amp;row=1713&amp;col=6&amp;number=3.9&amp;sourceID=14","3.9")</f>
        <v>3.9</v>
      </c>
      <c r="G1713" s="4" t="str">
        <f>HYPERLINK("http://141.218.60.56/~jnz1568/getInfo.php?workbook=11_02.xlsx&amp;sheet=U0&amp;row=1713&amp;col=7&amp;number=0.000826&amp;sourceID=14","0.000826")</f>
        <v>0.000826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HYPERLINK("http://141.218.60.56/~jnz1568/getInfo.php?workbook=11_02.xlsx&amp;sheet=U0&amp;row=1714&amp;col=6&amp;number=4&amp;sourceID=14","4")</f>
        <v>4</v>
      </c>
      <c r="G1714" s="4" t="str">
        <f>HYPERLINK("http://141.218.60.56/~jnz1568/getInfo.php?workbook=11_02.xlsx&amp;sheet=U0&amp;row=1714&amp;col=7&amp;number=0.000826&amp;sourceID=14","0.000826")</f>
        <v>0.000826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HYPERLINK("http://141.218.60.56/~jnz1568/getInfo.php?workbook=11_02.xlsx&amp;sheet=U0&amp;row=1715&amp;col=6&amp;number=4.1&amp;sourceID=14","4.1")</f>
        <v>4.1</v>
      </c>
      <c r="G1715" s="4" t="str">
        <f>HYPERLINK("http://141.218.60.56/~jnz1568/getInfo.php?workbook=11_02.xlsx&amp;sheet=U0&amp;row=1715&amp;col=7&amp;number=0.000825&amp;sourceID=14","0.000825")</f>
        <v>0.000825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HYPERLINK("http://141.218.60.56/~jnz1568/getInfo.php?workbook=11_02.xlsx&amp;sheet=U0&amp;row=1716&amp;col=6&amp;number=4.2&amp;sourceID=14","4.2")</f>
        <v>4.2</v>
      </c>
      <c r="G1716" s="4" t="str">
        <f>HYPERLINK("http://141.218.60.56/~jnz1568/getInfo.php?workbook=11_02.xlsx&amp;sheet=U0&amp;row=1716&amp;col=7&amp;number=0.000824&amp;sourceID=14","0.000824")</f>
        <v>0.000824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HYPERLINK("http://141.218.60.56/~jnz1568/getInfo.php?workbook=11_02.xlsx&amp;sheet=U0&amp;row=1717&amp;col=6&amp;number=4.3&amp;sourceID=14","4.3")</f>
        <v>4.3</v>
      </c>
      <c r="G1717" s="4" t="str">
        <f>HYPERLINK("http://141.218.60.56/~jnz1568/getInfo.php?workbook=11_02.xlsx&amp;sheet=U0&amp;row=1717&amp;col=7&amp;number=0.000822&amp;sourceID=14","0.000822")</f>
        <v>0.000822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HYPERLINK("http://141.218.60.56/~jnz1568/getInfo.php?workbook=11_02.xlsx&amp;sheet=U0&amp;row=1718&amp;col=6&amp;number=4.4&amp;sourceID=14","4.4")</f>
        <v>4.4</v>
      </c>
      <c r="G1718" s="4" t="str">
        <f>HYPERLINK("http://141.218.60.56/~jnz1568/getInfo.php?workbook=11_02.xlsx&amp;sheet=U0&amp;row=1718&amp;col=7&amp;number=0.000821&amp;sourceID=14","0.000821")</f>
        <v>0.000821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HYPERLINK("http://141.218.60.56/~jnz1568/getInfo.php?workbook=11_02.xlsx&amp;sheet=U0&amp;row=1719&amp;col=6&amp;number=4.5&amp;sourceID=14","4.5")</f>
        <v>4.5</v>
      </c>
      <c r="G1719" s="4" t="str">
        <f>HYPERLINK("http://141.218.60.56/~jnz1568/getInfo.php?workbook=11_02.xlsx&amp;sheet=U0&amp;row=1719&amp;col=7&amp;number=0.000819&amp;sourceID=14","0.000819")</f>
        <v>0.000819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HYPERLINK("http://141.218.60.56/~jnz1568/getInfo.php?workbook=11_02.xlsx&amp;sheet=U0&amp;row=1720&amp;col=6&amp;number=4.6&amp;sourceID=14","4.6")</f>
        <v>4.6</v>
      </c>
      <c r="G1720" s="4" t="str">
        <f>HYPERLINK("http://141.218.60.56/~jnz1568/getInfo.php?workbook=11_02.xlsx&amp;sheet=U0&amp;row=1720&amp;col=7&amp;number=0.000816&amp;sourceID=14","0.000816")</f>
        <v>0.000816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HYPERLINK("http://141.218.60.56/~jnz1568/getInfo.php?workbook=11_02.xlsx&amp;sheet=U0&amp;row=1721&amp;col=6&amp;number=4.7&amp;sourceID=14","4.7")</f>
        <v>4.7</v>
      </c>
      <c r="G1721" s="4" t="str">
        <f>HYPERLINK("http://141.218.60.56/~jnz1568/getInfo.php?workbook=11_02.xlsx&amp;sheet=U0&amp;row=1721&amp;col=7&amp;number=0.000812&amp;sourceID=14","0.000812")</f>
        <v>0.000812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HYPERLINK("http://141.218.60.56/~jnz1568/getInfo.php?workbook=11_02.xlsx&amp;sheet=U0&amp;row=1722&amp;col=6&amp;number=4.8&amp;sourceID=14","4.8")</f>
        <v>4.8</v>
      </c>
      <c r="G1722" s="4" t="str">
        <f>HYPERLINK("http://141.218.60.56/~jnz1568/getInfo.php?workbook=11_02.xlsx&amp;sheet=U0&amp;row=1722&amp;col=7&amp;number=0.000808&amp;sourceID=14","0.000808")</f>
        <v>0.000808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HYPERLINK("http://141.218.60.56/~jnz1568/getInfo.php?workbook=11_02.xlsx&amp;sheet=U0&amp;row=1723&amp;col=6&amp;number=4.9&amp;sourceID=14","4.9")</f>
        <v>4.9</v>
      </c>
      <c r="G1723" s="4" t="str">
        <f>HYPERLINK("http://141.218.60.56/~jnz1568/getInfo.php?workbook=11_02.xlsx&amp;sheet=U0&amp;row=1723&amp;col=7&amp;number=0.000803&amp;sourceID=14","0.000803")</f>
        <v>0.000803</v>
      </c>
    </row>
    <row r="1724" spans="1:7">
      <c r="A1724" s="3">
        <v>11</v>
      </c>
      <c r="B1724" s="3">
        <v>2</v>
      </c>
      <c r="C1724" s="3">
        <v>6</v>
      </c>
      <c r="D1724" s="3">
        <v>41</v>
      </c>
      <c r="E1724" s="3">
        <v>1</v>
      </c>
      <c r="F1724" s="4" t="str">
        <f>HYPERLINK("http://141.218.60.56/~jnz1568/getInfo.php?workbook=11_02.xlsx&amp;sheet=U0&amp;row=1724&amp;col=6&amp;number=3&amp;sourceID=14","3")</f>
        <v>3</v>
      </c>
      <c r="G1724" s="4" t="str">
        <f>HYPERLINK("http://141.218.60.56/~jnz1568/getInfo.php?workbook=11_02.xlsx&amp;sheet=U0&amp;row=1724&amp;col=7&amp;number=0.00156&amp;sourceID=14","0.00156")</f>
        <v>0.00156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HYPERLINK("http://141.218.60.56/~jnz1568/getInfo.php?workbook=11_02.xlsx&amp;sheet=U0&amp;row=1725&amp;col=6&amp;number=3.1&amp;sourceID=14","3.1")</f>
        <v>3.1</v>
      </c>
      <c r="G1725" s="4" t="str">
        <f>HYPERLINK("http://141.218.60.56/~jnz1568/getInfo.php?workbook=11_02.xlsx&amp;sheet=U0&amp;row=1725&amp;col=7&amp;number=0.00156&amp;sourceID=14","0.00156")</f>
        <v>0.00156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HYPERLINK("http://141.218.60.56/~jnz1568/getInfo.php?workbook=11_02.xlsx&amp;sheet=U0&amp;row=1726&amp;col=6&amp;number=3.2&amp;sourceID=14","3.2")</f>
        <v>3.2</v>
      </c>
      <c r="G1726" s="4" t="str">
        <f>HYPERLINK("http://141.218.60.56/~jnz1568/getInfo.php?workbook=11_02.xlsx&amp;sheet=U0&amp;row=1726&amp;col=7&amp;number=0.00156&amp;sourceID=14","0.00156")</f>
        <v>0.00156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HYPERLINK("http://141.218.60.56/~jnz1568/getInfo.php?workbook=11_02.xlsx&amp;sheet=U0&amp;row=1727&amp;col=6&amp;number=3.3&amp;sourceID=14","3.3")</f>
        <v>3.3</v>
      </c>
      <c r="G1727" s="4" t="str">
        <f>HYPERLINK("http://141.218.60.56/~jnz1568/getInfo.php?workbook=11_02.xlsx&amp;sheet=U0&amp;row=1727&amp;col=7&amp;number=0.00156&amp;sourceID=14","0.00156")</f>
        <v>0.00156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HYPERLINK("http://141.218.60.56/~jnz1568/getInfo.php?workbook=11_02.xlsx&amp;sheet=U0&amp;row=1728&amp;col=6&amp;number=3.4&amp;sourceID=14","3.4")</f>
        <v>3.4</v>
      </c>
      <c r="G1728" s="4" t="str">
        <f>HYPERLINK("http://141.218.60.56/~jnz1568/getInfo.php?workbook=11_02.xlsx&amp;sheet=U0&amp;row=1728&amp;col=7&amp;number=0.00156&amp;sourceID=14","0.00156")</f>
        <v>0.00156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HYPERLINK("http://141.218.60.56/~jnz1568/getInfo.php?workbook=11_02.xlsx&amp;sheet=U0&amp;row=1729&amp;col=6&amp;number=3.5&amp;sourceID=14","3.5")</f>
        <v>3.5</v>
      </c>
      <c r="G1729" s="4" t="str">
        <f>HYPERLINK("http://141.218.60.56/~jnz1568/getInfo.php?workbook=11_02.xlsx&amp;sheet=U0&amp;row=1729&amp;col=7&amp;number=0.00156&amp;sourceID=14","0.00156")</f>
        <v>0.00156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HYPERLINK("http://141.218.60.56/~jnz1568/getInfo.php?workbook=11_02.xlsx&amp;sheet=U0&amp;row=1730&amp;col=6&amp;number=3.6&amp;sourceID=14","3.6")</f>
        <v>3.6</v>
      </c>
      <c r="G1730" s="4" t="str">
        <f>HYPERLINK("http://141.218.60.56/~jnz1568/getInfo.php?workbook=11_02.xlsx&amp;sheet=U0&amp;row=1730&amp;col=7&amp;number=0.00156&amp;sourceID=14","0.00156")</f>
        <v>0.00156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HYPERLINK("http://141.218.60.56/~jnz1568/getInfo.php?workbook=11_02.xlsx&amp;sheet=U0&amp;row=1731&amp;col=6&amp;number=3.7&amp;sourceID=14","3.7")</f>
        <v>3.7</v>
      </c>
      <c r="G1731" s="4" t="str">
        <f>HYPERLINK("http://141.218.60.56/~jnz1568/getInfo.php?workbook=11_02.xlsx&amp;sheet=U0&amp;row=1731&amp;col=7&amp;number=0.00156&amp;sourceID=14","0.00156")</f>
        <v>0.00156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HYPERLINK("http://141.218.60.56/~jnz1568/getInfo.php?workbook=11_02.xlsx&amp;sheet=U0&amp;row=1732&amp;col=6&amp;number=3.8&amp;sourceID=14","3.8")</f>
        <v>3.8</v>
      </c>
      <c r="G1732" s="4" t="str">
        <f>HYPERLINK("http://141.218.60.56/~jnz1568/getInfo.php?workbook=11_02.xlsx&amp;sheet=U0&amp;row=1732&amp;col=7&amp;number=0.00156&amp;sourceID=14","0.00156")</f>
        <v>0.00156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HYPERLINK("http://141.218.60.56/~jnz1568/getInfo.php?workbook=11_02.xlsx&amp;sheet=U0&amp;row=1733&amp;col=6&amp;number=3.9&amp;sourceID=14","3.9")</f>
        <v>3.9</v>
      </c>
      <c r="G1733" s="4" t="str">
        <f>HYPERLINK("http://141.218.60.56/~jnz1568/getInfo.php?workbook=11_02.xlsx&amp;sheet=U0&amp;row=1733&amp;col=7&amp;number=0.00156&amp;sourceID=14","0.00156")</f>
        <v>0.00156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HYPERLINK("http://141.218.60.56/~jnz1568/getInfo.php?workbook=11_02.xlsx&amp;sheet=U0&amp;row=1734&amp;col=6&amp;number=4&amp;sourceID=14","4")</f>
        <v>4</v>
      </c>
      <c r="G1734" s="4" t="str">
        <f>HYPERLINK("http://141.218.60.56/~jnz1568/getInfo.php?workbook=11_02.xlsx&amp;sheet=U0&amp;row=1734&amp;col=7&amp;number=0.00156&amp;sourceID=14","0.00156")</f>
        <v>0.00156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HYPERLINK("http://141.218.60.56/~jnz1568/getInfo.php?workbook=11_02.xlsx&amp;sheet=U0&amp;row=1735&amp;col=6&amp;number=4.1&amp;sourceID=14","4.1")</f>
        <v>4.1</v>
      </c>
      <c r="G1735" s="4" t="str">
        <f>HYPERLINK("http://141.218.60.56/~jnz1568/getInfo.php?workbook=11_02.xlsx&amp;sheet=U0&amp;row=1735&amp;col=7&amp;number=0.00156&amp;sourceID=14","0.00156")</f>
        <v>0.00156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HYPERLINK("http://141.218.60.56/~jnz1568/getInfo.php?workbook=11_02.xlsx&amp;sheet=U0&amp;row=1736&amp;col=6&amp;number=4.2&amp;sourceID=14","4.2")</f>
        <v>4.2</v>
      </c>
      <c r="G1736" s="4" t="str">
        <f>HYPERLINK("http://141.218.60.56/~jnz1568/getInfo.php?workbook=11_02.xlsx&amp;sheet=U0&amp;row=1736&amp;col=7&amp;number=0.00156&amp;sourceID=14","0.00156")</f>
        <v>0.00156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HYPERLINK("http://141.218.60.56/~jnz1568/getInfo.php?workbook=11_02.xlsx&amp;sheet=U0&amp;row=1737&amp;col=6&amp;number=4.3&amp;sourceID=14","4.3")</f>
        <v>4.3</v>
      </c>
      <c r="G1737" s="4" t="str">
        <f>HYPERLINK("http://141.218.60.56/~jnz1568/getInfo.php?workbook=11_02.xlsx&amp;sheet=U0&amp;row=1737&amp;col=7&amp;number=0.00156&amp;sourceID=14","0.00156")</f>
        <v>0.00156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HYPERLINK("http://141.218.60.56/~jnz1568/getInfo.php?workbook=11_02.xlsx&amp;sheet=U0&amp;row=1738&amp;col=6&amp;number=4.4&amp;sourceID=14","4.4")</f>
        <v>4.4</v>
      </c>
      <c r="G1738" s="4" t="str">
        <f>HYPERLINK("http://141.218.60.56/~jnz1568/getInfo.php?workbook=11_02.xlsx&amp;sheet=U0&amp;row=1738&amp;col=7&amp;number=0.00156&amp;sourceID=14","0.00156")</f>
        <v>0.00156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HYPERLINK("http://141.218.60.56/~jnz1568/getInfo.php?workbook=11_02.xlsx&amp;sheet=U0&amp;row=1739&amp;col=6&amp;number=4.5&amp;sourceID=14","4.5")</f>
        <v>4.5</v>
      </c>
      <c r="G1739" s="4" t="str">
        <f>HYPERLINK("http://141.218.60.56/~jnz1568/getInfo.php?workbook=11_02.xlsx&amp;sheet=U0&amp;row=1739&amp;col=7&amp;number=0.00156&amp;sourceID=14","0.00156")</f>
        <v>0.00156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HYPERLINK("http://141.218.60.56/~jnz1568/getInfo.php?workbook=11_02.xlsx&amp;sheet=U0&amp;row=1740&amp;col=6&amp;number=4.6&amp;sourceID=14","4.6")</f>
        <v>4.6</v>
      </c>
      <c r="G1740" s="4" t="str">
        <f>HYPERLINK("http://141.218.60.56/~jnz1568/getInfo.php?workbook=11_02.xlsx&amp;sheet=U0&amp;row=1740&amp;col=7&amp;number=0.00155&amp;sourceID=14","0.00155")</f>
        <v>0.00155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HYPERLINK("http://141.218.60.56/~jnz1568/getInfo.php?workbook=11_02.xlsx&amp;sheet=U0&amp;row=1741&amp;col=6&amp;number=4.7&amp;sourceID=14","4.7")</f>
        <v>4.7</v>
      </c>
      <c r="G1741" s="4" t="str">
        <f>HYPERLINK("http://141.218.60.56/~jnz1568/getInfo.php?workbook=11_02.xlsx&amp;sheet=U0&amp;row=1741&amp;col=7&amp;number=0.00155&amp;sourceID=14","0.00155")</f>
        <v>0.00155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HYPERLINK("http://141.218.60.56/~jnz1568/getInfo.php?workbook=11_02.xlsx&amp;sheet=U0&amp;row=1742&amp;col=6&amp;number=4.8&amp;sourceID=14","4.8")</f>
        <v>4.8</v>
      </c>
      <c r="G1742" s="4" t="str">
        <f>HYPERLINK("http://141.218.60.56/~jnz1568/getInfo.php?workbook=11_02.xlsx&amp;sheet=U0&amp;row=1742&amp;col=7&amp;number=0.00155&amp;sourceID=14","0.00155")</f>
        <v>0.00155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HYPERLINK("http://141.218.60.56/~jnz1568/getInfo.php?workbook=11_02.xlsx&amp;sheet=U0&amp;row=1743&amp;col=6&amp;number=4.9&amp;sourceID=14","4.9")</f>
        <v>4.9</v>
      </c>
      <c r="G1743" s="4" t="str">
        <f>HYPERLINK("http://141.218.60.56/~jnz1568/getInfo.php?workbook=11_02.xlsx&amp;sheet=U0&amp;row=1743&amp;col=7&amp;number=0.00155&amp;sourceID=14","0.00155")</f>
        <v>0.00155</v>
      </c>
    </row>
    <row r="1744" spans="1:7">
      <c r="A1744" s="3">
        <v>11</v>
      </c>
      <c r="B1744" s="3">
        <v>2</v>
      </c>
      <c r="C1744" s="3">
        <v>6</v>
      </c>
      <c r="D1744" s="3">
        <v>42</v>
      </c>
      <c r="E1744" s="3">
        <v>1</v>
      </c>
      <c r="F1744" s="4" t="str">
        <f>HYPERLINK("http://141.218.60.56/~jnz1568/getInfo.php?workbook=11_02.xlsx&amp;sheet=U0&amp;row=1744&amp;col=6&amp;number=3&amp;sourceID=14","3")</f>
        <v>3</v>
      </c>
      <c r="G1744" s="4" t="str">
        <f>HYPERLINK("http://141.218.60.56/~jnz1568/getInfo.php?workbook=11_02.xlsx&amp;sheet=U0&amp;row=1744&amp;col=7&amp;number=0.00151&amp;sourceID=14","0.00151")</f>
        <v>0.00151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HYPERLINK("http://141.218.60.56/~jnz1568/getInfo.php?workbook=11_02.xlsx&amp;sheet=U0&amp;row=1745&amp;col=6&amp;number=3.1&amp;sourceID=14","3.1")</f>
        <v>3.1</v>
      </c>
      <c r="G1745" s="4" t="str">
        <f>HYPERLINK("http://141.218.60.56/~jnz1568/getInfo.php?workbook=11_02.xlsx&amp;sheet=U0&amp;row=1745&amp;col=7&amp;number=0.00151&amp;sourceID=14","0.00151")</f>
        <v>0.00151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HYPERLINK("http://141.218.60.56/~jnz1568/getInfo.php?workbook=11_02.xlsx&amp;sheet=U0&amp;row=1746&amp;col=6&amp;number=3.2&amp;sourceID=14","3.2")</f>
        <v>3.2</v>
      </c>
      <c r="G1746" s="4" t="str">
        <f>HYPERLINK("http://141.218.60.56/~jnz1568/getInfo.php?workbook=11_02.xlsx&amp;sheet=U0&amp;row=1746&amp;col=7&amp;number=0.0015&amp;sourceID=14","0.0015")</f>
        <v>0.0015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HYPERLINK("http://141.218.60.56/~jnz1568/getInfo.php?workbook=11_02.xlsx&amp;sheet=U0&amp;row=1747&amp;col=6&amp;number=3.3&amp;sourceID=14","3.3")</f>
        <v>3.3</v>
      </c>
      <c r="G1747" s="4" t="str">
        <f>HYPERLINK("http://141.218.60.56/~jnz1568/getInfo.php?workbook=11_02.xlsx&amp;sheet=U0&amp;row=1747&amp;col=7&amp;number=0.0015&amp;sourceID=14","0.0015")</f>
        <v>0.0015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HYPERLINK("http://141.218.60.56/~jnz1568/getInfo.php?workbook=11_02.xlsx&amp;sheet=U0&amp;row=1748&amp;col=6&amp;number=3.4&amp;sourceID=14","3.4")</f>
        <v>3.4</v>
      </c>
      <c r="G1748" s="4" t="str">
        <f>HYPERLINK("http://141.218.60.56/~jnz1568/getInfo.php?workbook=11_02.xlsx&amp;sheet=U0&amp;row=1748&amp;col=7&amp;number=0.0015&amp;sourceID=14","0.0015")</f>
        <v>0.0015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HYPERLINK("http://141.218.60.56/~jnz1568/getInfo.php?workbook=11_02.xlsx&amp;sheet=U0&amp;row=1749&amp;col=6&amp;number=3.5&amp;sourceID=14","3.5")</f>
        <v>3.5</v>
      </c>
      <c r="G1749" s="4" t="str">
        <f>HYPERLINK("http://141.218.60.56/~jnz1568/getInfo.php?workbook=11_02.xlsx&amp;sheet=U0&amp;row=1749&amp;col=7&amp;number=0.0015&amp;sourceID=14","0.0015")</f>
        <v>0.0015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HYPERLINK("http://141.218.60.56/~jnz1568/getInfo.php?workbook=11_02.xlsx&amp;sheet=U0&amp;row=1750&amp;col=6&amp;number=3.6&amp;sourceID=14","3.6")</f>
        <v>3.6</v>
      </c>
      <c r="G1750" s="4" t="str">
        <f>HYPERLINK("http://141.218.60.56/~jnz1568/getInfo.php?workbook=11_02.xlsx&amp;sheet=U0&amp;row=1750&amp;col=7&amp;number=0.0015&amp;sourceID=14","0.0015")</f>
        <v>0.0015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HYPERLINK("http://141.218.60.56/~jnz1568/getInfo.php?workbook=11_02.xlsx&amp;sheet=U0&amp;row=1751&amp;col=6&amp;number=3.7&amp;sourceID=14","3.7")</f>
        <v>3.7</v>
      </c>
      <c r="G1751" s="4" t="str">
        <f>HYPERLINK("http://141.218.60.56/~jnz1568/getInfo.php?workbook=11_02.xlsx&amp;sheet=U0&amp;row=1751&amp;col=7&amp;number=0.0015&amp;sourceID=14","0.0015")</f>
        <v>0.0015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HYPERLINK("http://141.218.60.56/~jnz1568/getInfo.php?workbook=11_02.xlsx&amp;sheet=U0&amp;row=1752&amp;col=6&amp;number=3.8&amp;sourceID=14","3.8")</f>
        <v>3.8</v>
      </c>
      <c r="G1752" s="4" t="str">
        <f>HYPERLINK("http://141.218.60.56/~jnz1568/getInfo.php?workbook=11_02.xlsx&amp;sheet=U0&amp;row=1752&amp;col=7&amp;number=0.0015&amp;sourceID=14","0.0015")</f>
        <v>0.0015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HYPERLINK("http://141.218.60.56/~jnz1568/getInfo.php?workbook=11_02.xlsx&amp;sheet=U0&amp;row=1753&amp;col=6&amp;number=3.9&amp;sourceID=14","3.9")</f>
        <v>3.9</v>
      </c>
      <c r="G1753" s="4" t="str">
        <f>HYPERLINK("http://141.218.60.56/~jnz1568/getInfo.php?workbook=11_02.xlsx&amp;sheet=U0&amp;row=1753&amp;col=7&amp;number=0.0015&amp;sourceID=14","0.0015")</f>
        <v>0.0015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HYPERLINK("http://141.218.60.56/~jnz1568/getInfo.php?workbook=11_02.xlsx&amp;sheet=U0&amp;row=1754&amp;col=6&amp;number=4&amp;sourceID=14","4")</f>
        <v>4</v>
      </c>
      <c r="G1754" s="4" t="str">
        <f>HYPERLINK("http://141.218.60.56/~jnz1568/getInfo.php?workbook=11_02.xlsx&amp;sheet=U0&amp;row=1754&amp;col=7&amp;number=0.0015&amp;sourceID=14","0.0015")</f>
        <v>0.0015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HYPERLINK("http://141.218.60.56/~jnz1568/getInfo.php?workbook=11_02.xlsx&amp;sheet=U0&amp;row=1755&amp;col=6&amp;number=4.1&amp;sourceID=14","4.1")</f>
        <v>4.1</v>
      </c>
      <c r="G1755" s="4" t="str">
        <f>HYPERLINK("http://141.218.60.56/~jnz1568/getInfo.php?workbook=11_02.xlsx&amp;sheet=U0&amp;row=1755&amp;col=7&amp;number=0.0015&amp;sourceID=14","0.0015")</f>
        <v>0.0015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HYPERLINK("http://141.218.60.56/~jnz1568/getInfo.php?workbook=11_02.xlsx&amp;sheet=U0&amp;row=1756&amp;col=6&amp;number=4.2&amp;sourceID=14","4.2")</f>
        <v>4.2</v>
      </c>
      <c r="G1756" s="4" t="str">
        <f>HYPERLINK("http://141.218.60.56/~jnz1568/getInfo.php?workbook=11_02.xlsx&amp;sheet=U0&amp;row=1756&amp;col=7&amp;number=0.00149&amp;sourceID=14","0.00149")</f>
        <v>0.00149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HYPERLINK("http://141.218.60.56/~jnz1568/getInfo.php?workbook=11_02.xlsx&amp;sheet=U0&amp;row=1757&amp;col=6&amp;number=4.3&amp;sourceID=14","4.3")</f>
        <v>4.3</v>
      </c>
      <c r="G1757" s="4" t="str">
        <f>HYPERLINK("http://141.218.60.56/~jnz1568/getInfo.php?workbook=11_02.xlsx&amp;sheet=U0&amp;row=1757&amp;col=7&amp;number=0.00149&amp;sourceID=14","0.00149")</f>
        <v>0.00149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HYPERLINK("http://141.218.60.56/~jnz1568/getInfo.php?workbook=11_02.xlsx&amp;sheet=U0&amp;row=1758&amp;col=6&amp;number=4.4&amp;sourceID=14","4.4")</f>
        <v>4.4</v>
      </c>
      <c r="G1758" s="4" t="str">
        <f>HYPERLINK("http://141.218.60.56/~jnz1568/getInfo.php?workbook=11_02.xlsx&amp;sheet=U0&amp;row=1758&amp;col=7&amp;number=0.00149&amp;sourceID=14","0.00149")</f>
        <v>0.00149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HYPERLINK("http://141.218.60.56/~jnz1568/getInfo.php?workbook=11_02.xlsx&amp;sheet=U0&amp;row=1759&amp;col=6&amp;number=4.5&amp;sourceID=14","4.5")</f>
        <v>4.5</v>
      </c>
      <c r="G1759" s="4" t="str">
        <f>HYPERLINK("http://141.218.60.56/~jnz1568/getInfo.php?workbook=11_02.xlsx&amp;sheet=U0&amp;row=1759&amp;col=7&amp;number=0.00148&amp;sourceID=14","0.00148")</f>
        <v>0.00148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HYPERLINK("http://141.218.60.56/~jnz1568/getInfo.php?workbook=11_02.xlsx&amp;sheet=U0&amp;row=1760&amp;col=6&amp;number=4.6&amp;sourceID=14","4.6")</f>
        <v>4.6</v>
      </c>
      <c r="G1760" s="4" t="str">
        <f>HYPERLINK("http://141.218.60.56/~jnz1568/getInfo.php?workbook=11_02.xlsx&amp;sheet=U0&amp;row=1760&amp;col=7&amp;number=0.00148&amp;sourceID=14","0.00148")</f>
        <v>0.00148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HYPERLINK("http://141.218.60.56/~jnz1568/getInfo.php?workbook=11_02.xlsx&amp;sheet=U0&amp;row=1761&amp;col=6&amp;number=4.7&amp;sourceID=14","4.7")</f>
        <v>4.7</v>
      </c>
      <c r="G1761" s="4" t="str">
        <f>HYPERLINK("http://141.218.60.56/~jnz1568/getInfo.php?workbook=11_02.xlsx&amp;sheet=U0&amp;row=1761&amp;col=7&amp;number=0.00147&amp;sourceID=14","0.00147")</f>
        <v>0.00147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HYPERLINK("http://141.218.60.56/~jnz1568/getInfo.php?workbook=11_02.xlsx&amp;sheet=U0&amp;row=1762&amp;col=6&amp;number=4.8&amp;sourceID=14","4.8")</f>
        <v>4.8</v>
      </c>
      <c r="G1762" s="4" t="str">
        <f>HYPERLINK("http://141.218.60.56/~jnz1568/getInfo.php?workbook=11_02.xlsx&amp;sheet=U0&amp;row=1762&amp;col=7&amp;number=0.00146&amp;sourceID=14","0.00146")</f>
        <v>0.00146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HYPERLINK("http://141.218.60.56/~jnz1568/getInfo.php?workbook=11_02.xlsx&amp;sheet=U0&amp;row=1763&amp;col=6&amp;number=4.9&amp;sourceID=14","4.9")</f>
        <v>4.9</v>
      </c>
      <c r="G1763" s="4" t="str">
        <f>HYPERLINK("http://141.218.60.56/~jnz1568/getInfo.php?workbook=11_02.xlsx&amp;sheet=U0&amp;row=1763&amp;col=7&amp;number=0.00145&amp;sourceID=14","0.00145")</f>
        <v>0.00145</v>
      </c>
    </row>
    <row r="1764" spans="1:7">
      <c r="A1764" s="3">
        <v>11</v>
      </c>
      <c r="B1764" s="3">
        <v>2</v>
      </c>
      <c r="C1764" s="3">
        <v>6</v>
      </c>
      <c r="D1764" s="3">
        <v>43</v>
      </c>
      <c r="E1764" s="3">
        <v>1</v>
      </c>
      <c r="F1764" s="4" t="str">
        <f>HYPERLINK("http://141.218.60.56/~jnz1568/getInfo.php?workbook=11_02.xlsx&amp;sheet=U0&amp;row=1764&amp;col=6&amp;number=3&amp;sourceID=14","3")</f>
        <v>3</v>
      </c>
      <c r="G1764" s="4" t="str">
        <f>HYPERLINK("http://141.218.60.56/~jnz1568/getInfo.php?workbook=11_02.xlsx&amp;sheet=U0&amp;row=1764&amp;col=7&amp;number=0.00182&amp;sourceID=14","0.00182")</f>
        <v>0.00182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HYPERLINK("http://141.218.60.56/~jnz1568/getInfo.php?workbook=11_02.xlsx&amp;sheet=U0&amp;row=1765&amp;col=6&amp;number=3.1&amp;sourceID=14","3.1")</f>
        <v>3.1</v>
      </c>
      <c r="G1765" s="4" t="str">
        <f>HYPERLINK("http://141.218.60.56/~jnz1568/getInfo.php?workbook=11_02.xlsx&amp;sheet=U0&amp;row=1765&amp;col=7&amp;number=0.00182&amp;sourceID=14","0.00182")</f>
        <v>0.00182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HYPERLINK("http://141.218.60.56/~jnz1568/getInfo.php?workbook=11_02.xlsx&amp;sheet=U0&amp;row=1766&amp;col=6&amp;number=3.2&amp;sourceID=14","3.2")</f>
        <v>3.2</v>
      </c>
      <c r="G1766" s="4" t="str">
        <f>HYPERLINK("http://141.218.60.56/~jnz1568/getInfo.php?workbook=11_02.xlsx&amp;sheet=U0&amp;row=1766&amp;col=7&amp;number=0.00182&amp;sourceID=14","0.00182")</f>
        <v>0.00182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HYPERLINK("http://141.218.60.56/~jnz1568/getInfo.php?workbook=11_02.xlsx&amp;sheet=U0&amp;row=1767&amp;col=6&amp;number=3.3&amp;sourceID=14","3.3")</f>
        <v>3.3</v>
      </c>
      <c r="G1767" s="4" t="str">
        <f>HYPERLINK("http://141.218.60.56/~jnz1568/getInfo.php?workbook=11_02.xlsx&amp;sheet=U0&amp;row=1767&amp;col=7&amp;number=0.00182&amp;sourceID=14","0.00182")</f>
        <v>0.00182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HYPERLINK("http://141.218.60.56/~jnz1568/getInfo.php?workbook=11_02.xlsx&amp;sheet=U0&amp;row=1768&amp;col=6&amp;number=3.4&amp;sourceID=14","3.4")</f>
        <v>3.4</v>
      </c>
      <c r="G1768" s="4" t="str">
        <f>HYPERLINK("http://141.218.60.56/~jnz1568/getInfo.php?workbook=11_02.xlsx&amp;sheet=U0&amp;row=1768&amp;col=7&amp;number=0.00182&amp;sourceID=14","0.00182")</f>
        <v>0.00182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HYPERLINK("http://141.218.60.56/~jnz1568/getInfo.php?workbook=11_02.xlsx&amp;sheet=U0&amp;row=1769&amp;col=6&amp;number=3.5&amp;sourceID=14","3.5")</f>
        <v>3.5</v>
      </c>
      <c r="G1769" s="4" t="str">
        <f>HYPERLINK("http://141.218.60.56/~jnz1568/getInfo.php?workbook=11_02.xlsx&amp;sheet=U0&amp;row=1769&amp;col=7&amp;number=0.00182&amp;sourceID=14","0.00182")</f>
        <v>0.00182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HYPERLINK("http://141.218.60.56/~jnz1568/getInfo.php?workbook=11_02.xlsx&amp;sheet=U0&amp;row=1770&amp;col=6&amp;number=3.6&amp;sourceID=14","3.6")</f>
        <v>3.6</v>
      </c>
      <c r="G1770" s="4" t="str">
        <f>HYPERLINK("http://141.218.60.56/~jnz1568/getInfo.php?workbook=11_02.xlsx&amp;sheet=U0&amp;row=1770&amp;col=7&amp;number=0.00182&amp;sourceID=14","0.00182")</f>
        <v>0.00182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HYPERLINK("http://141.218.60.56/~jnz1568/getInfo.php?workbook=11_02.xlsx&amp;sheet=U0&amp;row=1771&amp;col=6&amp;number=3.7&amp;sourceID=14","3.7")</f>
        <v>3.7</v>
      </c>
      <c r="G1771" s="4" t="str">
        <f>HYPERLINK("http://141.218.60.56/~jnz1568/getInfo.php?workbook=11_02.xlsx&amp;sheet=U0&amp;row=1771&amp;col=7&amp;number=0.00182&amp;sourceID=14","0.00182")</f>
        <v>0.00182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HYPERLINK("http://141.218.60.56/~jnz1568/getInfo.php?workbook=11_02.xlsx&amp;sheet=U0&amp;row=1772&amp;col=6&amp;number=3.8&amp;sourceID=14","3.8")</f>
        <v>3.8</v>
      </c>
      <c r="G1772" s="4" t="str">
        <f>HYPERLINK("http://141.218.60.56/~jnz1568/getInfo.php?workbook=11_02.xlsx&amp;sheet=U0&amp;row=1772&amp;col=7&amp;number=0.00182&amp;sourceID=14","0.00182")</f>
        <v>0.00182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HYPERLINK("http://141.218.60.56/~jnz1568/getInfo.php?workbook=11_02.xlsx&amp;sheet=U0&amp;row=1773&amp;col=6&amp;number=3.9&amp;sourceID=14","3.9")</f>
        <v>3.9</v>
      </c>
      <c r="G1773" s="4" t="str">
        <f>HYPERLINK("http://141.218.60.56/~jnz1568/getInfo.php?workbook=11_02.xlsx&amp;sheet=U0&amp;row=1773&amp;col=7&amp;number=0.00182&amp;sourceID=14","0.00182")</f>
        <v>0.00182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HYPERLINK("http://141.218.60.56/~jnz1568/getInfo.php?workbook=11_02.xlsx&amp;sheet=U0&amp;row=1774&amp;col=6&amp;number=4&amp;sourceID=14","4")</f>
        <v>4</v>
      </c>
      <c r="G1774" s="4" t="str">
        <f>HYPERLINK("http://141.218.60.56/~jnz1568/getInfo.php?workbook=11_02.xlsx&amp;sheet=U0&amp;row=1774&amp;col=7&amp;number=0.00182&amp;sourceID=14","0.00182")</f>
        <v>0.00182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HYPERLINK("http://141.218.60.56/~jnz1568/getInfo.php?workbook=11_02.xlsx&amp;sheet=U0&amp;row=1775&amp;col=6&amp;number=4.1&amp;sourceID=14","4.1")</f>
        <v>4.1</v>
      </c>
      <c r="G1775" s="4" t="str">
        <f>HYPERLINK("http://141.218.60.56/~jnz1568/getInfo.php?workbook=11_02.xlsx&amp;sheet=U0&amp;row=1775&amp;col=7&amp;number=0.00182&amp;sourceID=14","0.00182")</f>
        <v>0.00182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HYPERLINK("http://141.218.60.56/~jnz1568/getInfo.php?workbook=11_02.xlsx&amp;sheet=U0&amp;row=1776&amp;col=6&amp;number=4.2&amp;sourceID=14","4.2")</f>
        <v>4.2</v>
      </c>
      <c r="G1776" s="4" t="str">
        <f>HYPERLINK("http://141.218.60.56/~jnz1568/getInfo.php?workbook=11_02.xlsx&amp;sheet=U0&amp;row=1776&amp;col=7&amp;number=0.00182&amp;sourceID=14","0.00182")</f>
        <v>0.00182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HYPERLINK("http://141.218.60.56/~jnz1568/getInfo.php?workbook=11_02.xlsx&amp;sheet=U0&amp;row=1777&amp;col=6&amp;number=4.3&amp;sourceID=14","4.3")</f>
        <v>4.3</v>
      </c>
      <c r="G1777" s="4" t="str">
        <f>HYPERLINK("http://141.218.60.56/~jnz1568/getInfo.php?workbook=11_02.xlsx&amp;sheet=U0&amp;row=1777&amp;col=7&amp;number=0.00182&amp;sourceID=14","0.00182")</f>
        <v>0.00182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HYPERLINK("http://141.218.60.56/~jnz1568/getInfo.php?workbook=11_02.xlsx&amp;sheet=U0&amp;row=1778&amp;col=6&amp;number=4.4&amp;sourceID=14","4.4")</f>
        <v>4.4</v>
      </c>
      <c r="G1778" s="4" t="str">
        <f>HYPERLINK("http://141.218.60.56/~jnz1568/getInfo.php?workbook=11_02.xlsx&amp;sheet=U0&amp;row=1778&amp;col=7&amp;number=0.00182&amp;sourceID=14","0.00182")</f>
        <v>0.00182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HYPERLINK("http://141.218.60.56/~jnz1568/getInfo.php?workbook=11_02.xlsx&amp;sheet=U0&amp;row=1779&amp;col=6&amp;number=4.5&amp;sourceID=14","4.5")</f>
        <v>4.5</v>
      </c>
      <c r="G1779" s="4" t="str">
        <f>HYPERLINK("http://141.218.60.56/~jnz1568/getInfo.php?workbook=11_02.xlsx&amp;sheet=U0&amp;row=1779&amp;col=7&amp;number=0.00183&amp;sourceID=14","0.00183")</f>
        <v>0.00183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HYPERLINK("http://141.218.60.56/~jnz1568/getInfo.php?workbook=11_02.xlsx&amp;sheet=U0&amp;row=1780&amp;col=6&amp;number=4.6&amp;sourceID=14","4.6")</f>
        <v>4.6</v>
      </c>
      <c r="G1780" s="4" t="str">
        <f>HYPERLINK("http://141.218.60.56/~jnz1568/getInfo.php?workbook=11_02.xlsx&amp;sheet=U0&amp;row=1780&amp;col=7&amp;number=0.00183&amp;sourceID=14","0.00183")</f>
        <v>0.00183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HYPERLINK("http://141.218.60.56/~jnz1568/getInfo.php?workbook=11_02.xlsx&amp;sheet=U0&amp;row=1781&amp;col=6&amp;number=4.7&amp;sourceID=14","4.7")</f>
        <v>4.7</v>
      </c>
      <c r="G1781" s="4" t="str">
        <f>HYPERLINK("http://141.218.60.56/~jnz1568/getInfo.php?workbook=11_02.xlsx&amp;sheet=U0&amp;row=1781&amp;col=7&amp;number=0.00183&amp;sourceID=14","0.00183")</f>
        <v>0.00183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HYPERLINK("http://141.218.60.56/~jnz1568/getInfo.php?workbook=11_02.xlsx&amp;sheet=U0&amp;row=1782&amp;col=6&amp;number=4.8&amp;sourceID=14","4.8")</f>
        <v>4.8</v>
      </c>
      <c r="G1782" s="4" t="str">
        <f>HYPERLINK("http://141.218.60.56/~jnz1568/getInfo.php?workbook=11_02.xlsx&amp;sheet=U0&amp;row=1782&amp;col=7&amp;number=0.00183&amp;sourceID=14","0.00183")</f>
        <v>0.00183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HYPERLINK("http://141.218.60.56/~jnz1568/getInfo.php?workbook=11_02.xlsx&amp;sheet=U0&amp;row=1783&amp;col=6&amp;number=4.9&amp;sourceID=14","4.9")</f>
        <v>4.9</v>
      </c>
      <c r="G1783" s="4" t="str">
        <f>HYPERLINK("http://141.218.60.56/~jnz1568/getInfo.php?workbook=11_02.xlsx&amp;sheet=U0&amp;row=1783&amp;col=7&amp;number=0.00183&amp;sourceID=14","0.00183")</f>
        <v>0.00183</v>
      </c>
    </row>
    <row r="1784" spans="1:7">
      <c r="A1784" s="3">
        <v>11</v>
      </c>
      <c r="B1784" s="3">
        <v>2</v>
      </c>
      <c r="C1784" s="3">
        <v>6</v>
      </c>
      <c r="D1784" s="3">
        <v>44</v>
      </c>
      <c r="E1784" s="3">
        <v>1</v>
      </c>
      <c r="F1784" s="4" t="str">
        <f>HYPERLINK("http://141.218.60.56/~jnz1568/getInfo.php?workbook=11_02.xlsx&amp;sheet=U0&amp;row=1784&amp;col=6&amp;number=3&amp;sourceID=14","3")</f>
        <v>3</v>
      </c>
      <c r="G1784" s="4" t="str">
        <f>HYPERLINK("http://141.218.60.56/~jnz1568/getInfo.php?workbook=11_02.xlsx&amp;sheet=U0&amp;row=1784&amp;col=7&amp;number=0.000158&amp;sourceID=14","0.000158")</f>
        <v>0.000158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HYPERLINK("http://141.218.60.56/~jnz1568/getInfo.php?workbook=11_02.xlsx&amp;sheet=U0&amp;row=1785&amp;col=6&amp;number=3.1&amp;sourceID=14","3.1")</f>
        <v>3.1</v>
      </c>
      <c r="G1785" s="4" t="str">
        <f>HYPERLINK("http://141.218.60.56/~jnz1568/getInfo.php?workbook=11_02.xlsx&amp;sheet=U0&amp;row=1785&amp;col=7&amp;number=0.000158&amp;sourceID=14","0.000158")</f>
        <v>0.000158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HYPERLINK("http://141.218.60.56/~jnz1568/getInfo.php?workbook=11_02.xlsx&amp;sheet=U0&amp;row=1786&amp;col=6&amp;number=3.2&amp;sourceID=14","3.2")</f>
        <v>3.2</v>
      </c>
      <c r="G1786" s="4" t="str">
        <f>HYPERLINK("http://141.218.60.56/~jnz1568/getInfo.php?workbook=11_02.xlsx&amp;sheet=U0&amp;row=1786&amp;col=7&amp;number=0.000158&amp;sourceID=14","0.000158")</f>
        <v>0.000158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HYPERLINK("http://141.218.60.56/~jnz1568/getInfo.php?workbook=11_02.xlsx&amp;sheet=U0&amp;row=1787&amp;col=6&amp;number=3.3&amp;sourceID=14","3.3")</f>
        <v>3.3</v>
      </c>
      <c r="G1787" s="4" t="str">
        <f>HYPERLINK("http://141.218.60.56/~jnz1568/getInfo.php?workbook=11_02.xlsx&amp;sheet=U0&amp;row=1787&amp;col=7&amp;number=0.000158&amp;sourceID=14","0.000158")</f>
        <v>0.000158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HYPERLINK("http://141.218.60.56/~jnz1568/getInfo.php?workbook=11_02.xlsx&amp;sheet=U0&amp;row=1788&amp;col=6&amp;number=3.4&amp;sourceID=14","3.4")</f>
        <v>3.4</v>
      </c>
      <c r="G1788" s="4" t="str">
        <f>HYPERLINK("http://141.218.60.56/~jnz1568/getInfo.php?workbook=11_02.xlsx&amp;sheet=U0&amp;row=1788&amp;col=7&amp;number=0.000158&amp;sourceID=14","0.000158")</f>
        <v>0.000158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HYPERLINK("http://141.218.60.56/~jnz1568/getInfo.php?workbook=11_02.xlsx&amp;sheet=U0&amp;row=1789&amp;col=6&amp;number=3.5&amp;sourceID=14","3.5")</f>
        <v>3.5</v>
      </c>
      <c r="G1789" s="4" t="str">
        <f>HYPERLINK("http://141.218.60.56/~jnz1568/getInfo.php?workbook=11_02.xlsx&amp;sheet=U0&amp;row=1789&amp;col=7&amp;number=0.000158&amp;sourceID=14","0.000158")</f>
        <v>0.000158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HYPERLINK("http://141.218.60.56/~jnz1568/getInfo.php?workbook=11_02.xlsx&amp;sheet=U0&amp;row=1790&amp;col=6&amp;number=3.6&amp;sourceID=14","3.6")</f>
        <v>3.6</v>
      </c>
      <c r="G1790" s="4" t="str">
        <f>HYPERLINK("http://141.218.60.56/~jnz1568/getInfo.php?workbook=11_02.xlsx&amp;sheet=U0&amp;row=1790&amp;col=7&amp;number=0.000158&amp;sourceID=14","0.000158")</f>
        <v>0.000158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HYPERLINK("http://141.218.60.56/~jnz1568/getInfo.php?workbook=11_02.xlsx&amp;sheet=U0&amp;row=1791&amp;col=6&amp;number=3.7&amp;sourceID=14","3.7")</f>
        <v>3.7</v>
      </c>
      <c r="G1791" s="4" t="str">
        <f>HYPERLINK("http://141.218.60.56/~jnz1568/getInfo.php?workbook=11_02.xlsx&amp;sheet=U0&amp;row=1791&amp;col=7&amp;number=0.000158&amp;sourceID=14","0.000158")</f>
        <v>0.000158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HYPERLINK("http://141.218.60.56/~jnz1568/getInfo.php?workbook=11_02.xlsx&amp;sheet=U0&amp;row=1792&amp;col=6&amp;number=3.8&amp;sourceID=14","3.8")</f>
        <v>3.8</v>
      </c>
      <c r="G1792" s="4" t="str">
        <f>HYPERLINK("http://141.218.60.56/~jnz1568/getInfo.php?workbook=11_02.xlsx&amp;sheet=U0&amp;row=1792&amp;col=7&amp;number=0.000158&amp;sourceID=14","0.000158")</f>
        <v>0.000158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HYPERLINK("http://141.218.60.56/~jnz1568/getInfo.php?workbook=11_02.xlsx&amp;sheet=U0&amp;row=1793&amp;col=6&amp;number=3.9&amp;sourceID=14","3.9")</f>
        <v>3.9</v>
      </c>
      <c r="G1793" s="4" t="str">
        <f>HYPERLINK("http://141.218.60.56/~jnz1568/getInfo.php?workbook=11_02.xlsx&amp;sheet=U0&amp;row=1793&amp;col=7&amp;number=0.000157&amp;sourceID=14","0.000157")</f>
        <v>0.000157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HYPERLINK("http://141.218.60.56/~jnz1568/getInfo.php?workbook=11_02.xlsx&amp;sheet=U0&amp;row=1794&amp;col=6&amp;number=4&amp;sourceID=14","4")</f>
        <v>4</v>
      </c>
      <c r="G1794" s="4" t="str">
        <f>HYPERLINK("http://141.218.60.56/~jnz1568/getInfo.php?workbook=11_02.xlsx&amp;sheet=U0&amp;row=1794&amp;col=7&amp;number=0.000157&amp;sourceID=14","0.000157")</f>
        <v>0.000157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HYPERLINK("http://141.218.60.56/~jnz1568/getInfo.php?workbook=11_02.xlsx&amp;sheet=U0&amp;row=1795&amp;col=6&amp;number=4.1&amp;sourceID=14","4.1")</f>
        <v>4.1</v>
      </c>
      <c r="G1795" s="4" t="str">
        <f>HYPERLINK("http://141.218.60.56/~jnz1568/getInfo.php?workbook=11_02.xlsx&amp;sheet=U0&amp;row=1795&amp;col=7&amp;number=0.000157&amp;sourceID=14","0.000157")</f>
        <v>0.000157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HYPERLINK("http://141.218.60.56/~jnz1568/getInfo.php?workbook=11_02.xlsx&amp;sheet=U0&amp;row=1796&amp;col=6&amp;number=4.2&amp;sourceID=14","4.2")</f>
        <v>4.2</v>
      </c>
      <c r="G1796" s="4" t="str">
        <f>HYPERLINK("http://141.218.60.56/~jnz1568/getInfo.php?workbook=11_02.xlsx&amp;sheet=U0&amp;row=1796&amp;col=7&amp;number=0.000156&amp;sourceID=14","0.000156")</f>
        <v>0.000156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HYPERLINK("http://141.218.60.56/~jnz1568/getInfo.php?workbook=11_02.xlsx&amp;sheet=U0&amp;row=1797&amp;col=6&amp;number=4.3&amp;sourceID=14","4.3")</f>
        <v>4.3</v>
      </c>
      <c r="G1797" s="4" t="str">
        <f>HYPERLINK("http://141.218.60.56/~jnz1568/getInfo.php?workbook=11_02.xlsx&amp;sheet=U0&amp;row=1797&amp;col=7&amp;number=0.000156&amp;sourceID=14","0.000156")</f>
        <v>0.000156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HYPERLINK("http://141.218.60.56/~jnz1568/getInfo.php?workbook=11_02.xlsx&amp;sheet=U0&amp;row=1798&amp;col=6&amp;number=4.4&amp;sourceID=14","4.4")</f>
        <v>4.4</v>
      </c>
      <c r="G1798" s="4" t="str">
        <f>HYPERLINK("http://141.218.60.56/~jnz1568/getInfo.php?workbook=11_02.xlsx&amp;sheet=U0&amp;row=1798&amp;col=7&amp;number=0.000155&amp;sourceID=14","0.000155")</f>
        <v>0.000155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HYPERLINK("http://141.218.60.56/~jnz1568/getInfo.php?workbook=11_02.xlsx&amp;sheet=U0&amp;row=1799&amp;col=6&amp;number=4.5&amp;sourceID=14","4.5")</f>
        <v>4.5</v>
      </c>
      <c r="G1799" s="4" t="str">
        <f>HYPERLINK("http://141.218.60.56/~jnz1568/getInfo.php?workbook=11_02.xlsx&amp;sheet=U0&amp;row=1799&amp;col=7&amp;number=0.000154&amp;sourceID=14","0.000154")</f>
        <v>0.000154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HYPERLINK("http://141.218.60.56/~jnz1568/getInfo.php?workbook=11_02.xlsx&amp;sheet=U0&amp;row=1800&amp;col=6&amp;number=4.6&amp;sourceID=14","4.6")</f>
        <v>4.6</v>
      </c>
      <c r="G1800" s="4" t="str">
        <f>HYPERLINK("http://141.218.60.56/~jnz1568/getInfo.php?workbook=11_02.xlsx&amp;sheet=U0&amp;row=1800&amp;col=7&amp;number=0.000153&amp;sourceID=14","0.000153")</f>
        <v>0.000153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HYPERLINK("http://141.218.60.56/~jnz1568/getInfo.php?workbook=11_02.xlsx&amp;sheet=U0&amp;row=1801&amp;col=6&amp;number=4.7&amp;sourceID=14","4.7")</f>
        <v>4.7</v>
      </c>
      <c r="G1801" s="4" t="str">
        <f>HYPERLINK("http://141.218.60.56/~jnz1568/getInfo.php?workbook=11_02.xlsx&amp;sheet=U0&amp;row=1801&amp;col=7&amp;number=0.000152&amp;sourceID=14","0.000152")</f>
        <v>0.000152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HYPERLINK("http://141.218.60.56/~jnz1568/getInfo.php?workbook=11_02.xlsx&amp;sheet=U0&amp;row=1802&amp;col=6&amp;number=4.8&amp;sourceID=14","4.8")</f>
        <v>4.8</v>
      </c>
      <c r="G1802" s="4" t="str">
        <f>HYPERLINK("http://141.218.60.56/~jnz1568/getInfo.php?workbook=11_02.xlsx&amp;sheet=U0&amp;row=1802&amp;col=7&amp;number=0.000151&amp;sourceID=14","0.000151")</f>
        <v>0.000151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HYPERLINK("http://141.218.60.56/~jnz1568/getInfo.php?workbook=11_02.xlsx&amp;sheet=U0&amp;row=1803&amp;col=6&amp;number=4.9&amp;sourceID=14","4.9")</f>
        <v>4.9</v>
      </c>
      <c r="G1803" s="4" t="str">
        <f>HYPERLINK("http://141.218.60.56/~jnz1568/getInfo.php?workbook=11_02.xlsx&amp;sheet=U0&amp;row=1803&amp;col=7&amp;number=0.000149&amp;sourceID=14","0.000149")</f>
        <v>0.000149</v>
      </c>
    </row>
    <row r="1804" spans="1:7">
      <c r="A1804" s="3">
        <v>11</v>
      </c>
      <c r="B1804" s="3">
        <v>2</v>
      </c>
      <c r="C1804" s="3">
        <v>6</v>
      </c>
      <c r="D1804" s="3">
        <v>45</v>
      </c>
      <c r="E1804" s="3">
        <v>1</v>
      </c>
      <c r="F1804" s="4" t="str">
        <f>HYPERLINK("http://141.218.60.56/~jnz1568/getInfo.php?workbook=11_02.xlsx&amp;sheet=U0&amp;row=1804&amp;col=6&amp;number=3&amp;sourceID=14","3")</f>
        <v>3</v>
      </c>
      <c r="G1804" s="4" t="str">
        <f>HYPERLINK("http://141.218.60.56/~jnz1568/getInfo.php?workbook=11_02.xlsx&amp;sheet=U0&amp;row=1804&amp;col=7&amp;number=0.000294&amp;sourceID=14","0.000294")</f>
        <v>0.000294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HYPERLINK("http://141.218.60.56/~jnz1568/getInfo.php?workbook=11_02.xlsx&amp;sheet=U0&amp;row=1805&amp;col=6&amp;number=3.1&amp;sourceID=14","3.1")</f>
        <v>3.1</v>
      </c>
      <c r="G1805" s="4" t="str">
        <f>HYPERLINK("http://141.218.60.56/~jnz1568/getInfo.php?workbook=11_02.xlsx&amp;sheet=U0&amp;row=1805&amp;col=7&amp;number=0.000294&amp;sourceID=14","0.000294")</f>
        <v>0.000294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HYPERLINK("http://141.218.60.56/~jnz1568/getInfo.php?workbook=11_02.xlsx&amp;sheet=U0&amp;row=1806&amp;col=6&amp;number=3.2&amp;sourceID=14","3.2")</f>
        <v>3.2</v>
      </c>
      <c r="G1806" s="4" t="str">
        <f>HYPERLINK("http://141.218.60.56/~jnz1568/getInfo.php?workbook=11_02.xlsx&amp;sheet=U0&amp;row=1806&amp;col=7&amp;number=0.000294&amp;sourceID=14","0.000294")</f>
        <v>0.000294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HYPERLINK("http://141.218.60.56/~jnz1568/getInfo.php?workbook=11_02.xlsx&amp;sheet=U0&amp;row=1807&amp;col=6&amp;number=3.3&amp;sourceID=14","3.3")</f>
        <v>3.3</v>
      </c>
      <c r="G1807" s="4" t="str">
        <f>HYPERLINK("http://141.218.60.56/~jnz1568/getInfo.php?workbook=11_02.xlsx&amp;sheet=U0&amp;row=1807&amp;col=7&amp;number=0.000293&amp;sourceID=14","0.000293")</f>
        <v>0.000293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HYPERLINK("http://141.218.60.56/~jnz1568/getInfo.php?workbook=11_02.xlsx&amp;sheet=U0&amp;row=1808&amp;col=6&amp;number=3.4&amp;sourceID=14","3.4")</f>
        <v>3.4</v>
      </c>
      <c r="G1808" s="4" t="str">
        <f>HYPERLINK("http://141.218.60.56/~jnz1568/getInfo.php?workbook=11_02.xlsx&amp;sheet=U0&amp;row=1808&amp;col=7&amp;number=0.000293&amp;sourceID=14","0.000293")</f>
        <v>0.000293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HYPERLINK("http://141.218.60.56/~jnz1568/getInfo.php?workbook=11_02.xlsx&amp;sheet=U0&amp;row=1809&amp;col=6&amp;number=3.5&amp;sourceID=14","3.5")</f>
        <v>3.5</v>
      </c>
      <c r="G1809" s="4" t="str">
        <f>HYPERLINK("http://141.218.60.56/~jnz1568/getInfo.php?workbook=11_02.xlsx&amp;sheet=U0&amp;row=1809&amp;col=7&amp;number=0.000293&amp;sourceID=14","0.000293")</f>
        <v>0.000293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HYPERLINK("http://141.218.60.56/~jnz1568/getInfo.php?workbook=11_02.xlsx&amp;sheet=U0&amp;row=1810&amp;col=6&amp;number=3.6&amp;sourceID=14","3.6")</f>
        <v>3.6</v>
      </c>
      <c r="G1810" s="4" t="str">
        <f>HYPERLINK("http://141.218.60.56/~jnz1568/getInfo.php?workbook=11_02.xlsx&amp;sheet=U0&amp;row=1810&amp;col=7&amp;number=0.000293&amp;sourceID=14","0.000293")</f>
        <v>0.000293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HYPERLINK("http://141.218.60.56/~jnz1568/getInfo.php?workbook=11_02.xlsx&amp;sheet=U0&amp;row=1811&amp;col=6&amp;number=3.7&amp;sourceID=14","3.7")</f>
        <v>3.7</v>
      </c>
      <c r="G1811" s="4" t="str">
        <f>HYPERLINK("http://141.218.60.56/~jnz1568/getInfo.php?workbook=11_02.xlsx&amp;sheet=U0&amp;row=1811&amp;col=7&amp;number=0.000293&amp;sourceID=14","0.000293")</f>
        <v>0.000293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HYPERLINK("http://141.218.60.56/~jnz1568/getInfo.php?workbook=11_02.xlsx&amp;sheet=U0&amp;row=1812&amp;col=6&amp;number=3.8&amp;sourceID=14","3.8")</f>
        <v>3.8</v>
      </c>
      <c r="G1812" s="4" t="str">
        <f>HYPERLINK("http://141.218.60.56/~jnz1568/getInfo.php?workbook=11_02.xlsx&amp;sheet=U0&amp;row=1812&amp;col=7&amp;number=0.000292&amp;sourceID=14","0.000292")</f>
        <v>0.000292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HYPERLINK("http://141.218.60.56/~jnz1568/getInfo.php?workbook=11_02.xlsx&amp;sheet=U0&amp;row=1813&amp;col=6&amp;number=3.9&amp;sourceID=14","3.9")</f>
        <v>3.9</v>
      </c>
      <c r="G1813" s="4" t="str">
        <f>HYPERLINK("http://141.218.60.56/~jnz1568/getInfo.php?workbook=11_02.xlsx&amp;sheet=U0&amp;row=1813&amp;col=7&amp;number=0.000292&amp;sourceID=14","0.000292")</f>
        <v>0.000292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HYPERLINK("http://141.218.60.56/~jnz1568/getInfo.php?workbook=11_02.xlsx&amp;sheet=U0&amp;row=1814&amp;col=6&amp;number=4&amp;sourceID=14","4")</f>
        <v>4</v>
      </c>
      <c r="G1814" s="4" t="str">
        <f>HYPERLINK("http://141.218.60.56/~jnz1568/getInfo.php?workbook=11_02.xlsx&amp;sheet=U0&amp;row=1814&amp;col=7&amp;number=0.000292&amp;sourceID=14","0.000292")</f>
        <v>0.000292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HYPERLINK("http://141.218.60.56/~jnz1568/getInfo.php?workbook=11_02.xlsx&amp;sheet=U0&amp;row=1815&amp;col=6&amp;number=4.1&amp;sourceID=14","4.1")</f>
        <v>4.1</v>
      </c>
      <c r="G1815" s="4" t="str">
        <f>HYPERLINK("http://141.218.60.56/~jnz1568/getInfo.php?workbook=11_02.xlsx&amp;sheet=U0&amp;row=1815&amp;col=7&amp;number=0.000291&amp;sourceID=14","0.000291")</f>
        <v>0.000291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HYPERLINK("http://141.218.60.56/~jnz1568/getInfo.php?workbook=11_02.xlsx&amp;sheet=U0&amp;row=1816&amp;col=6&amp;number=4.2&amp;sourceID=14","4.2")</f>
        <v>4.2</v>
      </c>
      <c r="G1816" s="4" t="str">
        <f>HYPERLINK("http://141.218.60.56/~jnz1568/getInfo.php?workbook=11_02.xlsx&amp;sheet=U0&amp;row=1816&amp;col=7&amp;number=0.00029&amp;sourceID=14","0.00029")</f>
        <v>0.00029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HYPERLINK("http://141.218.60.56/~jnz1568/getInfo.php?workbook=11_02.xlsx&amp;sheet=U0&amp;row=1817&amp;col=6&amp;number=4.3&amp;sourceID=14","4.3")</f>
        <v>4.3</v>
      </c>
      <c r="G1817" s="4" t="str">
        <f>HYPERLINK("http://141.218.60.56/~jnz1568/getInfo.php?workbook=11_02.xlsx&amp;sheet=U0&amp;row=1817&amp;col=7&amp;number=0.000289&amp;sourceID=14","0.000289")</f>
        <v>0.000289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HYPERLINK("http://141.218.60.56/~jnz1568/getInfo.php?workbook=11_02.xlsx&amp;sheet=U0&amp;row=1818&amp;col=6&amp;number=4.4&amp;sourceID=14","4.4")</f>
        <v>4.4</v>
      </c>
      <c r="G1818" s="4" t="str">
        <f>HYPERLINK("http://141.218.60.56/~jnz1568/getInfo.php?workbook=11_02.xlsx&amp;sheet=U0&amp;row=1818&amp;col=7&amp;number=0.000288&amp;sourceID=14","0.000288")</f>
        <v>0.000288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HYPERLINK("http://141.218.60.56/~jnz1568/getInfo.php?workbook=11_02.xlsx&amp;sheet=U0&amp;row=1819&amp;col=6&amp;number=4.5&amp;sourceID=14","4.5")</f>
        <v>4.5</v>
      </c>
      <c r="G1819" s="4" t="str">
        <f>HYPERLINK("http://141.218.60.56/~jnz1568/getInfo.php?workbook=11_02.xlsx&amp;sheet=U0&amp;row=1819&amp;col=7&amp;number=0.000287&amp;sourceID=14","0.000287")</f>
        <v>0.000287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HYPERLINK("http://141.218.60.56/~jnz1568/getInfo.php?workbook=11_02.xlsx&amp;sheet=U0&amp;row=1820&amp;col=6&amp;number=4.6&amp;sourceID=14","4.6")</f>
        <v>4.6</v>
      </c>
      <c r="G1820" s="4" t="str">
        <f>HYPERLINK("http://141.218.60.56/~jnz1568/getInfo.php?workbook=11_02.xlsx&amp;sheet=U0&amp;row=1820&amp;col=7&amp;number=0.000285&amp;sourceID=14","0.000285")</f>
        <v>0.000285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HYPERLINK("http://141.218.60.56/~jnz1568/getInfo.php?workbook=11_02.xlsx&amp;sheet=U0&amp;row=1821&amp;col=6&amp;number=4.7&amp;sourceID=14","4.7")</f>
        <v>4.7</v>
      </c>
      <c r="G1821" s="4" t="str">
        <f>HYPERLINK("http://141.218.60.56/~jnz1568/getInfo.php?workbook=11_02.xlsx&amp;sheet=U0&amp;row=1821&amp;col=7&amp;number=0.000283&amp;sourceID=14","0.000283")</f>
        <v>0.000283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HYPERLINK("http://141.218.60.56/~jnz1568/getInfo.php?workbook=11_02.xlsx&amp;sheet=U0&amp;row=1822&amp;col=6&amp;number=4.8&amp;sourceID=14","4.8")</f>
        <v>4.8</v>
      </c>
      <c r="G1822" s="4" t="str">
        <f>HYPERLINK("http://141.218.60.56/~jnz1568/getInfo.php?workbook=11_02.xlsx&amp;sheet=U0&amp;row=1822&amp;col=7&amp;number=0.00028&amp;sourceID=14","0.00028")</f>
        <v>0.00028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HYPERLINK("http://141.218.60.56/~jnz1568/getInfo.php?workbook=11_02.xlsx&amp;sheet=U0&amp;row=1823&amp;col=6&amp;number=4.9&amp;sourceID=14","4.9")</f>
        <v>4.9</v>
      </c>
      <c r="G1823" s="4" t="str">
        <f>HYPERLINK("http://141.218.60.56/~jnz1568/getInfo.php?workbook=11_02.xlsx&amp;sheet=U0&amp;row=1823&amp;col=7&amp;number=0.000277&amp;sourceID=14","0.000277")</f>
        <v>0.000277</v>
      </c>
    </row>
    <row r="1824" spans="1:7">
      <c r="A1824" s="3">
        <v>11</v>
      </c>
      <c r="B1824" s="3">
        <v>2</v>
      </c>
      <c r="C1824" s="3">
        <v>6</v>
      </c>
      <c r="D1824" s="3">
        <v>46</v>
      </c>
      <c r="E1824" s="3">
        <v>1</v>
      </c>
      <c r="F1824" s="4" t="str">
        <f>HYPERLINK("http://141.218.60.56/~jnz1568/getInfo.php?workbook=11_02.xlsx&amp;sheet=U0&amp;row=1824&amp;col=6&amp;number=3&amp;sourceID=14","3")</f>
        <v>3</v>
      </c>
      <c r="G1824" s="4" t="str">
        <f>HYPERLINK("http://141.218.60.56/~jnz1568/getInfo.php?workbook=11_02.xlsx&amp;sheet=U0&amp;row=1824&amp;col=7&amp;number=0.00273&amp;sourceID=14","0.00273")</f>
        <v>0.00273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HYPERLINK("http://141.218.60.56/~jnz1568/getInfo.php?workbook=11_02.xlsx&amp;sheet=U0&amp;row=1825&amp;col=6&amp;number=3.1&amp;sourceID=14","3.1")</f>
        <v>3.1</v>
      </c>
      <c r="G1825" s="4" t="str">
        <f>HYPERLINK("http://141.218.60.56/~jnz1568/getInfo.php?workbook=11_02.xlsx&amp;sheet=U0&amp;row=1825&amp;col=7&amp;number=0.00273&amp;sourceID=14","0.00273")</f>
        <v>0.00273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HYPERLINK("http://141.218.60.56/~jnz1568/getInfo.php?workbook=11_02.xlsx&amp;sheet=U0&amp;row=1826&amp;col=6&amp;number=3.2&amp;sourceID=14","3.2")</f>
        <v>3.2</v>
      </c>
      <c r="G1826" s="4" t="str">
        <f>HYPERLINK("http://141.218.60.56/~jnz1568/getInfo.php?workbook=11_02.xlsx&amp;sheet=U0&amp;row=1826&amp;col=7&amp;number=0.00273&amp;sourceID=14","0.00273")</f>
        <v>0.00273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HYPERLINK("http://141.218.60.56/~jnz1568/getInfo.php?workbook=11_02.xlsx&amp;sheet=U0&amp;row=1827&amp;col=6&amp;number=3.3&amp;sourceID=14","3.3")</f>
        <v>3.3</v>
      </c>
      <c r="G1827" s="4" t="str">
        <f>HYPERLINK("http://141.218.60.56/~jnz1568/getInfo.php?workbook=11_02.xlsx&amp;sheet=U0&amp;row=1827&amp;col=7&amp;number=0.00273&amp;sourceID=14","0.00273")</f>
        <v>0.00273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HYPERLINK("http://141.218.60.56/~jnz1568/getInfo.php?workbook=11_02.xlsx&amp;sheet=U0&amp;row=1828&amp;col=6&amp;number=3.4&amp;sourceID=14","3.4")</f>
        <v>3.4</v>
      </c>
      <c r="G1828" s="4" t="str">
        <f>HYPERLINK("http://141.218.60.56/~jnz1568/getInfo.php?workbook=11_02.xlsx&amp;sheet=U0&amp;row=1828&amp;col=7&amp;number=0.00273&amp;sourceID=14","0.00273")</f>
        <v>0.00273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HYPERLINK("http://141.218.60.56/~jnz1568/getInfo.php?workbook=11_02.xlsx&amp;sheet=U0&amp;row=1829&amp;col=6&amp;number=3.5&amp;sourceID=14","3.5")</f>
        <v>3.5</v>
      </c>
      <c r="G1829" s="4" t="str">
        <f>HYPERLINK("http://141.218.60.56/~jnz1568/getInfo.php?workbook=11_02.xlsx&amp;sheet=U0&amp;row=1829&amp;col=7&amp;number=0.00273&amp;sourceID=14","0.00273")</f>
        <v>0.00273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HYPERLINK("http://141.218.60.56/~jnz1568/getInfo.php?workbook=11_02.xlsx&amp;sheet=U0&amp;row=1830&amp;col=6&amp;number=3.6&amp;sourceID=14","3.6")</f>
        <v>3.6</v>
      </c>
      <c r="G1830" s="4" t="str">
        <f>HYPERLINK("http://141.218.60.56/~jnz1568/getInfo.php?workbook=11_02.xlsx&amp;sheet=U0&amp;row=1830&amp;col=7&amp;number=0.00273&amp;sourceID=14","0.00273")</f>
        <v>0.00273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HYPERLINK("http://141.218.60.56/~jnz1568/getInfo.php?workbook=11_02.xlsx&amp;sheet=U0&amp;row=1831&amp;col=6&amp;number=3.7&amp;sourceID=14","3.7")</f>
        <v>3.7</v>
      </c>
      <c r="G1831" s="4" t="str">
        <f>HYPERLINK("http://141.218.60.56/~jnz1568/getInfo.php?workbook=11_02.xlsx&amp;sheet=U0&amp;row=1831&amp;col=7&amp;number=0.00274&amp;sourceID=14","0.00274")</f>
        <v>0.00274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HYPERLINK("http://141.218.60.56/~jnz1568/getInfo.php?workbook=11_02.xlsx&amp;sheet=U0&amp;row=1832&amp;col=6&amp;number=3.8&amp;sourceID=14","3.8")</f>
        <v>3.8</v>
      </c>
      <c r="G1832" s="4" t="str">
        <f>HYPERLINK("http://141.218.60.56/~jnz1568/getInfo.php?workbook=11_02.xlsx&amp;sheet=U0&amp;row=1832&amp;col=7&amp;number=0.00274&amp;sourceID=14","0.00274")</f>
        <v>0.00274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HYPERLINK("http://141.218.60.56/~jnz1568/getInfo.php?workbook=11_02.xlsx&amp;sheet=U0&amp;row=1833&amp;col=6&amp;number=3.9&amp;sourceID=14","3.9")</f>
        <v>3.9</v>
      </c>
      <c r="G1833" s="4" t="str">
        <f>HYPERLINK("http://141.218.60.56/~jnz1568/getInfo.php?workbook=11_02.xlsx&amp;sheet=U0&amp;row=1833&amp;col=7&amp;number=0.00274&amp;sourceID=14","0.00274")</f>
        <v>0.00274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HYPERLINK("http://141.218.60.56/~jnz1568/getInfo.php?workbook=11_02.xlsx&amp;sheet=U0&amp;row=1834&amp;col=6&amp;number=4&amp;sourceID=14","4")</f>
        <v>4</v>
      </c>
      <c r="G1834" s="4" t="str">
        <f>HYPERLINK("http://141.218.60.56/~jnz1568/getInfo.php?workbook=11_02.xlsx&amp;sheet=U0&amp;row=1834&amp;col=7&amp;number=0.00274&amp;sourceID=14","0.00274")</f>
        <v>0.00274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HYPERLINK("http://141.218.60.56/~jnz1568/getInfo.php?workbook=11_02.xlsx&amp;sheet=U0&amp;row=1835&amp;col=6&amp;number=4.1&amp;sourceID=14","4.1")</f>
        <v>4.1</v>
      </c>
      <c r="G1835" s="4" t="str">
        <f>HYPERLINK("http://141.218.60.56/~jnz1568/getInfo.php?workbook=11_02.xlsx&amp;sheet=U0&amp;row=1835&amp;col=7&amp;number=0.00274&amp;sourceID=14","0.00274")</f>
        <v>0.00274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HYPERLINK("http://141.218.60.56/~jnz1568/getInfo.php?workbook=11_02.xlsx&amp;sheet=U0&amp;row=1836&amp;col=6&amp;number=4.2&amp;sourceID=14","4.2")</f>
        <v>4.2</v>
      </c>
      <c r="G1836" s="4" t="str">
        <f>HYPERLINK("http://141.218.60.56/~jnz1568/getInfo.php?workbook=11_02.xlsx&amp;sheet=U0&amp;row=1836&amp;col=7&amp;number=0.00274&amp;sourceID=14","0.00274")</f>
        <v>0.00274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HYPERLINK("http://141.218.60.56/~jnz1568/getInfo.php?workbook=11_02.xlsx&amp;sheet=U0&amp;row=1837&amp;col=6&amp;number=4.3&amp;sourceID=14","4.3")</f>
        <v>4.3</v>
      </c>
      <c r="G1837" s="4" t="str">
        <f>HYPERLINK("http://141.218.60.56/~jnz1568/getInfo.php?workbook=11_02.xlsx&amp;sheet=U0&amp;row=1837&amp;col=7&amp;number=0.00275&amp;sourceID=14","0.00275")</f>
        <v>0.00275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HYPERLINK("http://141.218.60.56/~jnz1568/getInfo.php?workbook=11_02.xlsx&amp;sheet=U0&amp;row=1838&amp;col=6&amp;number=4.4&amp;sourceID=14","4.4")</f>
        <v>4.4</v>
      </c>
      <c r="G1838" s="4" t="str">
        <f>HYPERLINK("http://141.218.60.56/~jnz1568/getInfo.php?workbook=11_02.xlsx&amp;sheet=U0&amp;row=1838&amp;col=7&amp;number=0.00275&amp;sourceID=14","0.00275")</f>
        <v>0.00275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HYPERLINK("http://141.218.60.56/~jnz1568/getInfo.php?workbook=11_02.xlsx&amp;sheet=U0&amp;row=1839&amp;col=6&amp;number=4.5&amp;sourceID=14","4.5")</f>
        <v>4.5</v>
      </c>
      <c r="G1839" s="4" t="str">
        <f>HYPERLINK("http://141.218.60.56/~jnz1568/getInfo.php?workbook=11_02.xlsx&amp;sheet=U0&amp;row=1839&amp;col=7&amp;number=0.00275&amp;sourceID=14","0.00275")</f>
        <v>0.00275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HYPERLINK("http://141.218.60.56/~jnz1568/getInfo.php?workbook=11_02.xlsx&amp;sheet=U0&amp;row=1840&amp;col=6&amp;number=4.6&amp;sourceID=14","4.6")</f>
        <v>4.6</v>
      </c>
      <c r="G1840" s="4" t="str">
        <f>HYPERLINK("http://141.218.60.56/~jnz1568/getInfo.php?workbook=11_02.xlsx&amp;sheet=U0&amp;row=1840&amp;col=7&amp;number=0.00276&amp;sourceID=14","0.00276")</f>
        <v>0.00276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HYPERLINK("http://141.218.60.56/~jnz1568/getInfo.php?workbook=11_02.xlsx&amp;sheet=U0&amp;row=1841&amp;col=6&amp;number=4.7&amp;sourceID=14","4.7")</f>
        <v>4.7</v>
      </c>
      <c r="G1841" s="4" t="str">
        <f>HYPERLINK("http://141.218.60.56/~jnz1568/getInfo.php?workbook=11_02.xlsx&amp;sheet=U0&amp;row=1841&amp;col=7&amp;number=0.00277&amp;sourceID=14","0.00277")</f>
        <v>0.00277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HYPERLINK("http://141.218.60.56/~jnz1568/getInfo.php?workbook=11_02.xlsx&amp;sheet=U0&amp;row=1842&amp;col=6&amp;number=4.8&amp;sourceID=14","4.8")</f>
        <v>4.8</v>
      </c>
      <c r="G1842" s="4" t="str">
        <f>HYPERLINK("http://141.218.60.56/~jnz1568/getInfo.php?workbook=11_02.xlsx&amp;sheet=U0&amp;row=1842&amp;col=7&amp;number=0.00278&amp;sourceID=14","0.00278")</f>
        <v>0.00278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HYPERLINK("http://141.218.60.56/~jnz1568/getInfo.php?workbook=11_02.xlsx&amp;sheet=U0&amp;row=1843&amp;col=6&amp;number=4.9&amp;sourceID=14","4.9")</f>
        <v>4.9</v>
      </c>
      <c r="G1843" s="4" t="str">
        <f>HYPERLINK("http://141.218.60.56/~jnz1568/getInfo.php?workbook=11_02.xlsx&amp;sheet=U0&amp;row=1843&amp;col=7&amp;number=0.00279&amp;sourceID=14","0.00279")</f>
        <v>0.00279</v>
      </c>
    </row>
    <row r="1844" spans="1:7">
      <c r="A1844" s="3">
        <v>11</v>
      </c>
      <c r="B1844" s="3">
        <v>2</v>
      </c>
      <c r="C1844" s="3">
        <v>6</v>
      </c>
      <c r="D1844" s="3">
        <v>47</v>
      </c>
      <c r="E1844" s="3">
        <v>1</v>
      </c>
      <c r="F1844" s="4" t="str">
        <f>HYPERLINK("http://141.218.60.56/~jnz1568/getInfo.php?workbook=11_02.xlsx&amp;sheet=U0&amp;row=1844&amp;col=6&amp;number=3&amp;sourceID=14","3")</f>
        <v>3</v>
      </c>
      <c r="G1844" s="4" t="str">
        <f>HYPERLINK("http://141.218.60.56/~jnz1568/getInfo.php?workbook=11_02.xlsx&amp;sheet=U0&amp;row=1844&amp;col=7&amp;number=0.000249&amp;sourceID=14","0.000249")</f>
        <v>0.000249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HYPERLINK("http://141.218.60.56/~jnz1568/getInfo.php?workbook=11_02.xlsx&amp;sheet=U0&amp;row=1845&amp;col=6&amp;number=3.1&amp;sourceID=14","3.1")</f>
        <v>3.1</v>
      </c>
      <c r="G1845" s="4" t="str">
        <f>HYPERLINK("http://141.218.60.56/~jnz1568/getInfo.php?workbook=11_02.xlsx&amp;sheet=U0&amp;row=1845&amp;col=7&amp;number=0.000249&amp;sourceID=14","0.000249")</f>
        <v>0.000249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HYPERLINK("http://141.218.60.56/~jnz1568/getInfo.php?workbook=11_02.xlsx&amp;sheet=U0&amp;row=1846&amp;col=6&amp;number=3.2&amp;sourceID=14","3.2")</f>
        <v>3.2</v>
      </c>
      <c r="G1846" s="4" t="str">
        <f>HYPERLINK("http://141.218.60.56/~jnz1568/getInfo.php?workbook=11_02.xlsx&amp;sheet=U0&amp;row=1846&amp;col=7&amp;number=0.000249&amp;sourceID=14","0.000249")</f>
        <v>0.000249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HYPERLINK("http://141.218.60.56/~jnz1568/getInfo.php?workbook=11_02.xlsx&amp;sheet=U0&amp;row=1847&amp;col=6&amp;number=3.3&amp;sourceID=14","3.3")</f>
        <v>3.3</v>
      </c>
      <c r="G1847" s="4" t="str">
        <f>HYPERLINK("http://141.218.60.56/~jnz1568/getInfo.php?workbook=11_02.xlsx&amp;sheet=U0&amp;row=1847&amp;col=7&amp;number=0.000248&amp;sourceID=14","0.000248")</f>
        <v>0.000248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HYPERLINK("http://141.218.60.56/~jnz1568/getInfo.php?workbook=11_02.xlsx&amp;sheet=U0&amp;row=1848&amp;col=6&amp;number=3.4&amp;sourceID=14","3.4")</f>
        <v>3.4</v>
      </c>
      <c r="G1848" s="4" t="str">
        <f>HYPERLINK("http://141.218.60.56/~jnz1568/getInfo.php?workbook=11_02.xlsx&amp;sheet=U0&amp;row=1848&amp;col=7&amp;number=0.000248&amp;sourceID=14","0.000248")</f>
        <v>0.000248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HYPERLINK("http://141.218.60.56/~jnz1568/getInfo.php?workbook=11_02.xlsx&amp;sheet=U0&amp;row=1849&amp;col=6&amp;number=3.5&amp;sourceID=14","3.5")</f>
        <v>3.5</v>
      </c>
      <c r="G1849" s="4" t="str">
        <f>HYPERLINK("http://141.218.60.56/~jnz1568/getInfo.php?workbook=11_02.xlsx&amp;sheet=U0&amp;row=1849&amp;col=7&amp;number=0.000248&amp;sourceID=14","0.000248")</f>
        <v>0.000248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HYPERLINK("http://141.218.60.56/~jnz1568/getInfo.php?workbook=11_02.xlsx&amp;sheet=U0&amp;row=1850&amp;col=6&amp;number=3.6&amp;sourceID=14","3.6")</f>
        <v>3.6</v>
      </c>
      <c r="G1850" s="4" t="str">
        <f>HYPERLINK("http://141.218.60.56/~jnz1568/getInfo.php?workbook=11_02.xlsx&amp;sheet=U0&amp;row=1850&amp;col=7&amp;number=0.000248&amp;sourceID=14","0.000248")</f>
        <v>0.000248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HYPERLINK("http://141.218.60.56/~jnz1568/getInfo.php?workbook=11_02.xlsx&amp;sheet=U0&amp;row=1851&amp;col=6&amp;number=3.7&amp;sourceID=14","3.7")</f>
        <v>3.7</v>
      </c>
      <c r="G1851" s="4" t="str">
        <f>HYPERLINK("http://141.218.60.56/~jnz1568/getInfo.php?workbook=11_02.xlsx&amp;sheet=U0&amp;row=1851&amp;col=7&amp;number=0.000248&amp;sourceID=14","0.000248")</f>
        <v>0.000248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HYPERLINK("http://141.218.60.56/~jnz1568/getInfo.php?workbook=11_02.xlsx&amp;sheet=U0&amp;row=1852&amp;col=6&amp;number=3.8&amp;sourceID=14","3.8")</f>
        <v>3.8</v>
      </c>
      <c r="G1852" s="4" t="str">
        <f>HYPERLINK("http://141.218.60.56/~jnz1568/getInfo.php?workbook=11_02.xlsx&amp;sheet=U0&amp;row=1852&amp;col=7&amp;number=0.000248&amp;sourceID=14","0.000248")</f>
        <v>0.000248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HYPERLINK("http://141.218.60.56/~jnz1568/getInfo.php?workbook=11_02.xlsx&amp;sheet=U0&amp;row=1853&amp;col=6&amp;number=3.9&amp;sourceID=14","3.9")</f>
        <v>3.9</v>
      </c>
      <c r="G1853" s="4" t="str">
        <f>HYPERLINK("http://141.218.60.56/~jnz1568/getInfo.php?workbook=11_02.xlsx&amp;sheet=U0&amp;row=1853&amp;col=7&amp;number=0.000247&amp;sourceID=14","0.000247")</f>
        <v>0.000247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HYPERLINK("http://141.218.60.56/~jnz1568/getInfo.php?workbook=11_02.xlsx&amp;sheet=U0&amp;row=1854&amp;col=6&amp;number=4&amp;sourceID=14","4")</f>
        <v>4</v>
      </c>
      <c r="G1854" s="4" t="str">
        <f>HYPERLINK("http://141.218.60.56/~jnz1568/getInfo.php?workbook=11_02.xlsx&amp;sheet=U0&amp;row=1854&amp;col=7&amp;number=0.000247&amp;sourceID=14","0.000247")</f>
        <v>0.000247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HYPERLINK("http://141.218.60.56/~jnz1568/getInfo.php?workbook=11_02.xlsx&amp;sheet=U0&amp;row=1855&amp;col=6&amp;number=4.1&amp;sourceID=14","4.1")</f>
        <v>4.1</v>
      </c>
      <c r="G1855" s="4" t="str">
        <f>HYPERLINK("http://141.218.60.56/~jnz1568/getInfo.php?workbook=11_02.xlsx&amp;sheet=U0&amp;row=1855&amp;col=7&amp;number=0.000246&amp;sourceID=14","0.000246")</f>
        <v>0.000246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HYPERLINK("http://141.218.60.56/~jnz1568/getInfo.php?workbook=11_02.xlsx&amp;sheet=U0&amp;row=1856&amp;col=6&amp;number=4.2&amp;sourceID=14","4.2")</f>
        <v>4.2</v>
      </c>
      <c r="G1856" s="4" t="str">
        <f>HYPERLINK("http://141.218.60.56/~jnz1568/getInfo.php?workbook=11_02.xlsx&amp;sheet=U0&amp;row=1856&amp;col=7&amp;number=0.000246&amp;sourceID=14","0.000246")</f>
        <v>0.000246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HYPERLINK("http://141.218.60.56/~jnz1568/getInfo.php?workbook=11_02.xlsx&amp;sheet=U0&amp;row=1857&amp;col=6&amp;number=4.3&amp;sourceID=14","4.3")</f>
        <v>4.3</v>
      </c>
      <c r="G1857" s="4" t="str">
        <f>HYPERLINK("http://141.218.60.56/~jnz1568/getInfo.php?workbook=11_02.xlsx&amp;sheet=U0&amp;row=1857&amp;col=7&amp;number=0.000245&amp;sourceID=14","0.000245")</f>
        <v>0.000245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HYPERLINK("http://141.218.60.56/~jnz1568/getInfo.php?workbook=11_02.xlsx&amp;sheet=U0&amp;row=1858&amp;col=6&amp;number=4.4&amp;sourceID=14","4.4")</f>
        <v>4.4</v>
      </c>
      <c r="G1858" s="4" t="str">
        <f>HYPERLINK("http://141.218.60.56/~jnz1568/getInfo.php?workbook=11_02.xlsx&amp;sheet=U0&amp;row=1858&amp;col=7&amp;number=0.000244&amp;sourceID=14","0.000244")</f>
        <v>0.000244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HYPERLINK("http://141.218.60.56/~jnz1568/getInfo.php?workbook=11_02.xlsx&amp;sheet=U0&amp;row=1859&amp;col=6&amp;number=4.5&amp;sourceID=14","4.5")</f>
        <v>4.5</v>
      </c>
      <c r="G1859" s="4" t="str">
        <f>HYPERLINK("http://141.218.60.56/~jnz1568/getInfo.php?workbook=11_02.xlsx&amp;sheet=U0&amp;row=1859&amp;col=7&amp;number=0.000243&amp;sourceID=14","0.000243")</f>
        <v>0.000243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HYPERLINK("http://141.218.60.56/~jnz1568/getInfo.php?workbook=11_02.xlsx&amp;sheet=U0&amp;row=1860&amp;col=6&amp;number=4.6&amp;sourceID=14","4.6")</f>
        <v>4.6</v>
      </c>
      <c r="G1860" s="4" t="str">
        <f>HYPERLINK("http://141.218.60.56/~jnz1568/getInfo.php?workbook=11_02.xlsx&amp;sheet=U0&amp;row=1860&amp;col=7&amp;number=0.000241&amp;sourceID=14","0.000241")</f>
        <v>0.000241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HYPERLINK("http://141.218.60.56/~jnz1568/getInfo.php?workbook=11_02.xlsx&amp;sheet=U0&amp;row=1861&amp;col=6&amp;number=4.7&amp;sourceID=14","4.7")</f>
        <v>4.7</v>
      </c>
      <c r="G1861" s="4" t="str">
        <f>HYPERLINK("http://141.218.60.56/~jnz1568/getInfo.php?workbook=11_02.xlsx&amp;sheet=U0&amp;row=1861&amp;col=7&amp;number=0.000239&amp;sourceID=14","0.000239")</f>
        <v>0.000239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HYPERLINK("http://141.218.60.56/~jnz1568/getInfo.php?workbook=11_02.xlsx&amp;sheet=U0&amp;row=1862&amp;col=6&amp;number=4.8&amp;sourceID=14","4.8")</f>
        <v>4.8</v>
      </c>
      <c r="G1862" s="4" t="str">
        <f>HYPERLINK("http://141.218.60.56/~jnz1568/getInfo.php?workbook=11_02.xlsx&amp;sheet=U0&amp;row=1862&amp;col=7&amp;number=0.000237&amp;sourceID=14","0.000237")</f>
        <v>0.000237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HYPERLINK("http://141.218.60.56/~jnz1568/getInfo.php?workbook=11_02.xlsx&amp;sheet=U0&amp;row=1863&amp;col=6&amp;number=4.9&amp;sourceID=14","4.9")</f>
        <v>4.9</v>
      </c>
      <c r="G1863" s="4" t="str">
        <f>HYPERLINK("http://141.218.60.56/~jnz1568/getInfo.php?workbook=11_02.xlsx&amp;sheet=U0&amp;row=1863&amp;col=7&amp;number=0.000234&amp;sourceID=14","0.000234")</f>
        <v>0.000234</v>
      </c>
    </row>
    <row r="1864" spans="1:7">
      <c r="A1864" s="3">
        <v>11</v>
      </c>
      <c r="B1864" s="3">
        <v>2</v>
      </c>
      <c r="C1864" s="3">
        <v>6</v>
      </c>
      <c r="D1864" s="3">
        <v>48</v>
      </c>
      <c r="E1864" s="3">
        <v>1</v>
      </c>
      <c r="F1864" s="4" t="str">
        <f>HYPERLINK("http://141.218.60.56/~jnz1568/getInfo.php?workbook=11_02.xlsx&amp;sheet=U0&amp;row=1864&amp;col=6&amp;number=3&amp;sourceID=14","3")</f>
        <v>3</v>
      </c>
      <c r="G1864" s="4" t="str">
        <f>HYPERLINK("http://141.218.60.56/~jnz1568/getInfo.php?workbook=11_02.xlsx&amp;sheet=U0&amp;row=1864&amp;col=7&amp;number=0.000317&amp;sourceID=14","0.000317")</f>
        <v>0.000317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HYPERLINK("http://141.218.60.56/~jnz1568/getInfo.php?workbook=11_02.xlsx&amp;sheet=U0&amp;row=1865&amp;col=6&amp;number=3.1&amp;sourceID=14","3.1")</f>
        <v>3.1</v>
      </c>
      <c r="G1865" s="4" t="str">
        <f>HYPERLINK("http://141.218.60.56/~jnz1568/getInfo.php?workbook=11_02.xlsx&amp;sheet=U0&amp;row=1865&amp;col=7&amp;number=0.000317&amp;sourceID=14","0.000317")</f>
        <v>0.000317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HYPERLINK("http://141.218.60.56/~jnz1568/getInfo.php?workbook=11_02.xlsx&amp;sheet=U0&amp;row=1866&amp;col=6&amp;number=3.2&amp;sourceID=14","3.2")</f>
        <v>3.2</v>
      </c>
      <c r="G1866" s="4" t="str">
        <f>HYPERLINK("http://141.218.60.56/~jnz1568/getInfo.php?workbook=11_02.xlsx&amp;sheet=U0&amp;row=1866&amp;col=7&amp;number=0.000317&amp;sourceID=14","0.000317")</f>
        <v>0.000317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HYPERLINK("http://141.218.60.56/~jnz1568/getInfo.php?workbook=11_02.xlsx&amp;sheet=U0&amp;row=1867&amp;col=6&amp;number=3.3&amp;sourceID=14","3.3")</f>
        <v>3.3</v>
      </c>
      <c r="G1867" s="4" t="str">
        <f>HYPERLINK("http://141.218.60.56/~jnz1568/getInfo.php?workbook=11_02.xlsx&amp;sheet=U0&amp;row=1867&amp;col=7&amp;number=0.000316&amp;sourceID=14","0.000316")</f>
        <v>0.000316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HYPERLINK("http://141.218.60.56/~jnz1568/getInfo.php?workbook=11_02.xlsx&amp;sheet=U0&amp;row=1868&amp;col=6&amp;number=3.4&amp;sourceID=14","3.4")</f>
        <v>3.4</v>
      </c>
      <c r="G1868" s="4" t="str">
        <f>HYPERLINK("http://141.218.60.56/~jnz1568/getInfo.php?workbook=11_02.xlsx&amp;sheet=U0&amp;row=1868&amp;col=7&amp;number=0.000316&amp;sourceID=14","0.000316")</f>
        <v>0.000316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HYPERLINK("http://141.218.60.56/~jnz1568/getInfo.php?workbook=11_02.xlsx&amp;sheet=U0&amp;row=1869&amp;col=6&amp;number=3.5&amp;sourceID=14","3.5")</f>
        <v>3.5</v>
      </c>
      <c r="G1869" s="4" t="str">
        <f>HYPERLINK("http://141.218.60.56/~jnz1568/getInfo.php?workbook=11_02.xlsx&amp;sheet=U0&amp;row=1869&amp;col=7&amp;number=0.000316&amp;sourceID=14","0.000316")</f>
        <v>0.000316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HYPERLINK("http://141.218.60.56/~jnz1568/getInfo.php?workbook=11_02.xlsx&amp;sheet=U0&amp;row=1870&amp;col=6&amp;number=3.6&amp;sourceID=14","3.6")</f>
        <v>3.6</v>
      </c>
      <c r="G1870" s="4" t="str">
        <f>HYPERLINK("http://141.218.60.56/~jnz1568/getInfo.php?workbook=11_02.xlsx&amp;sheet=U0&amp;row=1870&amp;col=7&amp;number=0.000316&amp;sourceID=14","0.000316")</f>
        <v>0.000316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HYPERLINK("http://141.218.60.56/~jnz1568/getInfo.php?workbook=11_02.xlsx&amp;sheet=U0&amp;row=1871&amp;col=6&amp;number=3.7&amp;sourceID=14","3.7")</f>
        <v>3.7</v>
      </c>
      <c r="G1871" s="4" t="str">
        <f>HYPERLINK("http://141.218.60.56/~jnz1568/getInfo.php?workbook=11_02.xlsx&amp;sheet=U0&amp;row=1871&amp;col=7&amp;number=0.000316&amp;sourceID=14","0.000316")</f>
        <v>0.000316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HYPERLINK("http://141.218.60.56/~jnz1568/getInfo.php?workbook=11_02.xlsx&amp;sheet=U0&amp;row=1872&amp;col=6&amp;number=3.8&amp;sourceID=14","3.8")</f>
        <v>3.8</v>
      </c>
      <c r="G1872" s="4" t="str">
        <f>HYPERLINK("http://141.218.60.56/~jnz1568/getInfo.php?workbook=11_02.xlsx&amp;sheet=U0&amp;row=1872&amp;col=7&amp;number=0.000315&amp;sourceID=14","0.000315")</f>
        <v>0.000315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HYPERLINK("http://141.218.60.56/~jnz1568/getInfo.php?workbook=11_02.xlsx&amp;sheet=U0&amp;row=1873&amp;col=6&amp;number=3.9&amp;sourceID=14","3.9")</f>
        <v>3.9</v>
      </c>
      <c r="G1873" s="4" t="str">
        <f>HYPERLINK("http://141.218.60.56/~jnz1568/getInfo.php?workbook=11_02.xlsx&amp;sheet=U0&amp;row=1873&amp;col=7&amp;number=0.000315&amp;sourceID=14","0.000315")</f>
        <v>0.000315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HYPERLINK("http://141.218.60.56/~jnz1568/getInfo.php?workbook=11_02.xlsx&amp;sheet=U0&amp;row=1874&amp;col=6&amp;number=4&amp;sourceID=14","4")</f>
        <v>4</v>
      </c>
      <c r="G1874" s="4" t="str">
        <f>HYPERLINK("http://141.218.60.56/~jnz1568/getInfo.php?workbook=11_02.xlsx&amp;sheet=U0&amp;row=1874&amp;col=7&amp;number=0.000314&amp;sourceID=14","0.000314")</f>
        <v>0.000314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HYPERLINK("http://141.218.60.56/~jnz1568/getInfo.php?workbook=11_02.xlsx&amp;sheet=U0&amp;row=1875&amp;col=6&amp;number=4.1&amp;sourceID=14","4.1")</f>
        <v>4.1</v>
      </c>
      <c r="G1875" s="4" t="str">
        <f>HYPERLINK("http://141.218.60.56/~jnz1568/getInfo.php?workbook=11_02.xlsx&amp;sheet=U0&amp;row=1875&amp;col=7&amp;number=0.000314&amp;sourceID=14","0.000314")</f>
        <v>0.000314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HYPERLINK("http://141.218.60.56/~jnz1568/getInfo.php?workbook=11_02.xlsx&amp;sheet=U0&amp;row=1876&amp;col=6&amp;number=4.2&amp;sourceID=14","4.2")</f>
        <v>4.2</v>
      </c>
      <c r="G1876" s="4" t="str">
        <f>HYPERLINK("http://141.218.60.56/~jnz1568/getInfo.php?workbook=11_02.xlsx&amp;sheet=U0&amp;row=1876&amp;col=7&amp;number=0.000313&amp;sourceID=14","0.000313")</f>
        <v>0.000313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HYPERLINK("http://141.218.60.56/~jnz1568/getInfo.php?workbook=11_02.xlsx&amp;sheet=U0&amp;row=1877&amp;col=6&amp;number=4.3&amp;sourceID=14","4.3")</f>
        <v>4.3</v>
      </c>
      <c r="G1877" s="4" t="str">
        <f>HYPERLINK("http://141.218.60.56/~jnz1568/getInfo.php?workbook=11_02.xlsx&amp;sheet=U0&amp;row=1877&amp;col=7&amp;number=0.000312&amp;sourceID=14","0.000312")</f>
        <v>0.000312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HYPERLINK("http://141.218.60.56/~jnz1568/getInfo.php?workbook=11_02.xlsx&amp;sheet=U0&amp;row=1878&amp;col=6&amp;number=4.4&amp;sourceID=14","4.4")</f>
        <v>4.4</v>
      </c>
      <c r="G1878" s="4" t="str">
        <f>HYPERLINK("http://141.218.60.56/~jnz1568/getInfo.php?workbook=11_02.xlsx&amp;sheet=U0&amp;row=1878&amp;col=7&amp;number=0.000311&amp;sourceID=14","0.000311")</f>
        <v>0.000311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HYPERLINK("http://141.218.60.56/~jnz1568/getInfo.php?workbook=11_02.xlsx&amp;sheet=U0&amp;row=1879&amp;col=6&amp;number=4.5&amp;sourceID=14","4.5")</f>
        <v>4.5</v>
      </c>
      <c r="G1879" s="4" t="str">
        <f>HYPERLINK("http://141.218.60.56/~jnz1568/getInfo.php?workbook=11_02.xlsx&amp;sheet=U0&amp;row=1879&amp;col=7&amp;number=0.000309&amp;sourceID=14","0.000309")</f>
        <v>0.000309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HYPERLINK("http://141.218.60.56/~jnz1568/getInfo.php?workbook=11_02.xlsx&amp;sheet=U0&amp;row=1880&amp;col=6&amp;number=4.6&amp;sourceID=14","4.6")</f>
        <v>4.6</v>
      </c>
      <c r="G1880" s="4" t="str">
        <f>HYPERLINK("http://141.218.60.56/~jnz1568/getInfo.php?workbook=11_02.xlsx&amp;sheet=U0&amp;row=1880&amp;col=7&amp;number=0.000307&amp;sourceID=14","0.000307")</f>
        <v>0.000307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HYPERLINK("http://141.218.60.56/~jnz1568/getInfo.php?workbook=11_02.xlsx&amp;sheet=U0&amp;row=1881&amp;col=6&amp;number=4.7&amp;sourceID=14","4.7")</f>
        <v>4.7</v>
      </c>
      <c r="G1881" s="4" t="str">
        <f>HYPERLINK("http://141.218.60.56/~jnz1568/getInfo.php?workbook=11_02.xlsx&amp;sheet=U0&amp;row=1881&amp;col=7&amp;number=0.000305&amp;sourceID=14","0.000305")</f>
        <v>0.000305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HYPERLINK("http://141.218.60.56/~jnz1568/getInfo.php?workbook=11_02.xlsx&amp;sheet=U0&amp;row=1882&amp;col=6&amp;number=4.8&amp;sourceID=14","4.8")</f>
        <v>4.8</v>
      </c>
      <c r="G1882" s="4" t="str">
        <f>HYPERLINK("http://141.218.60.56/~jnz1568/getInfo.php?workbook=11_02.xlsx&amp;sheet=U0&amp;row=1882&amp;col=7&amp;number=0.000302&amp;sourceID=14","0.000302")</f>
        <v>0.000302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HYPERLINK("http://141.218.60.56/~jnz1568/getInfo.php?workbook=11_02.xlsx&amp;sheet=U0&amp;row=1883&amp;col=6&amp;number=4.9&amp;sourceID=14","4.9")</f>
        <v>4.9</v>
      </c>
      <c r="G1883" s="4" t="str">
        <f>HYPERLINK("http://141.218.60.56/~jnz1568/getInfo.php?workbook=11_02.xlsx&amp;sheet=U0&amp;row=1883&amp;col=7&amp;number=0.000299&amp;sourceID=14","0.000299")</f>
        <v>0.000299</v>
      </c>
    </row>
    <row r="1884" spans="1:7">
      <c r="A1884" s="3">
        <v>11</v>
      </c>
      <c r="B1884" s="3">
        <v>2</v>
      </c>
      <c r="C1884" s="3">
        <v>6</v>
      </c>
      <c r="D1884" s="3">
        <v>49</v>
      </c>
      <c r="E1884" s="3">
        <v>1</v>
      </c>
      <c r="F1884" s="4" t="str">
        <f>HYPERLINK("http://141.218.60.56/~jnz1568/getInfo.php?workbook=11_02.xlsx&amp;sheet=U0&amp;row=1884&amp;col=6&amp;number=3&amp;sourceID=14","3")</f>
        <v>3</v>
      </c>
      <c r="G1884" s="4" t="str">
        <f>HYPERLINK("http://141.218.60.56/~jnz1568/getInfo.php?workbook=11_02.xlsx&amp;sheet=U0&amp;row=1884&amp;col=7&amp;number=0.00364&amp;sourceID=14","0.00364")</f>
        <v>0.00364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HYPERLINK("http://141.218.60.56/~jnz1568/getInfo.php?workbook=11_02.xlsx&amp;sheet=U0&amp;row=1885&amp;col=6&amp;number=3.1&amp;sourceID=14","3.1")</f>
        <v>3.1</v>
      </c>
      <c r="G1885" s="4" t="str">
        <f>HYPERLINK("http://141.218.60.56/~jnz1568/getInfo.php?workbook=11_02.xlsx&amp;sheet=U0&amp;row=1885&amp;col=7&amp;number=0.00364&amp;sourceID=14","0.00364")</f>
        <v>0.00364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HYPERLINK("http://141.218.60.56/~jnz1568/getInfo.php?workbook=11_02.xlsx&amp;sheet=U0&amp;row=1886&amp;col=6&amp;number=3.2&amp;sourceID=14","3.2")</f>
        <v>3.2</v>
      </c>
      <c r="G1886" s="4" t="str">
        <f>HYPERLINK("http://141.218.60.56/~jnz1568/getInfo.php?workbook=11_02.xlsx&amp;sheet=U0&amp;row=1886&amp;col=7&amp;number=0.00364&amp;sourceID=14","0.00364")</f>
        <v>0.00364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HYPERLINK("http://141.218.60.56/~jnz1568/getInfo.php?workbook=11_02.xlsx&amp;sheet=U0&amp;row=1887&amp;col=6&amp;number=3.3&amp;sourceID=14","3.3")</f>
        <v>3.3</v>
      </c>
      <c r="G1887" s="4" t="str">
        <f>HYPERLINK("http://141.218.60.56/~jnz1568/getInfo.php?workbook=11_02.xlsx&amp;sheet=U0&amp;row=1887&amp;col=7&amp;number=0.00364&amp;sourceID=14","0.00364")</f>
        <v>0.00364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HYPERLINK("http://141.218.60.56/~jnz1568/getInfo.php?workbook=11_02.xlsx&amp;sheet=U0&amp;row=1888&amp;col=6&amp;number=3.4&amp;sourceID=14","3.4")</f>
        <v>3.4</v>
      </c>
      <c r="G1888" s="4" t="str">
        <f>HYPERLINK("http://141.218.60.56/~jnz1568/getInfo.php?workbook=11_02.xlsx&amp;sheet=U0&amp;row=1888&amp;col=7&amp;number=0.00364&amp;sourceID=14","0.00364")</f>
        <v>0.00364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HYPERLINK("http://141.218.60.56/~jnz1568/getInfo.php?workbook=11_02.xlsx&amp;sheet=U0&amp;row=1889&amp;col=6&amp;number=3.5&amp;sourceID=14","3.5")</f>
        <v>3.5</v>
      </c>
      <c r="G1889" s="4" t="str">
        <f>HYPERLINK("http://141.218.60.56/~jnz1568/getInfo.php?workbook=11_02.xlsx&amp;sheet=U0&amp;row=1889&amp;col=7&amp;number=0.00364&amp;sourceID=14","0.00364")</f>
        <v>0.00364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HYPERLINK("http://141.218.60.56/~jnz1568/getInfo.php?workbook=11_02.xlsx&amp;sheet=U0&amp;row=1890&amp;col=6&amp;number=3.6&amp;sourceID=14","3.6")</f>
        <v>3.6</v>
      </c>
      <c r="G1890" s="4" t="str">
        <f>HYPERLINK("http://141.218.60.56/~jnz1568/getInfo.php?workbook=11_02.xlsx&amp;sheet=U0&amp;row=1890&amp;col=7&amp;number=0.00364&amp;sourceID=14","0.00364")</f>
        <v>0.00364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HYPERLINK("http://141.218.60.56/~jnz1568/getInfo.php?workbook=11_02.xlsx&amp;sheet=U0&amp;row=1891&amp;col=6&amp;number=3.7&amp;sourceID=14","3.7")</f>
        <v>3.7</v>
      </c>
      <c r="G1891" s="4" t="str">
        <f>HYPERLINK("http://141.218.60.56/~jnz1568/getInfo.php?workbook=11_02.xlsx&amp;sheet=U0&amp;row=1891&amp;col=7&amp;number=0.00364&amp;sourceID=14","0.00364")</f>
        <v>0.00364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HYPERLINK("http://141.218.60.56/~jnz1568/getInfo.php?workbook=11_02.xlsx&amp;sheet=U0&amp;row=1892&amp;col=6&amp;number=3.8&amp;sourceID=14","3.8")</f>
        <v>3.8</v>
      </c>
      <c r="G1892" s="4" t="str">
        <f>HYPERLINK("http://141.218.60.56/~jnz1568/getInfo.php?workbook=11_02.xlsx&amp;sheet=U0&amp;row=1892&amp;col=7&amp;number=0.00364&amp;sourceID=14","0.00364")</f>
        <v>0.00364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HYPERLINK("http://141.218.60.56/~jnz1568/getInfo.php?workbook=11_02.xlsx&amp;sheet=U0&amp;row=1893&amp;col=6&amp;number=3.9&amp;sourceID=14","3.9")</f>
        <v>3.9</v>
      </c>
      <c r="G1893" s="4" t="str">
        <f>HYPERLINK("http://141.218.60.56/~jnz1568/getInfo.php?workbook=11_02.xlsx&amp;sheet=U0&amp;row=1893&amp;col=7&amp;number=0.00364&amp;sourceID=14","0.00364")</f>
        <v>0.00364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HYPERLINK("http://141.218.60.56/~jnz1568/getInfo.php?workbook=11_02.xlsx&amp;sheet=U0&amp;row=1894&amp;col=6&amp;number=4&amp;sourceID=14","4")</f>
        <v>4</v>
      </c>
      <c r="G1894" s="4" t="str">
        <f>HYPERLINK("http://141.218.60.56/~jnz1568/getInfo.php?workbook=11_02.xlsx&amp;sheet=U0&amp;row=1894&amp;col=7&amp;number=0.00365&amp;sourceID=14","0.00365")</f>
        <v>0.00365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HYPERLINK("http://141.218.60.56/~jnz1568/getInfo.php?workbook=11_02.xlsx&amp;sheet=U0&amp;row=1895&amp;col=6&amp;number=4.1&amp;sourceID=14","4.1")</f>
        <v>4.1</v>
      </c>
      <c r="G1895" s="4" t="str">
        <f>HYPERLINK("http://141.218.60.56/~jnz1568/getInfo.php?workbook=11_02.xlsx&amp;sheet=U0&amp;row=1895&amp;col=7&amp;number=0.00365&amp;sourceID=14","0.00365")</f>
        <v>0.00365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HYPERLINK("http://141.218.60.56/~jnz1568/getInfo.php?workbook=11_02.xlsx&amp;sheet=U0&amp;row=1896&amp;col=6&amp;number=4.2&amp;sourceID=14","4.2")</f>
        <v>4.2</v>
      </c>
      <c r="G1896" s="4" t="str">
        <f>HYPERLINK("http://141.218.60.56/~jnz1568/getInfo.php?workbook=11_02.xlsx&amp;sheet=U0&amp;row=1896&amp;col=7&amp;number=0.00365&amp;sourceID=14","0.00365")</f>
        <v>0.00365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HYPERLINK("http://141.218.60.56/~jnz1568/getInfo.php?workbook=11_02.xlsx&amp;sheet=U0&amp;row=1897&amp;col=6&amp;number=4.3&amp;sourceID=14","4.3")</f>
        <v>4.3</v>
      </c>
      <c r="G1897" s="4" t="str">
        <f>HYPERLINK("http://141.218.60.56/~jnz1568/getInfo.php?workbook=11_02.xlsx&amp;sheet=U0&amp;row=1897&amp;col=7&amp;number=0.00366&amp;sourceID=14","0.00366")</f>
        <v>0.00366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HYPERLINK("http://141.218.60.56/~jnz1568/getInfo.php?workbook=11_02.xlsx&amp;sheet=U0&amp;row=1898&amp;col=6&amp;number=4.4&amp;sourceID=14","4.4")</f>
        <v>4.4</v>
      </c>
      <c r="G1898" s="4" t="str">
        <f>HYPERLINK("http://141.218.60.56/~jnz1568/getInfo.php?workbook=11_02.xlsx&amp;sheet=U0&amp;row=1898&amp;col=7&amp;number=0.00366&amp;sourceID=14","0.00366")</f>
        <v>0.00366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HYPERLINK("http://141.218.60.56/~jnz1568/getInfo.php?workbook=11_02.xlsx&amp;sheet=U0&amp;row=1899&amp;col=6&amp;number=4.5&amp;sourceID=14","4.5")</f>
        <v>4.5</v>
      </c>
      <c r="G1899" s="4" t="str">
        <f>HYPERLINK("http://141.218.60.56/~jnz1568/getInfo.php?workbook=11_02.xlsx&amp;sheet=U0&amp;row=1899&amp;col=7&amp;number=0.00367&amp;sourceID=14","0.00367")</f>
        <v>0.00367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HYPERLINK("http://141.218.60.56/~jnz1568/getInfo.php?workbook=11_02.xlsx&amp;sheet=U0&amp;row=1900&amp;col=6&amp;number=4.6&amp;sourceID=14","4.6")</f>
        <v>4.6</v>
      </c>
      <c r="G1900" s="4" t="str">
        <f>HYPERLINK("http://141.218.60.56/~jnz1568/getInfo.php?workbook=11_02.xlsx&amp;sheet=U0&amp;row=1900&amp;col=7&amp;number=0.00367&amp;sourceID=14","0.00367")</f>
        <v>0.00367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HYPERLINK("http://141.218.60.56/~jnz1568/getInfo.php?workbook=11_02.xlsx&amp;sheet=U0&amp;row=1901&amp;col=6&amp;number=4.7&amp;sourceID=14","4.7")</f>
        <v>4.7</v>
      </c>
      <c r="G1901" s="4" t="str">
        <f>HYPERLINK("http://141.218.60.56/~jnz1568/getInfo.php?workbook=11_02.xlsx&amp;sheet=U0&amp;row=1901&amp;col=7&amp;number=0.00368&amp;sourceID=14","0.00368")</f>
        <v>0.00368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HYPERLINK("http://141.218.60.56/~jnz1568/getInfo.php?workbook=11_02.xlsx&amp;sheet=U0&amp;row=1902&amp;col=6&amp;number=4.8&amp;sourceID=14","4.8")</f>
        <v>4.8</v>
      </c>
      <c r="G1902" s="4" t="str">
        <f>HYPERLINK("http://141.218.60.56/~jnz1568/getInfo.php?workbook=11_02.xlsx&amp;sheet=U0&amp;row=1902&amp;col=7&amp;number=0.0037&amp;sourceID=14","0.0037")</f>
        <v>0.0037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HYPERLINK("http://141.218.60.56/~jnz1568/getInfo.php?workbook=11_02.xlsx&amp;sheet=U0&amp;row=1903&amp;col=6&amp;number=4.9&amp;sourceID=14","4.9")</f>
        <v>4.9</v>
      </c>
      <c r="G1903" s="4" t="str">
        <f>HYPERLINK("http://141.218.60.56/~jnz1568/getInfo.php?workbook=11_02.xlsx&amp;sheet=U0&amp;row=1903&amp;col=7&amp;number=0.00371&amp;sourceID=14","0.00371")</f>
        <v>0.00371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2015-05-03T17:13:32Z</dcterms:created>
  <dcterms:modified xsi:type="dcterms:W3CDTF">2015-05-03T17:13:32Z</dcterms:modified>
</cp:coreProperties>
</file>