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<sst xmlns="http://schemas.openxmlformats.org/spreadsheetml/2006/main" count="130" uniqueCount="46">
  <si>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Si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</si>
  <si>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</si>
  <si>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</si>
  <si>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</si>
  <si>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</si>
  <si>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</si>
  <si>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</si>
  <si>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</si>
  <si>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</si>
  <si>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</si>
  <si>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</si>
  <si>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</si>
  <si>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</si>
  <si>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</si>
  <si>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</si>
  <si>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</si>
  <si>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</si>
  <si>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</si>
  <si>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</si>
  <si>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</si>
  <si>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</si>
  <si>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</si>
  <si>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</si>
  <si>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</si>
  <si>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</si>
  <si>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</si>
  <si>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</si>
  <si>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</si>
  <si>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</si>
  <si>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</si>
  <si>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</si>
  <si>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</si>
  <si>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</si>
  <si>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</si>
  <si>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</si>
  <si>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</si>
  <si>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</si>
  <si>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Si XIII</t>
  </si>
  <si>
    <t>k</t>
  </si>
  <si>
    <t>WL Vac (A)</t>
  </si>
  <si>
    <t>A (s-1)</t>
  </si>
  <si>
    <t>A2E1(s-1)</t>
  </si>
  <si>
    <t>Effective Collision Strengths for Si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</si>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</sst>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HYPERLINK("http://141.218.60.56/~jnz1568/getInfo.php?workbook=14_02.xlsx&amp;sheet=E0&amp;row=4&amp;col=10&amp;number=0&amp;sourceID=14","0")</f>
        <v>0</v>
      </c>
    </row>
    <row r="5" spans="1:10">
      <c r="A5" s="3">
        <v>14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HYPERLINK("http://141.218.60.56/~jnz1568/getInfo.php?workbook=14_02.xlsx&amp;sheet=E0&amp;row=5&amp;col=10&amp;number=14835945&amp;sourceID=14","14835945")</f>
        <v>14835945</v>
      </c>
    </row>
    <row r="6" spans="1:10">
      <c r="A6" s="3">
        <v>14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HYPERLINK("http://141.218.60.56/~jnz1568/getInfo.php?workbook=14_02.xlsx&amp;sheet=E0&amp;row=6&amp;col=10&amp;number=14958753&amp;sourceID=14","14958753")</f>
        <v>14958753</v>
      </c>
    </row>
    <row r="7" spans="1:10">
      <c r="A7" s="3">
        <v>14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HYPERLINK("http://141.218.60.56/~jnz1568/getInfo.php?workbook=14_02.xlsx&amp;sheet=E0&amp;row=7&amp;col=10&amp;number=14949756.42&amp;sourceID=14","14949756.42")</f>
        <v>14949756.42</v>
      </c>
    </row>
    <row r="8" spans="1:10">
      <c r="A8" s="3">
        <v>14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HYPERLINK("http://141.218.60.56/~jnz1568/getInfo.php?workbook=14_02.xlsx&amp;sheet=E0&amp;row=8&amp;col=10&amp;number=14951532.63&amp;sourceID=14","14951532.63")</f>
        <v>14951532.63</v>
      </c>
    </row>
    <row r="9" spans="1:10">
      <c r="A9" s="3">
        <v>14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HYPERLINK("http://141.218.60.56/~jnz1568/getInfo.php?workbook=14_02.xlsx&amp;sheet=E0&amp;row=9&amp;col=10&amp;number=14958690.57&amp;sourceID=14","14958690.57")</f>
        <v>14958690.57</v>
      </c>
    </row>
    <row r="10" spans="1:10">
      <c r="A10" s="3">
        <v>14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HYPERLINK("http://141.218.60.56/~jnz1568/getInfo.php?workbook=14_02.xlsx&amp;sheet=E0&amp;row=10&amp;col=10&amp;number=15042040&amp;sourceID=14","15042040")</f>
        <v>15042040</v>
      </c>
    </row>
    <row r="11" spans="1:10">
      <c r="A11" s="3">
        <v>14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HYPERLINK("http://141.218.60.56/~jnz1568/getInfo.php?workbook=14_02.xlsx&amp;sheet=E0&amp;row=11&amp;col=10&amp;number=17546734&amp;sourceID=14","17546734")</f>
        <v>17546734</v>
      </c>
    </row>
    <row r="12" spans="1:10">
      <c r="A12" s="3">
        <v>14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HYPERLINK("http://141.218.60.56/~jnz1568/getInfo.php?workbook=14_02.xlsx&amp;sheet=E0&amp;row=12&amp;col=10&amp;number=17579166&amp;sourceID=14","17579166")</f>
        <v>17579166</v>
      </c>
    </row>
    <row r="13" spans="1:10">
      <c r="A13" s="3">
        <v>14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HYPERLINK("http://141.218.60.56/~jnz1568/getInfo.php?workbook=14_02.xlsx&amp;sheet=E0&amp;row=13&amp;col=10&amp;number=17578029&amp;sourceID=14","17578029")</f>
        <v>17578029</v>
      </c>
    </row>
    <row r="14" spans="1:10">
      <c r="A14" s="3">
        <v>14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HYPERLINK("http://141.218.60.56/~jnz1568/getInfo.php?workbook=14_02.xlsx&amp;sheet=E0&amp;row=14&amp;col=10&amp;number=17578568&amp;sourceID=14","17578568")</f>
        <v>17578568</v>
      </c>
    </row>
    <row r="15" spans="1:10">
      <c r="A15" s="3">
        <v>14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HYPERLINK("http://141.218.60.56/~jnz1568/getInfo.php?workbook=14_02.xlsx&amp;sheet=E0&amp;row=15&amp;col=10&amp;number=17580689&amp;sourceID=14","17580689")</f>
        <v>17580689</v>
      </c>
    </row>
    <row r="16" spans="1:10">
      <c r="A16" s="3">
        <v>14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HYPERLINK("http://141.218.60.56/~jnz1568/getInfo.php?workbook=14_02.xlsx&amp;sheet=E0&amp;row=16&amp;col=10&amp;number=17603422&amp;sourceID=14","17603422")</f>
        <v>17603422</v>
      </c>
    </row>
    <row r="17" spans="1:10">
      <c r="A17" s="3">
        <v>14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HYPERLINK("http://141.218.60.56/~jnz1568/getInfo.php?workbook=14_02.xlsx&amp;sheet=E0&amp;row=17&amp;col=10&amp;number=17598002&amp;sourceID=14","17598002")</f>
        <v>17598002</v>
      </c>
    </row>
    <row r="18" spans="1:10">
      <c r="A18" s="3">
        <v>14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HYPERLINK("http://141.218.60.56/~jnz1568/getInfo.php?workbook=14_02.xlsx&amp;sheet=E0&amp;row=18&amp;col=10&amp;number=17598031&amp;sourceID=14","17598031")</f>
        <v>17598031</v>
      </c>
    </row>
    <row r="19" spans="1:10">
      <c r="A19" s="3">
        <v>14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HYPERLINK("http://141.218.60.56/~jnz1568/getInfo.php?workbook=14_02.xlsx&amp;sheet=E0&amp;row=19&amp;col=10&amp;number=17598849&amp;sourceID=14","17598849")</f>
        <v>17598849</v>
      </c>
    </row>
    <row r="20" spans="1:10">
      <c r="A20" s="3">
        <v>14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HYPERLINK("http://141.218.60.56/~jnz1568/getInfo.php?workbook=14_02.xlsx&amp;sheet=E0&amp;row=20&amp;col=10&amp;number=17599605&amp;sourceID=14","17599605")</f>
        <v>17599605</v>
      </c>
    </row>
    <row r="21" spans="1:10">
      <c r="A21" s="3">
        <v>14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HYPERLINK("http://141.218.60.56/~jnz1568/getInfo.php?workbook=14_02.xlsx&amp;sheet=E0&amp;row=21&amp;col=10&amp;number=18479389&amp;sourceID=14","18479389")</f>
        <v>18479389</v>
      </c>
    </row>
    <row r="22" spans="1:10">
      <c r="A22" s="3">
        <v>14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HYPERLINK("http://141.218.60.56/~jnz1568/getInfo.php?workbook=14_02.xlsx&amp;sheet=E0&amp;row=22&amp;col=10&amp;number=18492532&amp;sourceID=14","18492532")</f>
        <v>18492532</v>
      </c>
    </row>
    <row r="23" spans="1:10">
      <c r="A23" s="3">
        <v>14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HYPERLINK("http://141.218.60.56/~jnz1568/getInfo.php?workbook=14_02.xlsx&amp;sheet=E0&amp;row=23&amp;col=10&amp;number=18492307&amp;sourceID=14","18492307")</f>
        <v>18492307</v>
      </c>
    </row>
    <row r="24" spans="1:10">
      <c r="A24" s="3">
        <v>14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HYPERLINK("http://141.218.60.56/~jnz1568/getInfo.php?workbook=14_02.xlsx&amp;sheet=E0&amp;row=24&amp;col=10&amp;number=18492537&amp;sourceID=14","18492537")</f>
        <v>18492537</v>
      </c>
    </row>
    <row r="25" spans="1:10">
      <c r="A25" s="3">
        <v>14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HYPERLINK("http://141.218.60.56/~jnz1568/getInfo.php?workbook=14_02.xlsx&amp;sheet=E0&amp;row=25&amp;col=10&amp;number=18493430&amp;sourceID=14","18493430")</f>
        <v>18493430</v>
      </c>
    </row>
    <row r="26" spans="1:10">
      <c r="A26" s="3">
        <v>14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HYPERLINK("http://141.218.60.56/~jnz1568/getInfo.php?workbook=14_02.xlsx&amp;sheet=E0&amp;row=26&amp;col=10&amp;number=18502736&amp;sourceID=14","18502736")</f>
        <v>18502736</v>
      </c>
    </row>
    <row r="27" spans="1:10">
      <c r="A27" s="3">
        <v>14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HYPERLINK("http://141.218.60.56/~jnz1568/getInfo.php?workbook=14_02.xlsx&amp;sheet=E0&amp;row=27&amp;col=10&amp;number=18500576&amp;sourceID=14","18500576")</f>
        <v>18500576</v>
      </c>
    </row>
    <row r="28" spans="1:10">
      <c r="A28" s="3">
        <v>14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HYPERLINK("http://141.218.60.56/~jnz1568/getInfo.php?workbook=14_02.xlsx&amp;sheet=E0&amp;row=28&amp;col=10&amp;number=0&amp;sourceID=14","0")</f>
        <v>0</v>
      </c>
    </row>
    <row r="29" spans="1:10">
      <c r="A29" s="3">
        <v>14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HYPERLINK("http://141.218.60.56/~jnz1568/getInfo.php?workbook=14_02.xlsx&amp;sheet=E0&amp;row=29&amp;col=10&amp;number=18500926&amp;sourceID=14","18500926")</f>
        <v>18500926</v>
      </c>
    </row>
    <row r="30" spans="1:10">
      <c r="A30" s="3">
        <v>14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HYPERLINK("http://141.218.60.56/~jnz1568/getInfo.php?workbook=14_02.xlsx&amp;sheet=E0&amp;row=30&amp;col=10&amp;number=18501245&amp;sourceID=14","18501245")</f>
        <v>18501245</v>
      </c>
    </row>
    <row r="31" spans="1:10">
      <c r="A31" s="3">
        <v>14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HYPERLINK("http://141.218.60.56/~jnz1568/getInfo.php?workbook=14_02.xlsx&amp;sheet=E0&amp;row=31&amp;col=10&amp;number=0&amp;sourceID=14","0")</f>
        <v>0</v>
      </c>
    </row>
    <row r="32" spans="1:10">
      <c r="A32" s="3">
        <v>14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HYPERLINK("http://141.218.60.56/~jnz1568/getInfo.php?workbook=14_02.xlsx&amp;sheet=E0&amp;row=32&amp;col=10&amp;number=0&amp;sourceID=14","0")</f>
        <v>0</v>
      </c>
    </row>
    <row r="33" spans="1:10">
      <c r="A33" s="3">
        <v>14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HYPERLINK("http://141.218.60.56/~jnz1568/getInfo.php?workbook=14_02.xlsx&amp;sheet=E0&amp;row=33&amp;col=10&amp;number=0&amp;sourceID=14","0")</f>
        <v>0</v>
      </c>
    </row>
    <row r="34" spans="1:10">
      <c r="A34" s="3">
        <v>14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HYPERLINK("http://141.218.60.56/~jnz1568/getInfo.php?workbook=14_02.xlsx&amp;sheet=E0&amp;row=34&amp;col=10&amp;number=0&amp;sourceID=14","0")</f>
        <v>0</v>
      </c>
    </row>
    <row r="35" spans="1:10">
      <c r="A35" s="3">
        <v>14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HYPERLINK("http://141.218.60.56/~jnz1568/getInfo.php?workbook=14_02.xlsx&amp;sheet=E0&amp;row=35&amp;col=10&amp;number=18907613&amp;sourceID=14","18907613")</f>
        <v>18907613</v>
      </c>
    </row>
    <row r="36" spans="1:10">
      <c r="A36" s="3">
        <v>14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HYPERLINK("http://141.218.60.56/~jnz1568/getInfo.php?workbook=14_02.xlsx&amp;sheet=E0&amp;row=36&amp;col=10&amp;number=18914246&amp;sourceID=14","18914246")</f>
        <v>18914246</v>
      </c>
    </row>
    <row r="37" spans="1:10">
      <c r="A37" s="3">
        <v>14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HYPERLINK("http://141.218.60.56/~jnz1568/getInfo.php?workbook=14_02.xlsx&amp;sheet=E0&amp;row=37&amp;col=10&amp;number=18914144&amp;sourceID=14","18914144")</f>
        <v>18914144</v>
      </c>
    </row>
    <row r="38" spans="1:10">
      <c r="A38" s="3">
        <v>14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HYPERLINK("http://141.218.60.56/~jnz1568/getInfo.php?workbook=14_02.xlsx&amp;sheet=E0&amp;row=38&amp;col=10&amp;number=18914262&amp;sourceID=14","18914262")</f>
        <v>18914262</v>
      </c>
    </row>
    <row r="39" spans="1:10">
      <c r="A39" s="3">
        <v>14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HYPERLINK("http://141.218.60.56/~jnz1568/getInfo.php?workbook=14_02.xlsx&amp;sheet=E0&amp;row=39&amp;col=10&amp;number=18914719&amp;sourceID=14","18914719")</f>
        <v>18914719</v>
      </c>
    </row>
    <row r="40" spans="1:10">
      <c r="A40" s="3">
        <v>14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HYPERLINK("http://141.218.60.56/~jnz1568/getInfo.php?workbook=14_02.xlsx&amp;sheet=E0&amp;row=40&amp;col=10&amp;number=18919421&amp;sourceID=14","18919421")</f>
        <v>18919421</v>
      </c>
    </row>
    <row r="41" spans="1:10">
      <c r="A41" s="3">
        <v>14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HYPERLINK("http://141.218.60.56/~jnz1568/getInfo.php?workbook=14_02.xlsx&amp;sheet=E0&amp;row=41&amp;col=10&amp;number=18918351&amp;sourceID=14","18918351")</f>
        <v>18918351</v>
      </c>
    </row>
    <row r="42" spans="1:10">
      <c r="A42" s="3">
        <v>14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HYPERLINK("http://141.218.60.56/~jnz1568/getInfo.php?workbook=14_02.xlsx&amp;sheet=E0&amp;row=42&amp;col=10&amp;number=0&amp;sourceID=14","0")</f>
        <v>0</v>
      </c>
    </row>
    <row r="43" spans="1:10">
      <c r="A43" s="3">
        <v>14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HYPERLINK("http://141.218.60.56/~jnz1568/getInfo.php?workbook=14_02.xlsx&amp;sheet=E0&amp;row=43&amp;col=10&amp;number=18918530&amp;sourceID=14","18918530")</f>
        <v>18918530</v>
      </c>
    </row>
    <row r="44" spans="1:10">
      <c r="A44" s="3">
        <v>14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HYPERLINK("http://141.218.60.56/~jnz1568/getInfo.php?workbook=14_02.xlsx&amp;sheet=E0&amp;row=44&amp;col=10&amp;number=18918694&amp;sourceID=14","18918694")</f>
        <v>18918694</v>
      </c>
    </row>
    <row r="45" spans="1:10">
      <c r="A45" s="3">
        <v>14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HYPERLINK("http://141.218.60.56/~jnz1568/getInfo.php?workbook=14_02.xlsx&amp;sheet=E0&amp;row=45&amp;col=10&amp;number=0&amp;sourceID=14","0")</f>
        <v>0</v>
      </c>
    </row>
    <row r="46" spans="1:10">
      <c r="A46" s="3">
        <v>14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HYPERLINK("http://141.218.60.56/~jnz1568/getInfo.php?workbook=14_02.xlsx&amp;sheet=E0&amp;row=46&amp;col=10&amp;number=0&amp;sourceID=14","0")</f>
        <v>0</v>
      </c>
    </row>
    <row r="47" spans="1:10">
      <c r="A47" s="3">
        <v>14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HYPERLINK("http://141.218.60.56/~jnz1568/getInfo.php?workbook=14_02.xlsx&amp;sheet=E0&amp;row=47&amp;col=10&amp;number=0&amp;sourceID=14","0")</f>
        <v>0</v>
      </c>
    </row>
    <row r="48" spans="1:10">
      <c r="A48" s="3">
        <v>14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HYPERLINK("http://141.218.60.56/~jnz1568/getInfo.php?workbook=14_02.xlsx&amp;sheet=E0&amp;row=48&amp;col=10&amp;number=0&amp;sourceID=14","0")</f>
        <v>0</v>
      </c>
    </row>
    <row r="49" spans="1:10">
      <c r="A49" s="3">
        <v>14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HYPERLINK("http://141.218.60.56/~jnz1568/getInfo.php?workbook=14_02.xlsx&amp;sheet=E0&amp;row=49&amp;col=10&amp;number=0&amp;sourceID=14","0")</f>
        <v>0</v>
      </c>
    </row>
    <row r="50" spans="1:10">
      <c r="A50" s="3">
        <v>14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HYPERLINK("http://141.218.60.56/~jnz1568/getInfo.php?workbook=14_02.xlsx&amp;sheet=E0&amp;row=50&amp;col=10&amp;number=0&amp;sourceID=14","0")</f>
        <v>0</v>
      </c>
    </row>
    <row r="51" spans="1:10">
      <c r="A51" s="3">
        <v>14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HYPERLINK("http://141.218.60.56/~jnz1568/getInfo.php?workbook=14_02.xlsx&amp;sheet=E0&amp;row=51&amp;col=10&amp;number=0&amp;sourceID=14","0")</f>
        <v>0</v>
      </c>
    </row>
    <row r="52" spans="1:10">
      <c r="A52" s="3">
        <v>14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HYPERLINK("http://141.218.60.56/~jnz1568/getInfo.php?workbook=14_02.xlsx&amp;sheet=E0&amp;row=52&amp;col=10&amp;number=0&amp;sourceID=14","0")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14</v>
      </c>
      <c r="B4" s="3">
        <v>2</v>
      </c>
      <c r="C4" s="3">
        <v>2</v>
      </c>
      <c r="D4" s="3">
        <v>1</v>
      </c>
      <c r="E4" s="3">
        <v>6.74</v>
      </c>
      <c r="F4" s="4" t="str">
        <f>HYPERLINK("http://141.218.60.56/~jnz1568/getInfo.php?workbook=14_02.xlsx&amp;sheet=A0&amp;row=4&amp;col=6&amp;number=361000&amp;sourceID=14","361000")</f>
        <v>361000</v>
      </c>
      <c r="G4" s="4" t="str">
        <f>HYPERLINK("http://141.218.60.56/~jnz1568/getInfo.php?workbook=14_02.xlsx&amp;sheet=A0&amp;row=4&amp;col=7&amp;number=0&amp;sourceID=14","0")</f>
        <v>0</v>
      </c>
    </row>
    <row r="5" spans="1:7">
      <c r="A5" s="3">
        <v>14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HYPERLINK("http://141.218.60.56/~jnz1568/getInfo.php?workbook=14_02.xlsx&amp;sheet=A0&amp;row=5&amp;col=6&amp;number=0&amp;sourceID=14","0")</f>
        <v>0</v>
      </c>
      <c r="G5" s="4" t="str">
        <f>HYPERLINK("http://141.218.60.56/~jnz1568/getInfo.php?workbook=14_02.xlsx&amp;sheet=A0&amp;row=5&amp;col=7&amp;number=86620000&amp;sourceID=14","86620000")</f>
        <v>86620000</v>
      </c>
    </row>
    <row r="6" spans="1:7">
      <c r="A6" s="3">
        <v>14</v>
      </c>
      <c r="B6" s="3">
        <v>2</v>
      </c>
      <c r="C6" s="3">
        <v>5</v>
      </c>
      <c r="D6" s="3">
        <v>1</v>
      </c>
      <c r="E6" s="3">
        <v>6.688</v>
      </c>
      <c r="F6" s="4" t="str">
        <f>HYPERLINK("http://141.218.60.56/~jnz1568/getInfo.php?workbook=14_02.xlsx&amp;sheet=A0&amp;row=6&amp;col=6&amp;number=149700000000&amp;sourceID=14","149700000000")</f>
        <v>149700000000</v>
      </c>
      <c r="G6" s="4" t="str">
        <f>HYPERLINK("http://141.218.60.56/~jnz1568/getInfo.php?workbook=14_02.xlsx&amp;sheet=A0&amp;row=6&amp;col=7&amp;number=0&amp;sourceID=14","0")</f>
        <v>0</v>
      </c>
    </row>
    <row r="7" spans="1:7">
      <c r="A7" s="3">
        <v>14</v>
      </c>
      <c r="B7" s="3">
        <v>2</v>
      </c>
      <c r="C7" s="3">
        <v>6</v>
      </c>
      <c r="D7" s="3">
        <v>1</v>
      </c>
      <c r="E7" s="3">
        <v>6.685</v>
      </c>
      <c r="F7" s="4" t="str">
        <f>HYPERLINK("http://141.218.60.56/~jnz1568/getInfo.php?workbook=14_02.xlsx&amp;sheet=A0&amp;row=7&amp;col=6&amp;number=38900000&amp;sourceID=14","38900000")</f>
        <v>38900000</v>
      </c>
      <c r="G7" s="4" t="str">
        <f>HYPERLINK("http://141.218.60.56/~jnz1568/getInfo.php?workbook=14_02.xlsx&amp;sheet=A0&amp;row=7&amp;col=7&amp;number=0&amp;sourceID=14","0")</f>
        <v>0</v>
      </c>
    </row>
    <row r="8" spans="1:7">
      <c r="A8" s="3">
        <v>14</v>
      </c>
      <c r="B8" s="3">
        <v>2</v>
      </c>
      <c r="C8" s="3">
        <v>7</v>
      </c>
      <c r="D8" s="3">
        <v>1</v>
      </c>
      <c r="E8" s="3">
        <v>6.648</v>
      </c>
      <c r="F8" s="4" t="str">
        <f>HYPERLINK("http://141.218.60.56/~jnz1568/getInfo.php?workbook=14_02.xlsx&amp;sheet=A0&amp;row=8&amp;col=6&amp;number=38570000000000&amp;sourceID=14","38570000000000")</f>
        <v>38570000000000</v>
      </c>
      <c r="G8" s="4" t="str">
        <f>HYPERLINK("http://141.218.60.56/~jnz1568/getInfo.php?workbook=14_02.xlsx&amp;sheet=A0&amp;row=8&amp;col=7&amp;number=0&amp;sourceID=14","0")</f>
        <v>0</v>
      </c>
    </row>
    <row r="9" spans="1:7">
      <c r="A9" s="3">
        <v>14</v>
      </c>
      <c r="B9" s="3">
        <v>2</v>
      </c>
      <c r="C9" s="3">
        <v>11</v>
      </c>
      <c r="D9" s="3">
        <v>1</v>
      </c>
      <c r="E9" s="3">
        <v>5.689</v>
      </c>
      <c r="F9" s="4" t="str">
        <f>HYPERLINK("http://141.218.60.56/~jnz1568/getInfo.php?workbook=14_02.xlsx&amp;sheet=A0&amp;row=9&amp;col=6&amp;number=42680000000&amp;sourceID=14","42680000000")</f>
        <v>42680000000</v>
      </c>
      <c r="G9" s="4" t="str">
        <f>HYPERLINK("http://141.218.60.56/~jnz1568/getInfo.php?workbook=14_02.xlsx&amp;sheet=A0&amp;row=9&amp;col=7&amp;number=0&amp;sourceID=14","0")</f>
        <v>0</v>
      </c>
    </row>
    <row r="10" spans="1:7">
      <c r="A10" s="3">
        <v>14</v>
      </c>
      <c r="B10" s="3">
        <v>2</v>
      </c>
      <c r="C10" s="3">
        <v>13</v>
      </c>
      <c r="D10" s="3">
        <v>1</v>
      </c>
      <c r="E10" s="3">
        <v>5.681</v>
      </c>
      <c r="F10" s="4" t="str">
        <f>HYPERLINK("http://141.218.60.56/~jnz1568/getInfo.php?workbook=14_02.xlsx&amp;sheet=A0&amp;row=10&amp;col=6&amp;number=11070000000000&amp;sourceID=14","11070000000000")</f>
        <v>11070000000000</v>
      </c>
      <c r="G10" s="4" t="str">
        <f>HYPERLINK("http://141.218.60.56/~jnz1568/getInfo.php?workbook=14_02.xlsx&amp;sheet=A0&amp;row=10&amp;col=7&amp;number=0&amp;sourceID=14","0")</f>
        <v>0</v>
      </c>
    </row>
    <row r="11" spans="1:7">
      <c r="A11" s="3">
        <v>14</v>
      </c>
      <c r="B11" s="3">
        <v>2</v>
      </c>
      <c r="C11" s="3">
        <v>21</v>
      </c>
      <c r="D11" s="3">
        <v>1</v>
      </c>
      <c r="E11" s="3">
        <v>5.408</v>
      </c>
      <c r="F11" s="4" t="str">
        <f>HYPERLINK("http://141.218.60.56/~jnz1568/getInfo.php?workbook=14_02.xlsx&amp;sheet=A0&amp;row=11&amp;col=6&amp;number=18880000000&amp;sourceID=14","18880000000")</f>
        <v>18880000000</v>
      </c>
      <c r="G11" s="4" t="str">
        <f>HYPERLINK("http://141.218.60.56/~jnz1568/getInfo.php?workbook=14_02.xlsx&amp;sheet=A0&amp;row=11&amp;col=7&amp;number=0&amp;sourceID=14","0")</f>
        <v>0</v>
      </c>
    </row>
    <row r="12" spans="1:7">
      <c r="A12" s="3">
        <v>14</v>
      </c>
      <c r="B12" s="3">
        <v>2</v>
      </c>
      <c r="C12" s="3">
        <v>23</v>
      </c>
      <c r="D12" s="3">
        <v>1</v>
      </c>
      <c r="E12" s="3">
        <v>5.405</v>
      </c>
      <c r="F12" s="4" t="str">
        <f>HYPERLINK("http://141.218.60.56/~jnz1568/getInfo.php?workbook=14_02.xlsx&amp;sheet=A0&amp;row=12&amp;col=6&amp;number=3971000000000&amp;sourceID=14","3971000000000")</f>
        <v>3971000000000</v>
      </c>
      <c r="G12" s="4" t="str">
        <f>HYPERLINK("http://141.218.60.56/~jnz1568/getInfo.php?workbook=14_02.xlsx&amp;sheet=A0&amp;row=12&amp;col=7&amp;number=0&amp;sourceID=14","0")</f>
        <v>0</v>
      </c>
    </row>
    <row r="13" spans="1:7">
      <c r="A13" s="3">
        <v>14</v>
      </c>
      <c r="B13" s="3">
        <v>2</v>
      </c>
      <c r="C13" s="3">
        <v>35</v>
      </c>
      <c r="D13" s="3">
        <v>1</v>
      </c>
      <c r="E13" s="3">
        <v>5.287</v>
      </c>
      <c r="F13" s="4" t="str">
        <f>HYPERLINK("http://141.218.60.56/~jnz1568/getInfo.php?workbook=14_02.xlsx&amp;sheet=A0&amp;row=13&amp;col=6&amp;number=9786000000&amp;sourceID=14","9786000000")</f>
        <v>9786000000</v>
      </c>
      <c r="G13" s="4" t="str">
        <f>HYPERLINK("http://141.218.60.56/~jnz1568/getInfo.php?workbook=14_02.xlsx&amp;sheet=A0&amp;row=13&amp;col=7&amp;number=0&amp;sourceID=14","0")</f>
        <v>0</v>
      </c>
    </row>
    <row r="14" spans="1:7">
      <c r="A14" s="3">
        <v>14</v>
      </c>
      <c r="B14" s="3">
        <v>2</v>
      </c>
      <c r="C14" s="3">
        <v>37</v>
      </c>
      <c r="D14" s="3">
        <v>1</v>
      </c>
      <c r="E14" s="3">
        <v>5.286</v>
      </c>
      <c r="F14" s="4" t="str">
        <f>HYPERLINK("http://141.218.60.56/~jnz1568/getInfo.php?workbook=14_02.xlsx&amp;sheet=A0&amp;row=14&amp;col=6&amp;number=1992000000000&amp;sourceID=14","1992000000000")</f>
        <v>1992000000000</v>
      </c>
      <c r="G14" s="4" t="str">
        <f>HYPERLINK("http://141.218.60.56/~jnz1568/getInfo.php?workbook=14_02.xlsx&amp;sheet=A0&amp;row=14&amp;col=7&amp;number=0&amp;sourceID=14","0")</f>
        <v>0</v>
      </c>
    </row>
    <row r="15" spans="1:7">
      <c r="A15" s="3">
        <v>14</v>
      </c>
      <c r="B15" s="3">
        <v>2</v>
      </c>
      <c r="C15" s="3">
        <v>4</v>
      </c>
      <c r="D15" s="3">
        <v>2</v>
      </c>
      <c r="E15" s="3">
        <v>878.646</v>
      </c>
      <c r="F15" s="4" t="str">
        <f>HYPERLINK("http://141.218.60.56/~jnz1568/getInfo.php?workbook=14_02.xlsx&amp;sheet=A0&amp;row=15&amp;col=6&amp;number=146000000&amp;sourceID=14","146000000")</f>
        <v>146000000</v>
      </c>
      <c r="G15" s="4" t="str">
        <f>HYPERLINK("http://141.218.60.56/~jnz1568/getInfo.php?workbook=14_02.xlsx&amp;sheet=A0&amp;row=15&amp;col=7&amp;number=0&amp;sourceID=14","0")</f>
        <v>0</v>
      </c>
    </row>
    <row r="16" spans="1:7">
      <c r="A16" s="3">
        <v>14</v>
      </c>
      <c r="B16" s="3">
        <v>2</v>
      </c>
      <c r="C16" s="3">
        <v>5</v>
      </c>
      <c r="D16" s="3">
        <v>2</v>
      </c>
      <c r="E16" s="3">
        <v>865.144</v>
      </c>
      <c r="F16" s="4" t="str">
        <f>HYPERLINK("http://141.218.60.56/~jnz1568/getInfo.php?workbook=14_02.xlsx&amp;sheet=A0&amp;row=16&amp;col=6&amp;number=160200000&amp;sourceID=14","160200000")</f>
        <v>160200000</v>
      </c>
      <c r="G16" s="4" t="str">
        <f>HYPERLINK("http://141.218.60.56/~jnz1568/getInfo.php?workbook=14_02.xlsx&amp;sheet=A0&amp;row=16&amp;col=7&amp;number=0&amp;sourceID=14","0")</f>
        <v>0</v>
      </c>
    </row>
    <row r="17" spans="1:7">
      <c r="A17" s="3">
        <v>14</v>
      </c>
      <c r="B17" s="3">
        <v>2</v>
      </c>
      <c r="C17" s="3">
        <v>6</v>
      </c>
      <c r="D17" s="3">
        <v>2</v>
      </c>
      <c r="E17" s="3">
        <v>814.693</v>
      </c>
      <c r="F17" s="4" t="str">
        <f>HYPERLINK("http://141.218.60.56/~jnz1568/getInfo.php?workbook=14_02.xlsx&amp;sheet=A0&amp;row=17&amp;col=6&amp;number=197700000&amp;sourceID=14","197700000")</f>
        <v>197700000</v>
      </c>
      <c r="G17" s="4" t="str">
        <f>HYPERLINK("http://141.218.60.56/~jnz1568/getInfo.php?workbook=14_02.xlsx&amp;sheet=A0&amp;row=17&amp;col=7&amp;number=0&amp;sourceID=14","0")</f>
        <v>0</v>
      </c>
    </row>
    <row r="18" spans="1:7">
      <c r="A18" s="3">
        <v>14</v>
      </c>
      <c r="B18" s="3">
        <v>2</v>
      </c>
      <c r="C18" s="3">
        <v>10</v>
      </c>
      <c r="D18" s="3">
        <v>2</v>
      </c>
      <c r="E18" s="3">
        <v>36.469</v>
      </c>
      <c r="F18" s="4" t="str">
        <f>HYPERLINK("http://141.218.60.56/~jnz1568/getInfo.php?workbook=14_02.xlsx&amp;sheet=A0&amp;row=18&amp;col=6&amp;number=640600000000&amp;sourceID=14","640600000000")</f>
        <v>640600000000</v>
      </c>
      <c r="G18" s="4" t="str">
        <f>HYPERLINK("http://141.218.60.56/~jnz1568/getInfo.php?workbook=14_02.xlsx&amp;sheet=A0&amp;row=18&amp;col=7&amp;number=0&amp;sourceID=14","0")</f>
        <v>0</v>
      </c>
    </row>
    <row r="19" spans="1:7">
      <c r="A19" s="3">
        <v>14</v>
      </c>
      <c r="B19" s="3">
        <v>2</v>
      </c>
      <c r="C19" s="3">
        <v>11</v>
      </c>
      <c r="D19" s="3">
        <v>2</v>
      </c>
      <c r="E19" s="3">
        <v>36.462</v>
      </c>
      <c r="F19" s="4" t="str">
        <f>HYPERLINK("http://141.218.60.56/~jnz1568/getInfo.php?workbook=14_02.xlsx&amp;sheet=A0&amp;row=19&amp;col=6&amp;number=636600000000&amp;sourceID=14","636600000000")</f>
        <v>636600000000</v>
      </c>
      <c r="G19" s="4" t="str">
        <f>HYPERLINK("http://141.218.60.56/~jnz1568/getInfo.php?workbook=14_02.xlsx&amp;sheet=A0&amp;row=19&amp;col=7&amp;number=0&amp;sourceID=14","0")</f>
        <v>0</v>
      </c>
    </row>
    <row r="20" spans="1:7">
      <c r="A20" s="3">
        <v>14</v>
      </c>
      <c r="B20" s="3">
        <v>2</v>
      </c>
      <c r="C20" s="3">
        <v>12</v>
      </c>
      <c r="D20" s="3">
        <v>2</v>
      </c>
      <c r="E20" s="3">
        <v>36.433</v>
      </c>
      <c r="F20" s="4" t="str">
        <f>HYPERLINK("http://141.218.60.56/~jnz1568/getInfo.php?workbook=14_02.xlsx&amp;sheet=A0&amp;row=20&amp;col=6&amp;number=636000000000&amp;sourceID=14","636000000000")</f>
        <v>636000000000</v>
      </c>
      <c r="G20" s="4" t="str">
        <f>HYPERLINK("http://141.218.60.56/~jnz1568/getInfo.php?workbook=14_02.xlsx&amp;sheet=A0&amp;row=20&amp;col=7&amp;number=0&amp;sourceID=14","0")</f>
        <v>0</v>
      </c>
    </row>
    <row r="21" spans="1:7">
      <c r="A21" s="3">
        <v>14</v>
      </c>
      <c r="B21" s="3">
        <v>2</v>
      </c>
      <c r="C21" s="3">
        <v>13</v>
      </c>
      <c r="D21" s="3">
        <v>2</v>
      </c>
      <c r="E21" s="3">
        <v>36.134</v>
      </c>
      <c r="F21" s="4" t="str">
        <f>HYPERLINK("http://141.218.60.56/~jnz1568/getInfo.php?workbook=14_02.xlsx&amp;sheet=A0&amp;row=21&amp;col=6&amp;number=2452000000&amp;sourceID=14","2452000000")</f>
        <v>2452000000</v>
      </c>
      <c r="G21" s="4" t="str">
        <f>HYPERLINK("http://141.218.60.56/~jnz1568/getInfo.php?workbook=14_02.xlsx&amp;sheet=A0&amp;row=21&amp;col=7&amp;number=0&amp;sourceID=14","0")</f>
        <v>0</v>
      </c>
    </row>
    <row r="22" spans="1:7">
      <c r="A22" s="3">
        <v>14</v>
      </c>
      <c r="B22" s="3">
        <v>2</v>
      </c>
      <c r="C22" s="3">
        <v>20</v>
      </c>
      <c r="D22" s="3">
        <v>2</v>
      </c>
      <c r="E22" s="3">
        <v>27.35</v>
      </c>
      <c r="F22" s="4" t="str">
        <f>HYPERLINK("http://141.218.60.56/~jnz1568/getInfo.php?workbook=14_02.xlsx&amp;sheet=A0&amp;row=22&amp;col=6&amp;number=265000000000&amp;sourceID=14","265000000000")</f>
        <v>265000000000</v>
      </c>
      <c r="G22" s="4" t="str">
        <f>HYPERLINK("http://141.218.60.56/~jnz1568/getInfo.php?workbook=14_02.xlsx&amp;sheet=A0&amp;row=22&amp;col=7&amp;number=0&amp;sourceID=14","0")</f>
        <v>0</v>
      </c>
    </row>
    <row r="23" spans="1:7">
      <c r="A23" s="3">
        <v>14</v>
      </c>
      <c r="B23" s="3">
        <v>2</v>
      </c>
      <c r="C23" s="3">
        <v>21</v>
      </c>
      <c r="D23" s="3">
        <v>2</v>
      </c>
      <c r="E23" s="3">
        <v>27.348</v>
      </c>
      <c r="F23" s="4" t="str">
        <f>HYPERLINK("http://141.218.60.56/~jnz1568/getInfo.php?workbook=14_02.xlsx&amp;sheet=A0&amp;row=23&amp;col=6&amp;number=263700000000&amp;sourceID=14","263700000000")</f>
        <v>263700000000</v>
      </c>
      <c r="G23" s="4" t="str">
        <f>HYPERLINK("http://141.218.60.56/~jnz1568/getInfo.php?workbook=14_02.xlsx&amp;sheet=A0&amp;row=23&amp;col=7&amp;number=0&amp;sourceID=14","0")</f>
        <v>0</v>
      </c>
    </row>
    <row r="24" spans="1:7">
      <c r="A24" s="3">
        <v>14</v>
      </c>
      <c r="B24" s="3">
        <v>2</v>
      </c>
      <c r="C24" s="3">
        <v>22</v>
      </c>
      <c r="D24" s="3">
        <v>2</v>
      </c>
      <c r="E24" s="3">
        <v>27.341</v>
      </c>
      <c r="F24" s="4" t="str">
        <f>HYPERLINK("http://141.218.60.56/~jnz1568/getInfo.php?workbook=14_02.xlsx&amp;sheet=A0&amp;row=24&amp;col=6&amp;number=265200000000&amp;sourceID=14","265200000000")</f>
        <v>265200000000</v>
      </c>
      <c r="G24" s="4" t="str">
        <f>HYPERLINK("http://141.218.60.56/~jnz1568/getInfo.php?workbook=14_02.xlsx&amp;sheet=A0&amp;row=24&amp;col=7&amp;number=0&amp;sourceID=14","0")</f>
        <v>0</v>
      </c>
    </row>
    <row r="25" spans="1:7">
      <c r="A25" s="3">
        <v>14</v>
      </c>
      <c r="B25" s="3">
        <v>2</v>
      </c>
      <c r="C25" s="3">
        <v>23</v>
      </c>
      <c r="D25" s="3">
        <v>2</v>
      </c>
      <c r="E25" s="3">
        <v>27.272</v>
      </c>
      <c r="F25" s="4" t="str">
        <f>HYPERLINK("http://141.218.60.56/~jnz1568/getInfo.php?workbook=14_02.xlsx&amp;sheet=A0&amp;row=25&amp;col=6&amp;number=1269000000&amp;sourceID=14","1269000000")</f>
        <v>1269000000</v>
      </c>
      <c r="G25" s="4" t="str">
        <f>HYPERLINK("http://141.218.60.56/~jnz1568/getInfo.php?workbook=14_02.xlsx&amp;sheet=A0&amp;row=25&amp;col=7&amp;number=0&amp;sourceID=14","0")</f>
        <v>0</v>
      </c>
    </row>
    <row r="26" spans="1:7">
      <c r="A26" s="3">
        <v>14</v>
      </c>
      <c r="B26" s="3">
        <v>2</v>
      </c>
      <c r="C26" s="3">
        <v>34</v>
      </c>
      <c r="D26" s="3">
        <v>2</v>
      </c>
      <c r="E26" s="3">
        <v>24.521</v>
      </c>
      <c r="F26" s="4" t="str">
        <f>HYPERLINK("http://141.218.60.56/~jnz1568/getInfo.php?workbook=14_02.xlsx&amp;sheet=A0&amp;row=26&amp;col=6&amp;number=133900000000&amp;sourceID=14","133900000000")</f>
        <v>133900000000</v>
      </c>
      <c r="G26" s="4" t="str">
        <f>HYPERLINK("http://141.218.60.56/~jnz1568/getInfo.php?workbook=14_02.xlsx&amp;sheet=A0&amp;row=26&amp;col=7&amp;number=0&amp;sourceID=14","0")</f>
        <v>0</v>
      </c>
    </row>
    <row r="27" spans="1:7">
      <c r="A27" s="3">
        <v>14</v>
      </c>
      <c r="B27" s="3">
        <v>2</v>
      </c>
      <c r="C27" s="3">
        <v>35</v>
      </c>
      <c r="D27" s="3">
        <v>2</v>
      </c>
      <c r="E27" s="3">
        <v>24.52</v>
      </c>
      <c r="F27" s="4" t="str">
        <f>HYPERLINK("http://141.218.60.56/~jnz1568/getInfo.php?workbook=14_02.xlsx&amp;sheet=A0&amp;row=27&amp;col=6&amp;number=133300000000&amp;sourceID=14","133300000000")</f>
        <v>133300000000</v>
      </c>
      <c r="G27" s="4" t="str">
        <f>HYPERLINK("http://141.218.60.56/~jnz1568/getInfo.php?workbook=14_02.xlsx&amp;sheet=A0&amp;row=27&amp;col=7&amp;number=0&amp;sourceID=14","0")</f>
        <v>0</v>
      </c>
    </row>
    <row r="28" spans="1:7">
      <c r="A28" s="3">
        <v>14</v>
      </c>
      <c r="B28" s="3">
        <v>2</v>
      </c>
      <c r="C28" s="3">
        <v>36</v>
      </c>
      <c r="D28" s="3">
        <v>2</v>
      </c>
      <c r="E28" s="3">
        <v>24.517</v>
      </c>
      <c r="F28" s="4" t="str">
        <f>HYPERLINK("http://141.218.60.56/~jnz1568/getInfo.php?workbook=14_02.xlsx&amp;sheet=A0&amp;row=28&amp;col=6&amp;number=134000000000&amp;sourceID=14","134000000000")</f>
        <v>134000000000</v>
      </c>
      <c r="G28" s="4" t="str">
        <f>HYPERLINK("http://141.218.60.56/~jnz1568/getInfo.php?workbook=14_02.xlsx&amp;sheet=A0&amp;row=28&amp;col=7&amp;number=0&amp;sourceID=14","0")</f>
        <v>0</v>
      </c>
    </row>
    <row r="29" spans="1:7">
      <c r="A29" s="3">
        <v>14</v>
      </c>
      <c r="B29" s="3">
        <v>2</v>
      </c>
      <c r="C29" s="3">
        <v>37</v>
      </c>
      <c r="D29" s="3">
        <v>2</v>
      </c>
      <c r="E29" s="3">
        <v>24.489</v>
      </c>
      <c r="F29" s="4" t="str">
        <f>HYPERLINK("http://141.218.60.56/~jnz1568/getInfo.php?workbook=14_02.xlsx&amp;sheet=A0&amp;row=29&amp;col=6&amp;number=658100000&amp;sourceID=14","658100000")</f>
        <v>658100000</v>
      </c>
      <c r="G29" s="4" t="str">
        <f>HYPERLINK("http://141.218.60.56/~jnz1568/getInfo.php?workbook=14_02.xlsx&amp;sheet=A0&amp;row=29&amp;col=7&amp;number=0&amp;sourceID=14","0")</f>
        <v>0</v>
      </c>
    </row>
    <row r="30" spans="1:7">
      <c r="A30" s="3">
        <v>14</v>
      </c>
      <c r="B30" s="3">
        <v>2</v>
      </c>
      <c r="C30" s="3">
        <v>7</v>
      </c>
      <c r="D30" s="3">
        <v>3</v>
      </c>
      <c r="E30" s="3">
        <v>1200.668</v>
      </c>
      <c r="F30" s="4" t="str">
        <f>HYPERLINK("http://141.218.60.56/~jnz1568/getInfo.php?workbook=14_02.xlsx&amp;sheet=A0&amp;row=30&amp;col=6&amp;number=52860000&amp;sourceID=14","52860000")</f>
        <v>52860000</v>
      </c>
      <c r="G30" s="4" t="str">
        <f>HYPERLINK("http://141.218.60.56/~jnz1568/getInfo.php?workbook=14_02.xlsx&amp;sheet=A0&amp;row=30&amp;col=7&amp;number=0&amp;sourceID=14","0")</f>
        <v>0</v>
      </c>
    </row>
    <row r="31" spans="1:7">
      <c r="A31" s="3">
        <v>14</v>
      </c>
      <c r="B31" s="3">
        <v>2</v>
      </c>
      <c r="C31" s="3">
        <v>11</v>
      </c>
      <c r="D31" s="3">
        <v>3</v>
      </c>
      <c r="E31" s="3">
        <v>38.171</v>
      </c>
      <c r="F31" s="4" t="str">
        <f>HYPERLINK("http://141.218.60.56/~jnz1568/getInfo.php?workbook=14_02.xlsx&amp;sheet=A0&amp;row=31&amp;col=6&amp;number=2730000000&amp;sourceID=14","2730000000")</f>
        <v>2730000000</v>
      </c>
      <c r="G31" s="4" t="str">
        <f>HYPERLINK("http://141.218.60.56/~jnz1568/getInfo.php?workbook=14_02.xlsx&amp;sheet=A0&amp;row=31&amp;col=7&amp;number=0&amp;sourceID=14","0")</f>
        <v>0</v>
      </c>
    </row>
    <row r="32" spans="1:7">
      <c r="A32" s="3">
        <v>14</v>
      </c>
      <c r="B32" s="3">
        <v>2</v>
      </c>
      <c r="C32" s="3">
        <v>13</v>
      </c>
      <c r="D32" s="3">
        <v>3</v>
      </c>
      <c r="E32" s="3">
        <v>37.812</v>
      </c>
      <c r="F32" s="4" t="str">
        <f>HYPERLINK("http://141.218.60.56/~jnz1568/getInfo.php?workbook=14_02.xlsx&amp;sheet=A0&amp;row=32&amp;col=6&amp;number=637100000000&amp;sourceID=14","637100000000")</f>
        <v>637100000000</v>
      </c>
      <c r="G32" s="4" t="str">
        <f>HYPERLINK("http://141.218.60.56/~jnz1568/getInfo.php?workbook=14_02.xlsx&amp;sheet=A0&amp;row=32&amp;col=7&amp;number=0&amp;sourceID=14","0")</f>
        <v>0</v>
      </c>
    </row>
    <row r="33" spans="1:7">
      <c r="A33" s="3">
        <v>14</v>
      </c>
      <c r="B33" s="3">
        <v>2</v>
      </c>
      <c r="C33" s="3">
        <v>21</v>
      </c>
      <c r="D33" s="3">
        <v>3</v>
      </c>
      <c r="E33" s="3">
        <v>28.298</v>
      </c>
      <c r="F33" s="4" t="str">
        <f>HYPERLINK("http://141.218.60.56/~jnz1568/getInfo.php?workbook=14_02.xlsx&amp;sheet=A0&amp;row=33&amp;col=6&amp;number=1131000000&amp;sourceID=14","1131000000")</f>
        <v>1131000000</v>
      </c>
      <c r="G33" s="4" t="str">
        <f>HYPERLINK("http://141.218.60.56/~jnz1568/getInfo.php?workbook=14_02.xlsx&amp;sheet=A0&amp;row=33&amp;col=7&amp;number=0&amp;sourceID=14","0")</f>
        <v>0</v>
      </c>
    </row>
    <row r="34" spans="1:7">
      <c r="A34" s="3">
        <v>14</v>
      </c>
      <c r="B34" s="3">
        <v>2</v>
      </c>
      <c r="C34" s="3">
        <v>23</v>
      </c>
      <c r="D34" s="3">
        <v>3</v>
      </c>
      <c r="E34" s="3">
        <v>28.217</v>
      </c>
      <c r="F34" s="4" t="str">
        <f>HYPERLINK("http://141.218.60.56/~jnz1568/getInfo.php?workbook=14_02.xlsx&amp;sheet=A0&amp;row=34&amp;col=6&amp;number=239600000000&amp;sourceID=14","239600000000")</f>
        <v>239600000000</v>
      </c>
      <c r="G34" s="4" t="str">
        <f>HYPERLINK("http://141.218.60.56/~jnz1568/getInfo.php?workbook=14_02.xlsx&amp;sheet=A0&amp;row=34&amp;col=7&amp;number=0&amp;sourceID=14","0")</f>
        <v>0</v>
      </c>
    </row>
    <row r="35" spans="1:7">
      <c r="A35" s="3">
        <v>14</v>
      </c>
      <c r="B35" s="3">
        <v>2</v>
      </c>
      <c r="C35" s="3">
        <v>35</v>
      </c>
      <c r="D35" s="3">
        <v>3</v>
      </c>
      <c r="E35" s="3">
        <v>25.281</v>
      </c>
      <c r="F35" s="4" t="str">
        <f>HYPERLINK("http://141.218.60.56/~jnz1568/getInfo.php?workbook=14_02.xlsx&amp;sheet=A0&amp;row=35&amp;col=6&amp;number=596300000&amp;sourceID=14","596300000")</f>
        <v>596300000</v>
      </c>
      <c r="G35" s="4" t="str">
        <f>HYPERLINK("http://141.218.60.56/~jnz1568/getInfo.php?workbook=14_02.xlsx&amp;sheet=A0&amp;row=35&amp;col=7&amp;number=0&amp;sourceID=14","0")</f>
        <v>0</v>
      </c>
    </row>
    <row r="36" spans="1:7">
      <c r="A36" s="3">
        <v>14</v>
      </c>
      <c r="B36" s="3">
        <v>2</v>
      </c>
      <c r="C36" s="3">
        <v>37</v>
      </c>
      <c r="D36" s="3">
        <v>3</v>
      </c>
      <c r="E36" s="3">
        <v>25.248</v>
      </c>
      <c r="F36" s="4" t="str">
        <f>HYPERLINK("http://141.218.60.56/~jnz1568/getInfo.php?workbook=14_02.xlsx&amp;sheet=A0&amp;row=36&amp;col=6&amp;number=121800000000&amp;sourceID=14","121800000000")</f>
        <v>121800000000</v>
      </c>
      <c r="G36" s="4" t="str">
        <f>HYPERLINK("http://141.218.60.56/~jnz1568/getInfo.php?workbook=14_02.xlsx&amp;sheet=A0&amp;row=36&amp;col=7&amp;number=0&amp;sourceID=14","0")</f>
        <v>0</v>
      </c>
    </row>
    <row r="37" spans="1:7">
      <c r="A37" s="3">
        <v>14</v>
      </c>
      <c r="B37" s="3">
        <v>2</v>
      </c>
      <c r="C37" s="3">
        <v>8</v>
      </c>
      <c r="D37" s="3">
        <v>4</v>
      </c>
      <c r="E37" s="3">
        <v>38.506</v>
      </c>
      <c r="F37" s="4" t="str">
        <f>HYPERLINK("http://141.218.60.56/~jnz1568/getInfo.php?workbook=14_02.xlsx&amp;sheet=A0&amp;row=37&amp;col=6&amp;number=2426000000&amp;sourceID=14","2426000000")</f>
        <v>2426000000</v>
      </c>
      <c r="G37" s="4" t="str">
        <f>HYPERLINK("http://141.218.60.56/~jnz1568/getInfo.php?workbook=14_02.xlsx&amp;sheet=A0&amp;row=37&amp;col=7&amp;number=0&amp;sourceID=14","0")</f>
        <v>0</v>
      </c>
    </row>
    <row r="38" spans="1:7">
      <c r="A38" s="3">
        <v>14</v>
      </c>
      <c r="B38" s="3">
        <v>2</v>
      </c>
      <c r="C38" s="3">
        <v>14</v>
      </c>
      <c r="D38" s="3">
        <v>4</v>
      </c>
      <c r="E38" s="3">
        <v>37.761</v>
      </c>
      <c r="F38" s="4" t="str">
        <f>HYPERLINK("http://141.218.60.56/~jnz1568/getInfo.php?workbook=14_02.xlsx&amp;sheet=A0&amp;row=38&amp;col=6&amp;number=1052000000000&amp;sourceID=14","1052000000000")</f>
        <v>1052000000000</v>
      </c>
      <c r="G38" s="4" t="str">
        <f>HYPERLINK("http://141.218.60.56/~jnz1568/getInfo.php?workbook=14_02.xlsx&amp;sheet=A0&amp;row=38&amp;col=7&amp;number=0&amp;sourceID=14","0")</f>
        <v>0</v>
      </c>
    </row>
    <row r="39" spans="1:7">
      <c r="A39" s="3">
        <v>14</v>
      </c>
      <c r="B39" s="3">
        <v>2</v>
      </c>
      <c r="C39" s="3">
        <v>18</v>
      </c>
      <c r="D39" s="3">
        <v>4</v>
      </c>
      <c r="E39" s="3">
        <v>28.332</v>
      </c>
      <c r="F39" s="4" t="str">
        <f>HYPERLINK("http://141.218.60.56/~jnz1568/getInfo.php?workbook=14_02.xlsx&amp;sheet=A0&amp;row=39&amp;col=6&amp;number=935800000&amp;sourceID=14","935800000")</f>
        <v>935800000</v>
      </c>
      <c r="G39" s="4" t="str">
        <f>HYPERLINK("http://141.218.60.56/~jnz1568/getInfo.php?workbook=14_02.xlsx&amp;sheet=A0&amp;row=39&amp;col=7&amp;number=0&amp;sourceID=14","0")</f>
        <v>0</v>
      </c>
    </row>
    <row r="40" spans="1:7">
      <c r="A40" s="3">
        <v>14</v>
      </c>
      <c r="B40" s="3">
        <v>2</v>
      </c>
      <c r="C40" s="3">
        <v>24</v>
      </c>
      <c r="D40" s="3">
        <v>4</v>
      </c>
      <c r="E40" s="3">
        <v>28.163</v>
      </c>
      <c r="F40" s="4" t="str">
        <f>HYPERLINK("http://141.218.60.56/~jnz1568/getInfo.php?workbook=14_02.xlsx&amp;sheet=A0&amp;row=40&amp;col=6&amp;number=37880000000&amp;sourceID=14","37880000000")</f>
        <v>37880000000</v>
      </c>
      <c r="G40" s="4" t="str">
        <f>HYPERLINK("http://141.218.60.56/~jnz1568/getInfo.php?workbook=14_02.xlsx&amp;sheet=A0&amp;row=40&amp;col=7&amp;number=0&amp;sourceID=14","0")</f>
        <v>0</v>
      </c>
    </row>
    <row r="41" spans="1:7">
      <c r="A41" s="3">
        <v>14</v>
      </c>
      <c r="B41" s="3">
        <v>2</v>
      </c>
      <c r="C41" s="3">
        <v>32</v>
      </c>
      <c r="D41" s="3">
        <v>4</v>
      </c>
      <c r="E41" s="3">
        <v>25.266</v>
      </c>
      <c r="F41" s="4" t="str">
        <f>HYPERLINK("http://141.218.60.56/~jnz1568/getInfo.php?workbook=14_02.xlsx&amp;sheet=A0&amp;row=41&amp;col=6&amp;number=468500000&amp;sourceID=14","468500000")</f>
        <v>468500000</v>
      </c>
      <c r="G41" s="4" t="str">
        <f>HYPERLINK("http://141.218.60.56/~jnz1568/getInfo.php?workbook=14_02.xlsx&amp;sheet=A0&amp;row=41&amp;col=7&amp;number=0&amp;sourceID=14","0")</f>
        <v>0</v>
      </c>
    </row>
    <row r="42" spans="1:7">
      <c r="A42" s="3">
        <v>14</v>
      </c>
      <c r="B42" s="3">
        <v>2</v>
      </c>
      <c r="C42" s="3">
        <v>38</v>
      </c>
      <c r="D42" s="3">
        <v>4</v>
      </c>
      <c r="E42" s="3">
        <v>25.198</v>
      </c>
      <c r="F42" s="4" t="str">
        <f>HYPERLINK("http://141.218.60.56/~jnz1568/getInfo.php?workbook=14_02.xlsx&amp;sheet=A0&amp;row=42&amp;col=6&amp;number=17240000000&amp;sourceID=14","17240000000")</f>
        <v>17240000000</v>
      </c>
      <c r="G42" s="4" t="str">
        <f>HYPERLINK("http://141.218.60.56/~jnz1568/getInfo.php?workbook=14_02.xlsx&amp;sheet=A0&amp;row=42&amp;col=7&amp;number=0&amp;sourceID=14","0")</f>
        <v>0</v>
      </c>
    </row>
    <row r="43" spans="1:7">
      <c r="A43" s="3">
        <v>14</v>
      </c>
      <c r="B43" s="3">
        <v>2</v>
      </c>
      <c r="C43" s="3">
        <v>8</v>
      </c>
      <c r="D43" s="3">
        <v>5</v>
      </c>
      <c r="E43" s="3">
        <v>38.533</v>
      </c>
      <c r="F43" s="4" t="str">
        <f>HYPERLINK("http://141.218.60.56/~jnz1568/getInfo.php?workbook=14_02.xlsx&amp;sheet=A0&amp;row=43&amp;col=6&amp;number=73150000000&amp;sourceID=14","73150000000")</f>
        <v>73150000000</v>
      </c>
      <c r="G43" s="4" t="str">
        <f>HYPERLINK("http://141.218.60.56/~jnz1568/getInfo.php?workbook=14_02.xlsx&amp;sheet=A0&amp;row=43&amp;col=7&amp;number=0&amp;sourceID=14","0")</f>
        <v>0</v>
      </c>
    </row>
    <row r="44" spans="1:7">
      <c r="A44" s="3">
        <v>14</v>
      </c>
      <c r="B44" s="3">
        <v>2</v>
      </c>
      <c r="C44" s="3">
        <v>14</v>
      </c>
      <c r="D44" s="3">
        <v>5</v>
      </c>
      <c r="E44" s="3">
        <v>37.786</v>
      </c>
      <c r="F44" s="4" t="str">
        <f>HYPERLINK("http://141.218.60.56/~jnz1568/getInfo.php?workbook=14_02.xlsx&amp;sheet=A0&amp;row=44&amp;col=6&amp;number=785600000000&amp;sourceID=14","785600000000")</f>
        <v>785600000000</v>
      </c>
      <c r="G44" s="4" t="str">
        <f>HYPERLINK("http://141.218.60.56/~jnz1568/getInfo.php?workbook=14_02.xlsx&amp;sheet=A0&amp;row=44&amp;col=7&amp;number=0&amp;sourceID=14","0")</f>
        <v>0</v>
      </c>
    </row>
    <row r="45" spans="1:7">
      <c r="A45" s="3">
        <v>14</v>
      </c>
      <c r="B45" s="3">
        <v>2</v>
      </c>
      <c r="C45" s="3">
        <v>15</v>
      </c>
      <c r="D45" s="3">
        <v>5</v>
      </c>
      <c r="E45" s="3">
        <v>37.786</v>
      </c>
      <c r="F45" s="4" t="str">
        <f>HYPERLINK("http://141.218.60.56/~jnz1568/getInfo.php?workbook=14_02.xlsx&amp;sheet=A0&amp;row=45&amp;col=6&amp;number=1314000000000&amp;sourceID=14","1314000000000")</f>
        <v>1314000000000</v>
      </c>
      <c r="G45" s="4" t="str">
        <f>HYPERLINK("http://141.218.60.56/~jnz1568/getInfo.php?workbook=14_02.xlsx&amp;sheet=A0&amp;row=45&amp;col=7&amp;number=0&amp;sourceID=14","0")</f>
        <v>0</v>
      </c>
    </row>
    <row r="46" spans="1:7">
      <c r="A46" s="3">
        <v>14</v>
      </c>
      <c r="B46" s="3">
        <v>2</v>
      </c>
      <c r="C46" s="3">
        <v>17</v>
      </c>
      <c r="D46" s="3">
        <v>5</v>
      </c>
      <c r="E46" s="3">
        <v>37.763</v>
      </c>
      <c r="F46" s="4" t="str">
        <f>HYPERLINK("http://141.218.60.56/~jnz1568/getInfo.php?workbook=14_02.xlsx&amp;sheet=A0&amp;row=46&amp;col=6&amp;number=107300000000&amp;sourceID=14","107300000000")</f>
        <v>107300000000</v>
      </c>
      <c r="G46" s="4" t="str">
        <f>HYPERLINK("http://141.218.60.56/~jnz1568/getInfo.php?workbook=14_02.xlsx&amp;sheet=A0&amp;row=46&amp;col=7&amp;number=0&amp;sourceID=14","0")</f>
        <v>0</v>
      </c>
    </row>
    <row r="47" spans="1:7">
      <c r="A47" s="3">
        <v>14</v>
      </c>
      <c r="B47" s="3">
        <v>2</v>
      </c>
      <c r="C47" s="3">
        <v>18</v>
      </c>
      <c r="D47" s="3">
        <v>5</v>
      </c>
      <c r="E47" s="3">
        <v>28.346</v>
      </c>
      <c r="F47" s="4" t="str">
        <f>HYPERLINK("http://141.218.60.56/~jnz1568/getInfo.php?workbook=14_02.xlsx&amp;sheet=A0&amp;row=47&amp;col=6&amp;number=8413000000&amp;sourceID=14","8413000000")</f>
        <v>8413000000</v>
      </c>
      <c r="G47" s="4" t="str">
        <f>HYPERLINK("http://141.218.60.56/~jnz1568/getInfo.php?workbook=14_02.xlsx&amp;sheet=A0&amp;row=47&amp;col=7&amp;number=0&amp;sourceID=14","0")</f>
        <v>0</v>
      </c>
    </row>
    <row r="48" spans="1:7">
      <c r="A48" s="3">
        <v>14</v>
      </c>
      <c r="B48" s="3">
        <v>2</v>
      </c>
      <c r="C48" s="3">
        <v>24</v>
      </c>
      <c r="D48" s="3">
        <v>5</v>
      </c>
      <c r="E48" s="3">
        <v>28.177</v>
      </c>
      <c r="F48" s="4" t="str">
        <f>HYPERLINK("http://141.218.60.56/~jnz1568/getInfo.php?workbook=14_02.xlsx&amp;sheet=A0&amp;row=48&amp;col=6&amp;number=85200000000&amp;sourceID=14","85200000000")</f>
        <v>85200000000</v>
      </c>
      <c r="G48" s="4" t="str">
        <f>HYPERLINK("http://141.218.60.56/~jnz1568/getInfo.php?workbook=14_02.xlsx&amp;sheet=A0&amp;row=48&amp;col=7&amp;number=0&amp;sourceID=14","0")</f>
        <v>0</v>
      </c>
    </row>
    <row r="49" spans="1:7">
      <c r="A49" s="3">
        <v>14</v>
      </c>
      <c r="B49" s="3">
        <v>2</v>
      </c>
      <c r="C49" s="3">
        <v>25</v>
      </c>
      <c r="D49" s="3">
        <v>5</v>
      </c>
      <c r="E49" s="3">
        <v>-28.229</v>
      </c>
      <c r="F49" s="4" t="str">
        <f>HYPERLINK("http://141.218.60.56/~jnz1568/getInfo.php?workbook=14_02.xlsx&amp;sheet=A0&amp;row=49&amp;col=6&amp;number=152800000000&amp;sourceID=14","152800000000")</f>
        <v>152800000000</v>
      </c>
      <c r="G49" s="4" t="str">
        <f>HYPERLINK("http://141.218.60.56/~jnz1568/getInfo.php?workbook=14_02.xlsx&amp;sheet=A0&amp;row=49&amp;col=7&amp;number=0&amp;sourceID=14","0")</f>
        <v>0</v>
      </c>
    </row>
    <row r="50" spans="1:7">
      <c r="A50" s="3">
        <v>14</v>
      </c>
      <c r="B50" s="3">
        <v>2</v>
      </c>
      <c r="C50" s="3">
        <v>32</v>
      </c>
      <c r="D50" s="3">
        <v>5</v>
      </c>
      <c r="E50" s="3">
        <v>25.278</v>
      </c>
      <c r="F50" s="4" t="str">
        <f>HYPERLINK("http://141.218.60.56/~jnz1568/getInfo.php?workbook=14_02.xlsx&amp;sheet=A0&amp;row=50&amp;col=6&amp;number=4215000000&amp;sourceID=14","4215000000")</f>
        <v>4215000000</v>
      </c>
      <c r="G50" s="4" t="str">
        <f>HYPERLINK("http://141.218.60.56/~jnz1568/getInfo.php?workbook=14_02.xlsx&amp;sheet=A0&amp;row=50&amp;col=7&amp;number=0&amp;sourceID=14","0")</f>
        <v>0</v>
      </c>
    </row>
    <row r="51" spans="1:7">
      <c r="A51" s="3">
        <v>14</v>
      </c>
      <c r="B51" s="3">
        <v>2</v>
      </c>
      <c r="C51" s="3">
        <v>38</v>
      </c>
      <c r="D51" s="3">
        <v>5</v>
      </c>
      <c r="E51" s="3">
        <v>25.209</v>
      </c>
      <c r="F51" s="4" t="str">
        <f>HYPERLINK("http://141.218.60.56/~jnz1568/getInfo.php?workbook=14_02.xlsx&amp;sheet=A0&amp;row=51&amp;col=6&amp;number=38780000000&amp;sourceID=14","38780000000")</f>
        <v>38780000000</v>
      </c>
      <c r="G51" s="4" t="str">
        <f>HYPERLINK("http://141.218.60.56/~jnz1568/getInfo.php?workbook=14_02.xlsx&amp;sheet=A0&amp;row=51&amp;col=7&amp;number=0&amp;sourceID=14","0")</f>
        <v>0</v>
      </c>
    </row>
    <row r="52" spans="1:7">
      <c r="A52" s="3">
        <v>14</v>
      </c>
      <c r="B52" s="3">
        <v>2</v>
      </c>
      <c r="C52" s="3">
        <v>39</v>
      </c>
      <c r="D52" s="3">
        <v>5</v>
      </c>
      <c r="E52" s="3">
        <v>-25.268</v>
      </c>
      <c r="F52" s="4" t="str">
        <f>HYPERLINK("http://141.218.60.56/~jnz1568/getInfo.php?workbook=14_02.xlsx&amp;sheet=A0&amp;row=52&amp;col=6&amp;number=69500000000&amp;sourceID=14","69500000000")</f>
        <v>69500000000</v>
      </c>
      <c r="G52" s="4" t="str">
        <f>HYPERLINK("http://141.218.60.56/~jnz1568/getInfo.php?workbook=14_02.xlsx&amp;sheet=A0&amp;row=52&amp;col=7&amp;number=0&amp;sourceID=14","0")</f>
        <v>0</v>
      </c>
    </row>
    <row r="53" spans="1:7">
      <c r="A53" s="3">
        <v>14</v>
      </c>
      <c r="B53" s="3">
        <v>2</v>
      </c>
      <c r="C53" s="3">
        <v>8</v>
      </c>
      <c r="D53" s="3">
        <v>6</v>
      </c>
      <c r="E53" s="3">
        <v>38.639</v>
      </c>
      <c r="F53" s="4" t="str">
        <f>HYPERLINK("http://141.218.60.56/~jnz1568/getInfo.php?workbook=14_02.xlsx&amp;sheet=A0&amp;row=53&amp;col=6&amp;number=124800000000&amp;sourceID=14","124800000000")</f>
        <v>124800000000</v>
      </c>
      <c r="G53" s="4" t="str">
        <f>HYPERLINK("http://141.218.60.56/~jnz1568/getInfo.php?workbook=14_02.xlsx&amp;sheet=A0&amp;row=53&amp;col=7&amp;number=0&amp;sourceID=14","0")</f>
        <v>0</v>
      </c>
    </row>
    <row r="54" spans="1:7">
      <c r="A54" s="3">
        <v>14</v>
      </c>
      <c r="B54" s="3">
        <v>2</v>
      </c>
      <c r="C54" s="3">
        <v>14</v>
      </c>
      <c r="D54" s="3">
        <v>6</v>
      </c>
      <c r="E54" s="3">
        <v>37.889</v>
      </c>
      <c r="F54" s="4" t="str">
        <f>HYPERLINK("http://141.218.60.56/~jnz1568/getInfo.php?workbook=14_02.xlsx&amp;sheet=A0&amp;row=54&amp;col=6&amp;number=52400000000&amp;sourceID=14","52400000000")</f>
        <v>52400000000</v>
      </c>
      <c r="G54" s="4" t="str">
        <f>HYPERLINK("http://141.218.60.56/~jnz1568/getInfo.php?workbook=14_02.xlsx&amp;sheet=A0&amp;row=54&amp;col=7&amp;number=0&amp;sourceID=14","0")</f>
        <v>0</v>
      </c>
    </row>
    <row r="55" spans="1:7">
      <c r="A55" s="3">
        <v>14</v>
      </c>
      <c r="B55" s="3">
        <v>2</v>
      </c>
      <c r="C55" s="3">
        <v>15</v>
      </c>
      <c r="D55" s="3">
        <v>6</v>
      </c>
      <c r="E55" s="3">
        <v>37.888</v>
      </c>
      <c r="F55" s="4" t="str">
        <f>HYPERLINK("http://141.218.60.56/~jnz1568/getInfo.php?workbook=14_02.xlsx&amp;sheet=A0&amp;row=55&amp;col=6&amp;number=417300000000&amp;sourceID=14","417300000000")</f>
        <v>417300000000</v>
      </c>
      <c r="G55" s="4" t="str">
        <f>HYPERLINK("http://141.218.60.56/~jnz1568/getInfo.php?workbook=14_02.xlsx&amp;sheet=A0&amp;row=55&amp;col=7&amp;number=0&amp;sourceID=14","0")</f>
        <v>0</v>
      </c>
    </row>
    <row r="56" spans="1:7">
      <c r="A56" s="3">
        <v>14</v>
      </c>
      <c r="B56" s="3">
        <v>2</v>
      </c>
      <c r="C56" s="3">
        <v>16</v>
      </c>
      <c r="D56" s="3">
        <v>6</v>
      </c>
      <c r="E56" s="3">
        <v>37.877</v>
      </c>
      <c r="F56" s="4" t="str">
        <f>HYPERLINK("http://141.218.60.56/~jnz1568/getInfo.php?workbook=14_02.xlsx&amp;sheet=A0&amp;row=56&amp;col=6&amp;number=1887000000000&amp;sourceID=14","1887000000000")</f>
        <v>1887000000000</v>
      </c>
      <c r="G56" s="4" t="str">
        <f>HYPERLINK("http://141.218.60.56/~jnz1568/getInfo.php?workbook=14_02.xlsx&amp;sheet=A0&amp;row=56&amp;col=7&amp;number=0&amp;sourceID=14","0")</f>
        <v>0</v>
      </c>
    </row>
    <row r="57" spans="1:7">
      <c r="A57" s="3">
        <v>14</v>
      </c>
      <c r="B57" s="3">
        <v>2</v>
      </c>
      <c r="C57" s="3">
        <v>17</v>
      </c>
      <c r="D57" s="3">
        <v>6</v>
      </c>
      <c r="E57" s="3">
        <v>37.866</v>
      </c>
      <c r="F57" s="4" t="str">
        <f>HYPERLINK("http://141.218.60.56/~jnz1568/getInfo.php?workbook=14_02.xlsx&amp;sheet=A0&amp;row=57&amp;col=6&amp;number=54380000000&amp;sourceID=14","54380000000")</f>
        <v>54380000000</v>
      </c>
      <c r="G57" s="4" t="str">
        <f>HYPERLINK("http://141.218.60.56/~jnz1568/getInfo.php?workbook=14_02.xlsx&amp;sheet=A0&amp;row=57&amp;col=7&amp;number=0&amp;sourceID=14","0")</f>
        <v>0</v>
      </c>
    </row>
    <row r="58" spans="1:7">
      <c r="A58" s="3">
        <v>14</v>
      </c>
      <c r="B58" s="3">
        <v>2</v>
      </c>
      <c r="C58" s="3">
        <v>18</v>
      </c>
      <c r="D58" s="3">
        <v>6</v>
      </c>
      <c r="E58" s="3">
        <v>28.404</v>
      </c>
      <c r="F58" s="4" t="str">
        <f>HYPERLINK("http://141.218.60.56/~jnz1568/getInfo.php?workbook=14_02.xlsx&amp;sheet=A0&amp;row=58&amp;col=6&amp;number=23320000000&amp;sourceID=14","23320000000")</f>
        <v>23320000000</v>
      </c>
      <c r="G58" s="4" t="str">
        <f>HYPERLINK("http://141.218.60.56/~jnz1568/getInfo.php?workbook=14_02.xlsx&amp;sheet=A0&amp;row=58&amp;col=7&amp;number=0&amp;sourceID=14","0")</f>
        <v>0</v>
      </c>
    </row>
    <row r="59" spans="1:7">
      <c r="A59" s="3">
        <v>14</v>
      </c>
      <c r="B59" s="3">
        <v>2</v>
      </c>
      <c r="C59" s="3">
        <v>24</v>
      </c>
      <c r="D59" s="3">
        <v>6</v>
      </c>
      <c r="E59" s="3">
        <v>28.234</v>
      </c>
      <c r="F59" s="4" t="str">
        <f>HYPERLINK("http://141.218.60.56/~jnz1568/getInfo.php?workbook=14_02.xlsx&amp;sheet=A0&amp;row=59&amp;col=6&amp;number=424300000000&amp;sourceID=14","424300000000")</f>
        <v>424300000000</v>
      </c>
      <c r="G59" s="4" t="str">
        <f>HYPERLINK("http://141.218.60.56/~jnz1568/getInfo.php?workbook=14_02.xlsx&amp;sheet=A0&amp;row=59&amp;col=7&amp;number=0&amp;sourceID=14","0")</f>
        <v>0</v>
      </c>
    </row>
    <row r="60" spans="1:7">
      <c r="A60" s="3">
        <v>14</v>
      </c>
      <c r="B60" s="3">
        <v>2</v>
      </c>
      <c r="C60" s="3">
        <v>25</v>
      </c>
      <c r="D60" s="3">
        <v>6</v>
      </c>
      <c r="E60" s="3">
        <v>-28.298</v>
      </c>
      <c r="F60" s="4" t="str">
        <f>HYPERLINK("http://141.218.60.56/~jnz1568/getInfo.php?workbook=14_02.xlsx&amp;sheet=A0&amp;row=60&amp;col=6&amp;number=84470000000&amp;sourceID=14","84470000000")</f>
        <v>84470000000</v>
      </c>
      <c r="G60" s="4" t="str">
        <f>HYPERLINK("http://141.218.60.56/~jnz1568/getInfo.php?workbook=14_02.xlsx&amp;sheet=A0&amp;row=60&amp;col=7&amp;number=0&amp;sourceID=14","0")</f>
        <v>0</v>
      </c>
    </row>
    <row r="61" spans="1:7">
      <c r="A61" s="3">
        <v>14</v>
      </c>
      <c r="B61" s="3">
        <v>2</v>
      </c>
      <c r="C61" s="3">
        <v>26</v>
      </c>
      <c r="D61" s="3">
        <v>6</v>
      </c>
      <c r="E61" s="3">
        <v>28.231</v>
      </c>
      <c r="F61" s="4" t="str">
        <f>HYPERLINK("http://141.218.60.56/~jnz1568/getInfo.php?workbook=14_02.xlsx&amp;sheet=A0&amp;row=61&amp;col=6&amp;number=339900000000&amp;sourceID=14","339900000000")</f>
        <v>339900000000</v>
      </c>
      <c r="G61" s="4" t="str">
        <f>HYPERLINK("http://141.218.60.56/~jnz1568/getInfo.php?workbook=14_02.xlsx&amp;sheet=A0&amp;row=61&amp;col=7&amp;number=0&amp;sourceID=14","0")</f>
        <v>0</v>
      </c>
    </row>
    <row r="62" spans="1:7">
      <c r="A62" s="3">
        <v>14</v>
      </c>
      <c r="B62" s="3">
        <v>2</v>
      </c>
      <c r="C62" s="3">
        <v>32</v>
      </c>
      <c r="D62" s="3">
        <v>6</v>
      </c>
      <c r="E62" s="3">
        <v>25.323</v>
      </c>
      <c r="F62" s="4" t="str">
        <f>HYPERLINK("http://141.218.60.56/~jnz1568/getInfo.php?workbook=14_02.xlsx&amp;sheet=A0&amp;row=62&amp;col=6&amp;number=11690000000&amp;sourceID=14","11690000000")</f>
        <v>11690000000</v>
      </c>
      <c r="G62" s="4" t="str">
        <f>HYPERLINK("http://141.218.60.56/~jnz1568/getInfo.php?workbook=14_02.xlsx&amp;sheet=A0&amp;row=62&amp;col=7&amp;number=0&amp;sourceID=14","0")</f>
        <v>0</v>
      </c>
    </row>
    <row r="63" spans="1:7">
      <c r="A63" s="3">
        <v>14</v>
      </c>
      <c r="B63" s="3">
        <v>2</v>
      </c>
      <c r="C63" s="3">
        <v>38</v>
      </c>
      <c r="D63" s="3">
        <v>6</v>
      </c>
      <c r="E63" s="3">
        <v>25.255</v>
      </c>
      <c r="F63" s="4" t="str">
        <f>HYPERLINK("http://141.218.60.56/~jnz1568/getInfo.php?workbook=14_02.xlsx&amp;sheet=A0&amp;row=63&amp;col=6&amp;number=193200000000&amp;sourceID=14","193200000000")</f>
        <v>193200000000</v>
      </c>
      <c r="G63" s="4" t="str">
        <f>HYPERLINK("http://141.218.60.56/~jnz1568/getInfo.php?workbook=14_02.xlsx&amp;sheet=A0&amp;row=63&amp;col=7&amp;number=0&amp;sourceID=14","0")</f>
        <v>0</v>
      </c>
    </row>
    <row r="64" spans="1:7">
      <c r="A64" s="3">
        <v>14</v>
      </c>
      <c r="B64" s="3">
        <v>2</v>
      </c>
      <c r="C64" s="3">
        <v>39</v>
      </c>
      <c r="D64" s="3">
        <v>6</v>
      </c>
      <c r="E64" s="3">
        <v>-25.323</v>
      </c>
      <c r="F64" s="4" t="str">
        <f>HYPERLINK("http://141.218.60.56/~jnz1568/getInfo.php?workbook=14_02.xlsx&amp;sheet=A0&amp;row=64&amp;col=6&amp;number=38420000000&amp;sourceID=14","38420000000")</f>
        <v>38420000000</v>
      </c>
      <c r="G64" s="4" t="str">
        <f>HYPERLINK("http://141.218.60.56/~jnz1568/getInfo.php?workbook=14_02.xlsx&amp;sheet=A0&amp;row=64&amp;col=7&amp;number=0&amp;sourceID=14","0")</f>
        <v>0</v>
      </c>
    </row>
    <row r="65" spans="1:7">
      <c r="A65" s="3">
        <v>14</v>
      </c>
      <c r="B65" s="3">
        <v>2</v>
      </c>
      <c r="C65" s="3">
        <v>40</v>
      </c>
      <c r="D65" s="3">
        <v>6</v>
      </c>
      <c r="E65" s="3">
        <v>25.254</v>
      </c>
      <c r="F65" s="4" t="str">
        <f>HYPERLINK("http://141.218.60.56/~jnz1568/getInfo.php?workbook=14_02.xlsx&amp;sheet=A0&amp;row=65&amp;col=6&amp;number=154700000000&amp;sourceID=14","154700000000")</f>
        <v>154700000000</v>
      </c>
      <c r="G65" s="4" t="str">
        <f>HYPERLINK("http://141.218.60.56/~jnz1568/getInfo.php?workbook=14_02.xlsx&amp;sheet=A0&amp;row=65&amp;col=7&amp;number=0&amp;sourceID=14","0")</f>
        <v>0</v>
      </c>
    </row>
    <row r="66" spans="1:7">
      <c r="A66" s="3">
        <v>14</v>
      </c>
      <c r="B66" s="3">
        <v>2</v>
      </c>
      <c r="C66" s="3">
        <v>9</v>
      </c>
      <c r="D66" s="3">
        <v>7</v>
      </c>
      <c r="E66" s="3">
        <v>39.415</v>
      </c>
      <c r="F66" s="4" t="str">
        <f>HYPERLINK("http://141.218.60.56/~jnz1568/getInfo.php?workbook=14_02.xlsx&amp;sheet=A0&amp;row=66&amp;col=6&amp;number=223200000000&amp;sourceID=14","223200000000")</f>
        <v>223200000000</v>
      </c>
      <c r="G66" s="4" t="str">
        <f>HYPERLINK("http://141.218.60.56/~jnz1568/getInfo.php?workbook=14_02.xlsx&amp;sheet=A0&amp;row=66&amp;col=7&amp;number=0&amp;sourceID=14","0")</f>
        <v>0</v>
      </c>
    </row>
    <row r="67" spans="1:7">
      <c r="A67" s="3">
        <v>14</v>
      </c>
      <c r="B67" s="3">
        <v>2</v>
      </c>
      <c r="C67" s="3">
        <v>14</v>
      </c>
      <c r="D67" s="3">
        <v>7</v>
      </c>
      <c r="E67" s="3">
        <v>39.124</v>
      </c>
      <c r="F67" s="4" t="str">
        <f>HYPERLINK("http://141.218.60.56/~jnz1568/getInfo.php?workbook=14_02.xlsx&amp;sheet=A0&amp;row=67&amp;col=6&amp;number=2638000000&amp;sourceID=14","2638000000")</f>
        <v>2638000000</v>
      </c>
      <c r="G67" s="4" t="str">
        <f>HYPERLINK("http://141.218.60.56/~jnz1568/getInfo.php?workbook=14_02.xlsx&amp;sheet=A0&amp;row=67&amp;col=7&amp;number=0&amp;sourceID=14","0")</f>
        <v>0</v>
      </c>
    </row>
    <row r="68" spans="1:7">
      <c r="A68" s="3">
        <v>14</v>
      </c>
      <c r="B68" s="3">
        <v>2</v>
      </c>
      <c r="C68" s="3">
        <v>15</v>
      </c>
      <c r="D68" s="3">
        <v>7</v>
      </c>
      <c r="E68" s="3">
        <v>39.124</v>
      </c>
      <c r="F68" s="4" t="str">
        <f>HYPERLINK("http://141.218.60.56/~jnz1568/getInfo.php?workbook=14_02.xlsx&amp;sheet=A0&amp;row=68&amp;col=6&amp;number=154700000000&amp;sourceID=14","154700000000")</f>
        <v>154700000000</v>
      </c>
      <c r="G68" s="4" t="str">
        <f>HYPERLINK("http://141.218.60.56/~jnz1568/getInfo.php?workbook=14_02.xlsx&amp;sheet=A0&amp;row=68&amp;col=7&amp;number=0&amp;sourceID=14","0")</f>
        <v>0</v>
      </c>
    </row>
    <row r="69" spans="1:7">
      <c r="A69" s="3">
        <v>14</v>
      </c>
      <c r="B69" s="3">
        <v>2</v>
      </c>
      <c r="C69" s="3">
        <v>17</v>
      </c>
      <c r="D69" s="3">
        <v>7</v>
      </c>
      <c r="E69" s="3">
        <v>39.1</v>
      </c>
      <c r="F69" s="4" t="str">
        <f>HYPERLINK("http://141.218.60.56/~jnz1568/getInfo.php?workbook=14_02.xlsx&amp;sheet=A0&amp;row=69&amp;col=6&amp;number=1674000000000&amp;sourceID=14","1674000000000")</f>
        <v>1674000000000</v>
      </c>
      <c r="G69" s="4" t="str">
        <f>HYPERLINK("http://141.218.60.56/~jnz1568/getInfo.php?workbook=14_02.xlsx&amp;sheet=A0&amp;row=69&amp;col=7&amp;number=0&amp;sourceID=14","0")</f>
        <v>0</v>
      </c>
    </row>
    <row r="70" spans="1:7">
      <c r="A70" s="3">
        <v>14</v>
      </c>
      <c r="B70" s="3">
        <v>2</v>
      </c>
      <c r="C70" s="3">
        <v>19</v>
      </c>
      <c r="D70" s="3">
        <v>7</v>
      </c>
      <c r="E70" s="3">
        <v>28.981</v>
      </c>
      <c r="F70" s="4" t="str">
        <f>HYPERLINK("http://141.218.60.56/~jnz1568/getInfo.php?workbook=14_02.xlsx&amp;sheet=A0&amp;row=70&amp;col=6&amp;number=72510000000&amp;sourceID=14","72510000000")</f>
        <v>72510000000</v>
      </c>
      <c r="G70" s="4" t="str">
        <f>HYPERLINK("http://141.218.60.56/~jnz1568/getInfo.php?workbook=14_02.xlsx&amp;sheet=A0&amp;row=70&amp;col=7&amp;number=0&amp;sourceID=14","0")</f>
        <v>0</v>
      </c>
    </row>
    <row r="71" spans="1:7">
      <c r="A71" s="3">
        <v>14</v>
      </c>
      <c r="B71" s="3">
        <v>2</v>
      </c>
      <c r="C71" s="3">
        <v>27</v>
      </c>
      <c r="D71" s="3">
        <v>7</v>
      </c>
      <c r="E71" s="3">
        <v>28.908</v>
      </c>
      <c r="F71" s="4" t="str">
        <f>HYPERLINK("http://141.218.60.56/~jnz1568/getInfo.php?workbook=14_02.xlsx&amp;sheet=A0&amp;row=71&amp;col=6&amp;number=583000000000&amp;sourceID=14","583000000000")</f>
        <v>583000000000</v>
      </c>
      <c r="G71" s="4" t="str">
        <f>HYPERLINK("http://141.218.60.56/~jnz1568/getInfo.php?workbook=14_02.xlsx&amp;sheet=A0&amp;row=71&amp;col=7&amp;number=0&amp;sourceID=14","0")</f>
        <v>0</v>
      </c>
    </row>
    <row r="72" spans="1:7">
      <c r="A72" s="3">
        <v>14</v>
      </c>
      <c r="B72" s="3">
        <v>2</v>
      </c>
      <c r="C72" s="3">
        <v>33</v>
      </c>
      <c r="D72" s="3">
        <v>7</v>
      </c>
      <c r="E72" s="3">
        <v>25.825</v>
      </c>
      <c r="F72" s="4" t="str">
        <f>HYPERLINK("http://141.218.60.56/~jnz1568/getInfo.php?workbook=14_02.xlsx&amp;sheet=A0&amp;row=72&amp;col=6&amp;number=36380000000&amp;sourceID=14","36380000000")</f>
        <v>36380000000</v>
      </c>
      <c r="G72" s="4" t="str">
        <f>HYPERLINK("http://141.218.60.56/~jnz1568/getInfo.php?workbook=14_02.xlsx&amp;sheet=A0&amp;row=72&amp;col=7&amp;number=0&amp;sourceID=14","0")</f>
        <v>0</v>
      </c>
    </row>
    <row r="73" spans="1:7">
      <c r="A73" s="3">
        <v>14</v>
      </c>
      <c r="B73" s="3">
        <v>2</v>
      </c>
      <c r="C73" s="3">
        <v>41</v>
      </c>
      <c r="D73" s="3">
        <v>7</v>
      </c>
      <c r="E73" s="3">
        <v>25.796</v>
      </c>
      <c r="F73" s="4" t="str">
        <f>HYPERLINK("http://141.218.60.56/~jnz1568/getInfo.php?workbook=14_02.xlsx&amp;sheet=A0&amp;row=73&amp;col=6&amp;number=266700000000&amp;sourceID=14","266700000000")</f>
        <v>266700000000</v>
      </c>
      <c r="G73" s="4" t="str">
        <f>HYPERLINK("http://141.218.60.56/~jnz1568/getInfo.php?workbook=14_02.xlsx&amp;sheet=A0&amp;row=73&amp;col=7&amp;number=0&amp;sourceID=14","0")</f>
        <v>0</v>
      </c>
    </row>
    <row r="74" spans="1:7">
      <c r="A74" s="3">
        <v>14</v>
      </c>
      <c r="B74" s="3">
        <v>2</v>
      </c>
      <c r="C74" s="3">
        <v>20</v>
      </c>
      <c r="D74" s="3">
        <v>8</v>
      </c>
      <c r="E74" s="3">
        <v>105.756</v>
      </c>
      <c r="F74" s="4" t="str">
        <f>HYPERLINK("http://141.218.60.56/~jnz1568/getInfo.php?workbook=14_02.xlsx&amp;sheet=A0&amp;row=74&amp;col=6&amp;number=96210000000&amp;sourceID=14","96210000000")</f>
        <v>96210000000</v>
      </c>
      <c r="G74" s="4" t="str">
        <f>HYPERLINK("http://141.218.60.56/~jnz1568/getInfo.php?workbook=14_02.xlsx&amp;sheet=A0&amp;row=74&amp;col=7&amp;number=0&amp;sourceID=14","0")</f>
        <v>0</v>
      </c>
    </row>
    <row r="75" spans="1:7">
      <c r="A75" s="3">
        <v>14</v>
      </c>
      <c r="B75" s="3">
        <v>2</v>
      </c>
      <c r="C75" s="3">
        <v>21</v>
      </c>
      <c r="D75" s="3">
        <v>8</v>
      </c>
      <c r="E75" s="3">
        <v>105.731</v>
      </c>
      <c r="F75" s="4" t="str">
        <f>HYPERLINK("http://141.218.60.56/~jnz1568/getInfo.php?workbook=14_02.xlsx&amp;sheet=A0&amp;row=75&amp;col=6&amp;number=96250000000&amp;sourceID=14","96250000000")</f>
        <v>96250000000</v>
      </c>
      <c r="G75" s="4" t="str">
        <f>HYPERLINK("http://141.218.60.56/~jnz1568/getInfo.php?workbook=14_02.xlsx&amp;sheet=A0&amp;row=75&amp;col=7&amp;number=0&amp;sourceID=14","0")</f>
        <v>0</v>
      </c>
    </row>
    <row r="76" spans="1:7">
      <c r="A76" s="3">
        <v>14</v>
      </c>
      <c r="B76" s="3">
        <v>2</v>
      </c>
      <c r="C76" s="3">
        <v>22</v>
      </c>
      <c r="D76" s="3">
        <v>8</v>
      </c>
      <c r="E76" s="3">
        <v>105.631</v>
      </c>
      <c r="F76" s="4" t="str">
        <f>HYPERLINK("http://141.218.60.56/~jnz1568/getInfo.php?workbook=14_02.xlsx&amp;sheet=A0&amp;row=76&amp;col=6&amp;number=96610000000&amp;sourceID=14","96610000000")</f>
        <v>96610000000</v>
      </c>
      <c r="G76" s="4" t="str">
        <f>HYPERLINK("http://141.218.60.56/~jnz1568/getInfo.php?workbook=14_02.xlsx&amp;sheet=A0&amp;row=76&amp;col=7&amp;number=0&amp;sourceID=14","0")</f>
        <v>0</v>
      </c>
    </row>
    <row r="77" spans="1:7">
      <c r="A77" s="3">
        <v>14</v>
      </c>
      <c r="B77" s="3">
        <v>2</v>
      </c>
      <c r="C77" s="3">
        <v>34</v>
      </c>
      <c r="D77" s="3">
        <v>8</v>
      </c>
      <c r="E77" s="3">
        <v>73.131</v>
      </c>
      <c r="F77" s="4" t="str">
        <f>HYPERLINK("http://141.218.60.56/~jnz1568/getInfo.php?workbook=14_02.xlsx&amp;sheet=A0&amp;row=77&amp;col=6&amp;number=50220000000&amp;sourceID=14","50220000000")</f>
        <v>50220000000</v>
      </c>
      <c r="G77" s="4" t="str">
        <f>HYPERLINK("http://141.218.60.56/~jnz1568/getInfo.php?workbook=14_02.xlsx&amp;sheet=A0&amp;row=77&amp;col=7&amp;number=0&amp;sourceID=14","0")</f>
        <v>0</v>
      </c>
    </row>
    <row r="78" spans="1:7">
      <c r="A78" s="3">
        <v>14</v>
      </c>
      <c r="B78" s="3">
        <v>2</v>
      </c>
      <c r="C78" s="3">
        <v>35</v>
      </c>
      <c r="D78" s="3">
        <v>8</v>
      </c>
      <c r="E78" s="3">
        <v>73.125</v>
      </c>
      <c r="F78" s="4" t="str">
        <f>HYPERLINK("http://141.218.60.56/~jnz1568/getInfo.php?workbook=14_02.xlsx&amp;sheet=A0&amp;row=78&amp;col=6&amp;number=50240000000&amp;sourceID=14","50240000000")</f>
        <v>50240000000</v>
      </c>
      <c r="G78" s="4" t="str">
        <f>HYPERLINK("http://141.218.60.56/~jnz1568/getInfo.php?workbook=14_02.xlsx&amp;sheet=A0&amp;row=78&amp;col=7&amp;number=0&amp;sourceID=14","0")</f>
        <v>0</v>
      </c>
    </row>
    <row r="79" spans="1:7">
      <c r="A79" s="3">
        <v>14</v>
      </c>
      <c r="B79" s="3">
        <v>2</v>
      </c>
      <c r="C79" s="3">
        <v>36</v>
      </c>
      <c r="D79" s="3">
        <v>8</v>
      </c>
      <c r="E79" s="3">
        <v>73.1</v>
      </c>
      <c r="F79" s="4" t="str">
        <f>HYPERLINK("http://141.218.60.56/~jnz1568/getInfo.php?workbook=14_02.xlsx&amp;sheet=A0&amp;row=79&amp;col=6&amp;number=50350000000&amp;sourceID=14","50350000000")</f>
        <v>50350000000</v>
      </c>
      <c r="G79" s="4" t="str">
        <f>HYPERLINK("http://141.218.60.56/~jnz1568/getInfo.php?workbook=14_02.xlsx&amp;sheet=A0&amp;row=79&amp;col=7&amp;number=0&amp;sourceID=14","0")</f>
        <v>0</v>
      </c>
    </row>
    <row r="80" spans="1:7">
      <c r="A80" s="3">
        <v>14</v>
      </c>
      <c r="B80" s="3">
        <v>2</v>
      </c>
      <c r="C80" s="3">
        <v>23</v>
      </c>
      <c r="D80" s="3">
        <v>9</v>
      </c>
      <c r="E80" s="3">
        <v>108.276</v>
      </c>
      <c r="F80" s="4" t="str">
        <f>HYPERLINK("http://141.218.60.56/~jnz1568/getInfo.php?workbook=14_02.xlsx&amp;sheet=A0&amp;row=80&amp;col=6&amp;number=91880000000&amp;sourceID=14","91880000000")</f>
        <v>91880000000</v>
      </c>
      <c r="G80" s="4" t="str">
        <f>HYPERLINK("http://141.218.60.56/~jnz1568/getInfo.php?workbook=14_02.xlsx&amp;sheet=A0&amp;row=80&amp;col=7&amp;number=0&amp;sourceID=14","0")</f>
        <v>0</v>
      </c>
    </row>
    <row r="81" spans="1:7">
      <c r="A81" s="3">
        <v>14</v>
      </c>
      <c r="B81" s="3">
        <v>2</v>
      </c>
      <c r="C81" s="3">
        <v>37</v>
      </c>
      <c r="D81" s="3">
        <v>9</v>
      </c>
      <c r="E81" s="3">
        <v>74.613</v>
      </c>
      <c r="F81" s="4" t="str">
        <f>HYPERLINK("http://141.218.60.56/~jnz1568/getInfo.php?workbook=14_02.xlsx&amp;sheet=A0&amp;row=81&amp;col=6&amp;number=48300000000&amp;sourceID=14","48300000000")</f>
        <v>48300000000</v>
      </c>
      <c r="G81" s="4" t="str">
        <f>HYPERLINK("http://141.218.60.56/~jnz1568/getInfo.php?workbook=14_02.xlsx&amp;sheet=A0&amp;row=81&amp;col=7&amp;number=0&amp;sourceID=14","0")</f>
        <v>0</v>
      </c>
    </row>
    <row r="82" spans="1:7">
      <c r="A82" s="3">
        <v>14</v>
      </c>
      <c r="B82" s="3">
        <v>2</v>
      </c>
      <c r="C82" s="3">
        <v>18</v>
      </c>
      <c r="D82" s="3">
        <v>10</v>
      </c>
      <c r="E82" s="3">
        <v>110.944</v>
      </c>
      <c r="F82" s="4" t="str">
        <f>HYPERLINK("http://141.218.60.56/~jnz1568/getInfo.php?workbook=14_02.xlsx&amp;sheet=A0&amp;row=82&amp;col=6&amp;number=646300000&amp;sourceID=14","646300000")</f>
        <v>646300000</v>
      </c>
      <c r="G82" s="4" t="str">
        <f>HYPERLINK("http://141.218.60.56/~jnz1568/getInfo.php?workbook=14_02.xlsx&amp;sheet=A0&amp;row=82&amp;col=7&amp;number=0&amp;sourceID=14","0")</f>
        <v>0</v>
      </c>
    </row>
    <row r="83" spans="1:7">
      <c r="A83" s="3">
        <v>14</v>
      </c>
      <c r="B83" s="3">
        <v>2</v>
      </c>
      <c r="C83" s="3">
        <v>24</v>
      </c>
      <c r="D83" s="3">
        <v>10</v>
      </c>
      <c r="E83" s="3">
        <v>108.396</v>
      </c>
      <c r="F83" s="4" t="str">
        <f>HYPERLINK("http://141.218.60.56/~jnz1568/getInfo.php?workbook=14_02.xlsx&amp;sheet=A0&amp;row=83&amp;col=6&amp;number=12980000000&amp;sourceID=14","12980000000")</f>
        <v>12980000000</v>
      </c>
      <c r="G83" s="4" t="str">
        <f>HYPERLINK("http://141.218.60.56/~jnz1568/getInfo.php?workbook=14_02.xlsx&amp;sheet=A0&amp;row=83&amp;col=7&amp;number=0&amp;sourceID=14","0")</f>
        <v>0</v>
      </c>
    </row>
    <row r="84" spans="1:7">
      <c r="A84" s="3">
        <v>14</v>
      </c>
      <c r="B84" s="3">
        <v>2</v>
      </c>
      <c r="C84" s="3">
        <v>32</v>
      </c>
      <c r="D84" s="3">
        <v>10</v>
      </c>
      <c r="E84" s="3">
        <v>75.212</v>
      </c>
      <c r="F84" s="4" t="str">
        <f>HYPERLINK("http://141.218.60.56/~jnz1568/getInfo.php?workbook=14_02.xlsx&amp;sheet=A0&amp;row=84&amp;col=6&amp;number=323900000&amp;sourceID=14","323900000")</f>
        <v>323900000</v>
      </c>
      <c r="G84" s="4" t="str">
        <f>HYPERLINK("http://141.218.60.56/~jnz1568/getInfo.php?workbook=14_02.xlsx&amp;sheet=A0&amp;row=84&amp;col=7&amp;number=0&amp;sourceID=14","0")</f>
        <v>0</v>
      </c>
    </row>
    <row r="85" spans="1:7">
      <c r="A85" s="3">
        <v>14</v>
      </c>
      <c r="B85" s="3">
        <v>2</v>
      </c>
      <c r="C85" s="3">
        <v>38</v>
      </c>
      <c r="D85" s="3">
        <v>10</v>
      </c>
      <c r="E85" s="3">
        <v>74.609</v>
      </c>
      <c r="F85" s="4" t="str">
        <f>HYPERLINK("http://141.218.60.56/~jnz1568/getInfo.php?workbook=14_02.xlsx&amp;sheet=A0&amp;row=85&amp;col=6&amp;number=6168000000&amp;sourceID=14","6168000000")</f>
        <v>6168000000</v>
      </c>
      <c r="G85" s="4" t="str">
        <f>HYPERLINK("http://141.218.60.56/~jnz1568/getInfo.php?workbook=14_02.xlsx&amp;sheet=A0&amp;row=85&amp;col=7&amp;number=0&amp;sourceID=14","0")</f>
        <v>0</v>
      </c>
    </row>
    <row r="86" spans="1:7">
      <c r="A86" s="3">
        <v>14</v>
      </c>
      <c r="B86" s="3">
        <v>2</v>
      </c>
      <c r="C86" s="3">
        <v>18</v>
      </c>
      <c r="D86" s="3">
        <v>11</v>
      </c>
      <c r="E86" s="3">
        <v>111.01</v>
      </c>
      <c r="F86" s="4" t="str">
        <f>HYPERLINK("http://141.218.60.56/~jnz1568/getInfo.php?workbook=14_02.xlsx&amp;sheet=A0&amp;row=86&amp;col=6&amp;number=5810000000&amp;sourceID=14","5810000000")</f>
        <v>5810000000</v>
      </c>
      <c r="G86" s="4" t="str">
        <f>HYPERLINK("http://141.218.60.56/~jnz1568/getInfo.php?workbook=14_02.xlsx&amp;sheet=A0&amp;row=86&amp;col=7&amp;number=0&amp;sourceID=14","0")</f>
        <v>0</v>
      </c>
    </row>
    <row r="87" spans="1:7">
      <c r="A87" s="3">
        <v>14</v>
      </c>
      <c r="B87" s="3">
        <v>2</v>
      </c>
      <c r="C87" s="3">
        <v>24</v>
      </c>
      <c r="D87" s="3">
        <v>11</v>
      </c>
      <c r="E87" s="3">
        <v>108.459</v>
      </c>
      <c r="F87" s="4" t="str">
        <f>HYPERLINK("http://141.218.60.56/~jnz1568/getInfo.php?workbook=14_02.xlsx&amp;sheet=A0&amp;row=87&amp;col=6&amp;number=29190000000&amp;sourceID=14","29190000000")</f>
        <v>29190000000</v>
      </c>
      <c r="G87" s="4" t="str">
        <f>HYPERLINK("http://141.218.60.56/~jnz1568/getInfo.php?workbook=14_02.xlsx&amp;sheet=A0&amp;row=87&amp;col=7&amp;number=0&amp;sourceID=14","0")</f>
        <v>0</v>
      </c>
    </row>
    <row r="88" spans="1:7">
      <c r="A88" s="3">
        <v>14</v>
      </c>
      <c r="B88" s="3">
        <v>2</v>
      </c>
      <c r="C88" s="3">
        <v>25</v>
      </c>
      <c r="D88" s="3">
        <v>11</v>
      </c>
      <c r="E88" s="3">
        <v>-108.629</v>
      </c>
      <c r="F88" s="4" t="str">
        <f>HYPERLINK("http://141.218.60.56/~jnz1568/getInfo.php?workbook=14_02.xlsx&amp;sheet=A0&amp;row=88&amp;col=6&amp;number=52390000000&amp;sourceID=14","52390000000")</f>
        <v>52390000000</v>
      </c>
      <c r="G88" s="4" t="str">
        <f>HYPERLINK("http://141.218.60.56/~jnz1568/getInfo.php?workbook=14_02.xlsx&amp;sheet=A0&amp;row=88&amp;col=7&amp;number=0&amp;sourceID=14","0")</f>
        <v>0</v>
      </c>
    </row>
    <row r="89" spans="1:7">
      <c r="A89" s="3">
        <v>14</v>
      </c>
      <c r="B89" s="3">
        <v>2</v>
      </c>
      <c r="C89" s="3">
        <v>32</v>
      </c>
      <c r="D89" s="3">
        <v>11</v>
      </c>
      <c r="E89" s="3">
        <v>75.242</v>
      </c>
      <c r="F89" s="4" t="str">
        <f>HYPERLINK("http://141.218.60.56/~jnz1568/getInfo.php?workbook=14_02.xlsx&amp;sheet=A0&amp;row=89&amp;col=6&amp;number=2913000000&amp;sourceID=14","2913000000")</f>
        <v>2913000000</v>
      </c>
      <c r="G89" s="4" t="str">
        <f>HYPERLINK("http://141.218.60.56/~jnz1568/getInfo.php?workbook=14_02.xlsx&amp;sheet=A0&amp;row=89&amp;col=7&amp;number=0&amp;sourceID=14","0")</f>
        <v>0</v>
      </c>
    </row>
    <row r="90" spans="1:7">
      <c r="A90" s="3">
        <v>14</v>
      </c>
      <c r="B90" s="3">
        <v>2</v>
      </c>
      <c r="C90" s="3">
        <v>38</v>
      </c>
      <c r="D90" s="3">
        <v>11</v>
      </c>
      <c r="E90" s="3">
        <v>74.639</v>
      </c>
      <c r="F90" s="4" t="str">
        <f>HYPERLINK("http://141.218.60.56/~jnz1568/getInfo.php?workbook=14_02.xlsx&amp;sheet=A0&amp;row=90&amp;col=6&amp;number=13880000000&amp;sourceID=14","13880000000")</f>
        <v>13880000000</v>
      </c>
      <c r="G90" s="4" t="str">
        <f>HYPERLINK("http://141.218.60.56/~jnz1568/getInfo.php?workbook=14_02.xlsx&amp;sheet=A0&amp;row=90&amp;col=7&amp;number=0&amp;sourceID=14","0")</f>
        <v>0</v>
      </c>
    </row>
    <row r="91" spans="1:7">
      <c r="A91" s="3">
        <v>14</v>
      </c>
      <c r="B91" s="3">
        <v>2</v>
      </c>
      <c r="C91" s="3">
        <v>39</v>
      </c>
      <c r="D91" s="3">
        <v>11</v>
      </c>
      <c r="E91" s="3">
        <v>-74.868</v>
      </c>
      <c r="F91" s="4" t="str">
        <f>HYPERLINK("http://141.218.60.56/~jnz1568/getInfo.php?workbook=14_02.xlsx&amp;sheet=A0&amp;row=91&amp;col=6&amp;number=24830000000&amp;sourceID=14","24830000000")</f>
        <v>24830000000</v>
      </c>
      <c r="G91" s="4" t="str">
        <f>HYPERLINK("http://141.218.60.56/~jnz1568/getInfo.php?workbook=14_02.xlsx&amp;sheet=A0&amp;row=91&amp;col=7&amp;number=0&amp;sourceID=14","0")</f>
        <v>0</v>
      </c>
    </row>
    <row r="92" spans="1:7">
      <c r="A92" s="3">
        <v>14</v>
      </c>
      <c r="B92" s="3">
        <v>2</v>
      </c>
      <c r="C92" s="3">
        <v>18</v>
      </c>
      <c r="D92" s="3">
        <v>12</v>
      </c>
      <c r="E92" s="3">
        <v>111.272</v>
      </c>
      <c r="F92" s="4" t="str">
        <f>HYPERLINK("http://141.218.60.56/~jnz1568/getInfo.php?workbook=14_02.xlsx&amp;sheet=A0&amp;row=92&amp;col=6&amp;number=16090000000&amp;sourceID=14","16090000000")</f>
        <v>16090000000</v>
      </c>
      <c r="G92" s="4" t="str">
        <f>HYPERLINK("http://141.218.60.56/~jnz1568/getInfo.php?workbook=14_02.xlsx&amp;sheet=A0&amp;row=92&amp;col=7&amp;number=0&amp;sourceID=14","0")</f>
        <v>0</v>
      </c>
    </row>
    <row r="93" spans="1:7">
      <c r="A93" s="3">
        <v>14</v>
      </c>
      <c r="B93" s="3">
        <v>2</v>
      </c>
      <c r="C93" s="3">
        <v>24</v>
      </c>
      <c r="D93" s="3">
        <v>12</v>
      </c>
      <c r="E93" s="3">
        <v>108.709</v>
      </c>
      <c r="F93" s="4" t="str">
        <f>HYPERLINK("http://141.218.60.56/~jnz1568/getInfo.php?workbook=14_02.xlsx&amp;sheet=A0&amp;row=93&amp;col=6&amp;number=145300000000&amp;sourceID=14","145300000000")</f>
        <v>145300000000</v>
      </c>
      <c r="G93" s="4" t="str">
        <f>HYPERLINK("http://141.218.60.56/~jnz1568/getInfo.php?workbook=14_02.xlsx&amp;sheet=A0&amp;row=93&amp;col=7&amp;number=0&amp;sourceID=14","0")</f>
        <v>0</v>
      </c>
    </row>
    <row r="94" spans="1:7">
      <c r="A94" s="3">
        <v>14</v>
      </c>
      <c r="B94" s="3">
        <v>2</v>
      </c>
      <c r="C94" s="3">
        <v>25</v>
      </c>
      <c r="D94" s="3">
        <v>12</v>
      </c>
      <c r="E94" s="3">
        <v>-108.883</v>
      </c>
      <c r="F94" s="4" t="str">
        <f>HYPERLINK("http://141.218.60.56/~jnz1568/getInfo.php?workbook=14_02.xlsx&amp;sheet=A0&amp;row=94&amp;col=6&amp;number=28960000000&amp;sourceID=14","28960000000")</f>
        <v>28960000000</v>
      </c>
      <c r="G94" s="4" t="str">
        <f>HYPERLINK("http://141.218.60.56/~jnz1568/getInfo.php?workbook=14_02.xlsx&amp;sheet=A0&amp;row=94&amp;col=7&amp;number=0&amp;sourceID=14","0")</f>
        <v>0</v>
      </c>
    </row>
    <row r="95" spans="1:7">
      <c r="A95" s="3">
        <v>14</v>
      </c>
      <c r="B95" s="3">
        <v>2</v>
      </c>
      <c r="C95" s="3">
        <v>26</v>
      </c>
      <c r="D95" s="3">
        <v>12</v>
      </c>
      <c r="E95" s="3">
        <v>108.668</v>
      </c>
      <c r="F95" s="4" t="str">
        <f>HYPERLINK("http://141.218.60.56/~jnz1568/getInfo.php?workbook=14_02.xlsx&amp;sheet=A0&amp;row=95&amp;col=6&amp;number=116500000000&amp;sourceID=14","116500000000")</f>
        <v>116500000000</v>
      </c>
      <c r="G95" s="4" t="str">
        <f>HYPERLINK("http://141.218.60.56/~jnz1568/getInfo.php?workbook=14_02.xlsx&amp;sheet=A0&amp;row=95&amp;col=7&amp;number=0&amp;sourceID=14","0")</f>
        <v>0</v>
      </c>
    </row>
    <row r="96" spans="1:7">
      <c r="A96" s="3">
        <v>14</v>
      </c>
      <c r="B96" s="3">
        <v>2</v>
      </c>
      <c r="C96" s="3">
        <v>32</v>
      </c>
      <c r="D96" s="3">
        <v>12</v>
      </c>
      <c r="E96" s="3">
        <v>75.362</v>
      </c>
      <c r="F96" s="4" t="str">
        <f>HYPERLINK("http://141.218.60.56/~jnz1568/getInfo.php?workbook=14_02.xlsx&amp;sheet=A0&amp;row=96&amp;col=6&amp;number=8080000000&amp;sourceID=14","8080000000")</f>
        <v>8080000000</v>
      </c>
      <c r="G96" s="4" t="str">
        <f>HYPERLINK("http://141.218.60.56/~jnz1568/getInfo.php?workbook=14_02.xlsx&amp;sheet=A0&amp;row=96&amp;col=7&amp;number=0&amp;sourceID=14","0")</f>
        <v>0</v>
      </c>
    </row>
    <row r="97" spans="1:7">
      <c r="A97" s="3">
        <v>14</v>
      </c>
      <c r="B97" s="3">
        <v>2</v>
      </c>
      <c r="C97" s="3">
        <v>38</v>
      </c>
      <c r="D97" s="3">
        <v>12</v>
      </c>
      <c r="E97" s="3">
        <v>74.757</v>
      </c>
      <c r="F97" s="4" t="str">
        <f>HYPERLINK("http://141.218.60.56/~jnz1568/getInfo.php?workbook=14_02.xlsx&amp;sheet=A0&amp;row=97&amp;col=6&amp;number=69190000000&amp;sourceID=14","69190000000")</f>
        <v>69190000000</v>
      </c>
      <c r="G97" s="4" t="str">
        <f>HYPERLINK("http://141.218.60.56/~jnz1568/getInfo.php?workbook=14_02.xlsx&amp;sheet=A0&amp;row=97&amp;col=7&amp;number=0&amp;sourceID=14","0")</f>
        <v>0</v>
      </c>
    </row>
    <row r="98" spans="1:7">
      <c r="A98" s="3">
        <v>14</v>
      </c>
      <c r="B98" s="3">
        <v>2</v>
      </c>
      <c r="C98" s="3">
        <v>39</v>
      </c>
      <c r="D98" s="3">
        <v>12</v>
      </c>
      <c r="E98" s="3">
        <v>-74.989</v>
      </c>
      <c r="F98" s="4" t="str">
        <f>HYPERLINK("http://141.218.60.56/~jnz1568/getInfo.php?workbook=14_02.xlsx&amp;sheet=A0&amp;row=98&amp;col=6&amp;number=13750000000&amp;sourceID=14","13750000000")</f>
        <v>13750000000</v>
      </c>
      <c r="G98" s="4" t="str">
        <f>HYPERLINK("http://141.218.60.56/~jnz1568/getInfo.php?workbook=14_02.xlsx&amp;sheet=A0&amp;row=98&amp;col=7&amp;number=0&amp;sourceID=14","0")</f>
        <v>0</v>
      </c>
    </row>
    <row r="99" spans="1:7">
      <c r="A99" s="3">
        <v>14</v>
      </c>
      <c r="B99" s="3">
        <v>2</v>
      </c>
      <c r="C99" s="3">
        <v>40</v>
      </c>
      <c r="D99" s="3">
        <v>12</v>
      </c>
      <c r="E99" s="3">
        <v>74.747</v>
      </c>
      <c r="F99" s="4" t="str">
        <f>HYPERLINK("http://141.218.60.56/~jnz1568/getInfo.php?workbook=14_02.xlsx&amp;sheet=A0&amp;row=99&amp;col=6&amp;number=55400000000&amp;sourceID=14","55400000000")</f>
        <v>55400000000</v>
      </c>
      <c r="G99" s="4" t="str">
        <f>HYPERLINK("http://141.218.60.56/~jnz1568/getInfo.php?workbook=14_02.xlsx&amp;sheet=A0&amp;row=99&amp;col=7&amp;number=0&amp;sourceID=14","0")</f>
        <v>0</v>
      </c>
    </row>
    <row r="100" spans="1:7">
      <c r="A100" s="3">
        <v>14</v>
      </c>
      <c r="B100" s="3">
        <v>2</v>
      </c>
      <c r="C100" s="3">
        <v>19</v>
      </c>
      <c r="D100" s="3">
        <v>13</v>
      </c>
      <c r="E100" s="3">
        <v>112.472</v>
      </c>
      <c r="F100" s="4" t="str">
        <f>HYPERLINK("http://141.218.60.56/~jnz1568/getInfo.php?workbook=14_02.xlsx&amp;sheet=A0&amp;row=100&amp;col=6&amp;number=50990000000&amp;sourceID=14","50990000000")</f>
        <v>50990000000</v>
      </c>
      <c r="G100" s="4" t="str">
        <f>HYPERLINK("http://141.218.60.56/~jnz1568/getInfo.php?workbook=14_02.xlsx&amp;sheet=A0&amp;row=100&amp;col=7&amp;number=0&amp;sourceID=14","0")</f>
        <v>0</v>
      </c>
    </row>
    <row r="101" spans="1:7">
      <c r="A101" s="3">
        <v>14</v>
      </c>
      <c r="B101" s="3">
        <v>2</v>
      </c>
      <c r="C101" s="3">
        <v>27</v>
      </c>
      <c r="D101" s="3">
        <v>13</v>
      </c>
      <c r="E101" s="3">
        <v>111.381</v>
      </c>
      <c r="F101" s="4" t="str">
        <f>HYPERLINK("http://141.218.60.56/~jnz1568/getInfo.php?workbook=14_02.xlsx&amp;sheet=A0&amp;row=101&amp;col=6&amp;number=199400000000&amp;sourceID=14","199400000000")</f>
        <v>199400000000</v>
      </c>
      <c r="G101" s="4" t="str">
        <f>HYPERLINK("http://141.218.60.56/~jnz1568/getInfo.php?workbook=14_02.xlsx&amp;sheet=A0&amp;row=101&amp;col=7&amp;number=0&amp;sourceID=14","0")</f>
        <v>0</v>
      </c>
    </row>
    <row r="102" spans="1:7">
      <c r="A102" s="3">
        <v>14</v>
      </c>
      <c r="B102" s="3">
        <v>2</v>
      </c>
      <c r="C102" s="3">
        <v>33</v>
      </c>
      <c r="D102" s="3">
        <v>13</v>
      </c>
      <c r="E102" s="3">
        <v>76.288</v>
      </c>
      <c r="F102" s="4" t="str">
        <f>HYPERLINK("http://141.218.60.56/~jnz1568/getInfo.php?workbook=14_02.xlsx&amp;sheet=A0&amp;row=102&amp;col=6&amp;number=25520000000&amp;sourceID=14","25520000000")</f>
        <v>25520000000</v>
      </c>
      <c r="G102" s="4" t="str">
        <f>HYPERLINK("http://141.218.60.56/~jnz1568/getInfo.php?workbook=14_02.xlsx&amp;sheet=A0&amp;row=102&amp;col=7&amp;number=0&amp;sourceID=14","0")</f>
        <v>0</v>
      </c>
    </row>
    <row r="103" spans="1:7">
      <c r="A103" s="3">
        <v>14</v>
      </c>
      <c r="B103" s="3">
        <v>2</v>
      </c>
      <c r="C103" s="3">
        <v>41</v>
      </c>
      <c r="D103" s="3">
        <v>13</v>
      </c>
      <c r="E103" s="3">
        <v>76.03</v>
      </c>
      <c r="F103" s="4" t="str">
        <f>HYPERLINK("http://141.218.60.56/~jnz1568/getInfo.php?workbook=14_02.xlsx&amp;sheet=A0&amp;row=103&amp;col=6&amp;number=96320000000&amp;sourceID=14","96320000000")</f>
        <v>96320000000</v>
      </c>
      <c r="G103" s="4" t="str">
        <f>HYPERLINK("http://141.218.60.56/~jnz1568/getInfo.php?workbook=14_02.xlsx&amp;sheet=A0&amp;row=103&amp;col=7&amp;number=0&amp;sourceID=14","0")</f>
        <v>0</v>
      </c>
    </row>
    <row r="104" spans="1:7">
      <c r="A104" s="3">
        <v>14</v>
      </c>
      <c r="B104" s="3">
        <v>2</v>
      </c>
      <c r="C104" s="3">
        <v>20</v>
      </c>
      <c r="D104" s="3">
        <v>14</v>
      </c>
      <c r="E104" s="3">
        <v>111.819</v>
      </c>
      <c r="F104" s="4" t="str">
        <f>HYPERLINK("http://141.218.60.56/~jnz1568/getInfo.php?workbook=14_02.xlsx&amp;sheet=A0&amp;row=104&amp;col=6&amp;number=1951000000&amp;sourceID=14","1951000000")</f>
        <v>1951000000</v>
      </c>
      <c r="G104" s="4" t="str">
        <f>HYPERLINK("http://141.218.60.56/~jnz1568/getInfo.php?workbook=14_02.xlsx&amp;sheet=A0&amp;row=104&amp;col=7&amp;number=0&amp;sourceID=14","0")</f>
        <v>0</v>
      </c>
    </row>
    <row r="105" spans="1:7">
      <c r="A105" s="3">
        <v>14</v>
      </c>
      <c r="B105" s="3">
        <v>2</v>
      </c>
      <c r="C105" s="3">
        <v>21</v>
      </c>
      <c r="D105" s="3">
        <v>14</v>
      </c>
      <c r="E105" s="3">
        <v>111.79</v>
      </c>
      <c r="F105" s="4" t="str">
        <f>HYPERLINK("http://141.218.60.56/~jnz1568/getInfo.php?workbook=14_02.xlsx&amp;sheet=A0&amp;row=105&amp;col=6&amp;number=488300000&amp;sourceID=14","488300000")</f>
        <v>488300000</v>
      </c>
      <c r="G105" s="4" t="str">
        <f>HYPERLINK("http://141.218.60.56/~jnz1568/getInfo.php?workbook=14_02.xlsx&amp;sheet=A0&amp;row=105&amp;col=7&amp;number=0&amp;sourceID=14","0")</f>
        <v>0</v>
      </c>
    </row>
    <row r="106" spans="1:7">
      <c r="A106" s="3">
        <v>14</v>
      </c>
      <c r="B106" s="3">
        <v>2</v>
      </c>
      <c r="C106" s="3">
        <v>22</v>
      </c>
      <c r="D106" s="3">
        <v>14</v>
      </c>
      <c r="E106" s="3">
        <v>111.679</v>
      </c>
      <c r="F106" s="4" t="str">
        <f>HYPERLINK("http://141.218.60.56/~jnz1568/getInfo.php?workbook=14_02.xlsx&amp;sheet=A0&amp;row=106&amp;col=6&amp;number=881200000&amp;sourceID=14","881200000")</f>
        <v>881200000</v>
      </c>
      <c r="G106" s="4" t="str">
        <f>HYPERLINK("http://141.218.60.56/~jnz1568/getInfo.php?workbook=14_02.xlsx&amp;sheet=A0&amp;row=106&amp;col=7&amp;number=0&amp;sourceID=14","0")</f>
        <v>0</v>
      </c>
    </row>
    <row r="107" spans="1:7">
      <c r="A107" s="3">
        <v>14</v>
      </c>
      <c r="B107" s="3">
        <v>2</v>
      </c>
      <c r="C107" s="3">
        <v>28</v>
      </c>
      <c r="D107" s="3">
        <v>14</v>
      </c>
      <c r="E107" s="3">
        <v>-111.228</v>
      </c>
      <c r="F107" s="4" t="str">
        <f>HYPERLINK("http://141.218.60.56/~jnz1568/getInfo.php?workbook=14_02.xlsx&amp;sheet=A0&amp;row=107&amp;col=6&amp;number=65830000000&amp;sourceID=14","65830000000")</f>
        <v>65830000000</v>
      </c>
      <c r="G107" s="4" t="str">
        <f>HYPERLINK("http://141.218.60.56/~jnz1568/getInfo.php?workbook=14_02.xlsx&amp;sheet=A0&amp;row=107&amp;col=7&amp;number=0&amp;sourceID=14","0")</f>
        <v>0</v>
      </c>
    </row>
    <row r="108" spans="1:7">
      <c r="A108" s="3">
        <v>14</v>
      </c>
      <c r="B108" s="3">
        <v>2</v>
      </c>
      <c r="C108" s="3">
        <v>34</v>
      </c>
      <c r="D108" s="3">
        <v>14</v>
      </c>
      <c r="E108" s="3">
        <v>75.98</v>
      </c>
      <c r="F108" s="4" t="str">
        <f>HYPERLINK("http://141.218.60.56/~jnz1568/getInfo.php?workbook=14_02.xlsx&amp;sheet=A0&amp;row=108&amp;col=6&amp;number=849800000&amp;sourceID=14","849800000")</f>
        <v>849800000</v>
      </c>
      <c r="G108" s="4" t="str">
        <f>HYPERLINK("http://141.218.60.56/~jnz1568/getInfo.php?workbook=14_02.xlsx&amp;sheet=A0&amp;row=108&amp;col=7&amp;number=0&amp;sourceID=14","0")</f>
        <v>0</v>
      </c>
    </row>
    <row r="109" spans="1:7">
      <c r="A109" s="3">
        <v>14</v>
      </c>
      <c r="B109" s="3">
        <v>2</v>
      </c>
      <c r="C109" s="3">
        <v>35</v>
      </c>
      <c r="D109" s="3">
        <v>14</v>
      </c>
      <c r="E109" s="3">
        <v>75.973</v>
      </c>
      <c r="F109" s="4" t="str">
        <f>HYPERLINK("http://141.218.60.56/~jnz1568/getInfo.php?workbook=14_02.xlsx&amp;sheet=A0&amp;row=109&amp;col=6&amp;number=212600000&amp;sourceID=14","212600000")</f>
        <v>212600000</v>
      </c>
      <c r="G109" s="4" t="str">
        <f>HYPERLINK("http://141.218.60.56/~jnz1568/getInfo.php?workbook=14_02.xlsx&amp;sheet=A0&amp;row=109&amp;col=7&amp;number=0&amp;sourceID=14","0")</f>
        <v>0</v>
      </c>
    </row>
    <row r="110" spans="1:7">
      <c r="A110" s="3">
        <v>14</v>
      </c>
      <c r="B110" s="3">
        <v>2</v>
      </c>
      <c r="C110" s="3">
        <v>36</v>
      </c>
      <c r="D110" s="3">
        <v>14</v>
      </c>
      <c r="E110" s="3">
        <v>75.947</v>
      </c>
      <c r="F110" s="4" t="str">
        <f>HYPERLINK("http://141.218.60.56/~jnz1568/getInfo.php?workbook=14_02.xlsx&amp;sheet=A0&amp;row=110&amp;col=6&amp;number=383300000&amp;sourceID=14","383300000")</f>
        <v>383300000</v>
      </c>
      <c r="G110" s="4" t="str">
        <f>HYPERLINK("http://141.218.60.56/~jnz1568/getInfo.php?workbook=14_02.xlsx&amp;sheet=A0&amp;row=110&amp;col=7&amp;number=0&amp;sourceID=14","0")</f>
        <v>0</v>
      </c>
    </row>
    <row r="111" spans="1:7">
      <c r="A111" s="3">
        <v>14</v>
      </c>
      <c r="B111" s="3">
        <v>2</v>
      </c>
      <c r="C111" s="3">
        <v>42</v>
      </c>
      <c r="D111" s="3">
        <v>14</v>
      </c>
      <c r="E111" s="3">
        <v>-76.094</v>
      </c>
      <c r="F111" s="4" t="str">
        <f>HYPERLINK("http://141.218.60.56/~jnz1568/getInfo.php?workbook=14_02.xlsx&amp;sheet=A0&amp;row=111&amp;col=6&amp;number=21640000000&amp;sourceID=14","21640000000")</f>
        <v>21640000000</v>
      </c>
      <c r="G111" s="4" t="str">
        <f>HYPERLINK("http://141.218.60.56/~jnz1568/getInfo.php?workbook=14_02.xlsx&amp;sheet=A0&amp;row=111&amp;col=7&amp;number=0&amp;sourceID=14","0")</f>
        <v>0</v>
      </c>
    </row>
    <row r="112" spans="1:7">
      <c r="A112" s="3">
        <v>14</v>
      </c>
      <c r="B112" s="3">
        <v>2</v>
      </c>
      <c r="C112" s="3">
        <v>21</v>
      </c>
      <c r="D112" s="3">
        <v>15</v>
      </c>
      <c r="E112" s="3">
        <v>111.794</v>
      </c>
      <c r="F112" s="4" t="str">
        <f>HYPERLINK("http://141.218.60.56/~jnz1568/getInfo.php?workbook=14_02.xlsx&amp;sheet=A0&amp;row=112&amp;col=6&amp;number=2443000000&amp;sourceID=14","2443000000")</f>
        <v>2443000000</v>
      </c>
      <c r="G112" s="4" t="str">
        <f>HYPERLINK("http://141.218.60.56/~jnz1568/getInfo.php?workbook=14_02.xlsx&amp;sheet=A0&amp;row=112&amp;col=7&amp;number=0&amp;sourceID=14","0")</f>
        <v>0</v>
      </c>
    </row>
    <row r="113" spans="1:7">
      <c r="A113" s="3">
        <v>14</v>
      </c>
      <c r="B113" s="3">
        <v>2</v>
      </c>
      <c r="C113" s="3">
        <v>22</v>
      </c>
      <c r="D113" s="3">
        <v>15</v>
      </c>
      <c r="E113" s="3">
        <v>111.682</v>
      </c>
      <c r="F113" s="4" t="str">
        <f>HYPERLINK("http://141.218.60.56/~jnz1568/getInfo.php?workbook=14_02.xlsx&amp;sheet=A0&amp;row=113&amp;col=6&amp;number=489300000&amp;sourceID=14","489300000")</f>
        <v>489300000</v>
      </c>
      <c r="G113" s="4" t="str">
        <f>HYPERLINK("http://141.218.60.56/~jnz1568/getInfo.php?workbook=14_02.xlsx&amp;sheet=A0&amp;row=113&amp;col=7&amp;number=0&amp;sourceID=14","0")</f>
        <v>0</v>
      </c>
    </row>
    <row r="114" spans="1:7">
      <c r="A114" s="3">
        <v>14</v>
      </c>
      <c r="B114" s="3">
        <v>2</v>
      </c>
      <c r="C114" s="3">
        <v>28</v>
      </c>
      <c r="D114" s="3">
        <v>15</v>
      </c>
      <c r="E114" s="3">
        <v>-111.495</v>
      </c>
      <c r="F114" s="4" t="str">
        <f>HYPERLINK("http://141.218.60.56/~jnz1568/getInfo.php?workbook=14_02.xlsx&amp;sheet=A0&amp;row=114&amp;col=6&amp;number=20200000000&amp;sourceID=14","20200000000")</f>
        <v>20200000000</v>
      </c>
      <c r="G114" s="4" t="str">
        <f>HYPERLINK("http://141.218.60.56/~jnz1568/getInfo.php?workbook=14_02.xlsx&amp;sheet=A0&amp;row=114&amp;col=7&amp;number=0&amp;sourceID=14","0")</f>
        <v>0</v>
      </c>
    </row>
    <row r="115" spans="1:7">
      <c r="A115" s="3">
        <v>14</v>
      </c>
      <c r="B115" s="3">
        <v>2</v>
      </c>
      <c r="C115" s="3">
        <v>29</v>
      </c>
      <c r="D115" s="3">
        <v>15</v>
      </c>
      <c r="E115" s="3">
        <v>-111.495</v>
      </c>
      <c r="F115" s="4" t="str">
        <f>HYPERLINK("http://141.218.60.56/~jnz1568/getInfo.php?workbook=14_02.xlsx&amp;sheet=A0&amp;row=115&amp;col=6&amp;number=115500000000&amp;sourceID=14","115500000000")</f>
        <v>115500000000</v>
      </c>
      <c r="G115" s="4" t="str">
        <f>HYPERLINK("http://141.218.60.56/~jnz1568/getInfo.php?workbook=14_02.xlsx&amp;sheet=A0&amp;row=115&amp;col=7&amp;number=0&amp;sourceID=14","0")</f>
        <v>0</v>
      </c>
    </row>
    <row r="116" spans="1:7">
      <c r="A116" s="3">
        <v>14</v>
      </c>
      <c r="B116" s="3">
        <v>2</v>
      </c>
      <c r="C116" s="3">
        <v>35</v>
      </c>
      <c r="D116" s="3">
        <v>15</v>
      </c>
      <c r="E116" s="3">
        <v>75.975</v>
      </c>
      <c r="F116" s="4" t="str">
        <f>HYPERLINK("http://141.218.60.56/~jnz1568/getInfo.php?workbook=14_02.xlsx&amp;sheet=A0&amp;row=116&amp;col=6&amp;number=1064000000&amp;sourceID=14","1064000000")</f>
        <v>1064000000</v>
      </c>
      <c r="G116" s="4" t="str">
        <f>HYPERLINK("http://141.218.60.56/~jnz1568/getInfo.php?workbook=14_02.xlsx&amp;sheet=A0&amp;row=116&amp;col=7&amp;number=0&amp;sourceID=14","0")</f>
        <v>0</v>
      </c>
    </row>
    <row r="117" spans="1:7">
      <c r="A117" s="3">
        <v>14</v>
      </c>
      <c r="B117" s="3">
        <v>2</v>
      </c>
      <c r="C117" s="3">
        <v>36</v>
      </c>
      <c r="D117" s="3">
        <v>15</v>
      </c>
      <c r="E117" s="3">
        <v>75.948</v>
      </c>
      <c r="F117" s="4" t="str">
        <f>HYPERLINK("http://141.218.60.56/~jnz1568/getInfo.php?workbook=14_02.xlsx&amp;sheet=A0&amp;row=117&amp;col=6&amp;number=212800000&amp;sourceID=14","212800000")</f>
        <v>212800000</v>
      </c>
      <c r="G117" s="4" t="str">
        <f>HYPERLINK("http://141.218.60.56/~jnz1568/getInfo.php?workbook=14_02.xlsx&amp;sheet=A0&amp;row=117&amp;col=7&amp;number=0&amp;sourceID=14","0")</f>
        <v>0</v>
      </c>
    </row>
    <row r="118" spans="1:7">
      <c r="A118" s="3">
        <v>14</v>
      </c>
      <c r="B118" s="3">
        <v>2</v>
      </c>
      <c r="C118" s="3">
        <v>42</v>
      </c>
      <c r="D118" s="3">
        <v>15</v>
      </c>
      <c r="E118" s="3">
        <v>-76.219</v>
      </c>
      <c r="F118" s="4" t="str">
        <f>HYPERLINK("http://141.218.60.56/~jnz1568/getInfo.php?workbook=14_02.xlsx&amp;sheet=A0&amp;row=118&amp;col=6&amp;number=6649000000&amp;sourceID=14","6649000000")</f>
        <v>6649000000</v>
      </c>
      <c r="G118" s="4" t="str">
        <f>HYPERLINK("http://141.218.60.56/~jnz1568/getInfo.php?workbook=14_02.xlsx&amp;sheet=A0&amp;row=118&amp;col=7&amp;number=0&amp;sourceID=14","0")</f>
        <v>0</v>
      </c>
    </row>
    <row r="119" spans="1:7">
      <c r="A119" s="3">
        <v>14</v>
      </c>
      <c r="B119" s="3">
        <v>2</v>
      </c>
      <c r="C119" s="3">
        <v>43</v>
      </c>
      <c r="D119" s="3">
        <v>15</v>
      </c>
      <c r="E119" s="3">
        <v>-76.219</v>
      </c>
      <c r="F119" s="4" t="str">
        <f>HYPERLINK("http://141.218.60.56/~jnz1568/getInfo.php?workbook=14_02.xlsx&amp;sheet=A0&amp;row=119&amp;col=6&amp;number=38030000000&amp;sourceID=14","38030000000")</f>
        <v>38030000000</v>
      </c>
      <c r="G119" s="4" t="str">
        <f>HYPERLINK("http://141.218.60.56/~jnz1568/getInfo.php?workbook=14_02.xlsx&amp;sheet=A0&amp;row=119&amp;col=7&amp;number=0&amp;sourceID=14","0")</f>
        <v>0</v>
      </c>
    </row>
    <row r="120" spans="1:7">
      <c r="A120" s="3">
        <v>14</v>
      </c>
      <c r="B120" s="3">
        <v>2</v>
      </c>
      <c r="C120" s="3">
        <v>22</v>
      </c>
      <c r="D120" s="3">
        <v>16</v>
      </c>
      <c r="E120" s="3">
        <v>111.784</v>
      </c>
      <c r="F120" s="4" t="str">
        <f>HYPERLINK("http://141.218.60.56/~jnz1568/getInfo.php?workbook=14_02.xlsx&amp;sheet=A0&amp;row=120&amp;col=6&amp;number=3834000000&amp;sourceID=14","3834000000")</f>
        <v>3834000000</v>
      </c>
      <c r="G120" s="4" t="str">
        <f>HYPERLINK("http://141.218.60.56/~jnz1568/getInfo.php?workbook=14_02.xlsx&amp;sheet=A0&amp;row=120&amp;col=7&amp;number=0&amp;sourceID=14","0")</f>
        <v>0</v>
      </c>
    </row>
    <row r="121" spans="1:7">
      <c r="A121" s="3">
        <v>14</v>
      </c>
      <c r="B121" s="3">
        <v>2</v>
      </c>
      <c r="C121" s="3">
        <v>28</v>
      </c>
      <c r="D121" s="3">
        <v>16</v>
      </c>
      <c r="E121" s="3">
        <v>-111.495</v>
      </c>
      <c r="F121" s="4" t="str">
        <f>HYPERLINK("http://141.218.60.56/~jnz1568/getInfo.php?workbook=14_02.xlsx&amp;sheet=A0&amp;row=121&amp;col=6&amp;number=39590000000&amp;sourceID=14","39590000000")</f>
        <v>39590000000</v>
      </c>
      <c r="G121" s="4" t="str">
        <f>HYPERLINK("http://141.218.60.56/~jnz1568/getInfo.php?workbook=14_02.xlsx&amp;sheet=A0&amp;row=121&amp;col=7&amp;number=0&amp;sourceID=14","0")</f>
        <v>0</v>
      </c>
    </row>
    <row r="122" spans="1:7">
      <c r="A122" s="3">
        <v>14</v>
      </c>
      <c r="B122" s="3">
        <v>2</v>
      </c>
      <c r="C122" s="3">
        <v>29</v>
      </c>
      <c r="D122" s="3">
        <v>16</v>
      </c>
      <c r="E122" s="3">
        <v>-111.495</v>
      </c>
      <c r="F122" s="4" t="str">
        <f>HYPERLINK("http://141.218.60.56/~jnz1568/getInfo.php?workbook=14_02.xlsx&amp;sheet=A0&amp;row=122&amp;col=6&amp;number=20200000000&amp;sourceID=14","20200000000")</f>
        <v>20200000000</v>
      </c>
      <c r="G122" s="4" t="str">
        <f>HYPERLINK("http://141.218.60.56/~jnz1568/getInfo.php?workbook=14_02.xlsx&amp;sheet=A0&amp;row=122&amp;col=7&amp;number=0&amp;sourceID=14","0")</f>
        <v>0</v>
      </c>
    </row>
    <row r="123" spans="1:7">
      <c r="A123" s="3">
        <v>14</v>
      </c>
      <c r="B123" s="3">
        <v>2</v>
      </c>
      <c r="C123" s="3">
        <v>30</v>
      </c>
      <c r="D123" s="3">
        <v>16</v>
      </c>
      <c r="E123" s="3">
        <v>-111.495</v>
      </c>
      <c r="F123" s="4" t="str">
        <f>HYPERLINK("http://141.218.60.56/~jnz1568/getInfo.php?workbook=14_02.xlsx&amp;sheet=A0&amp;row=123&amp;col=6&amp;number=182000000000&amp;sourceID=14","182000000000")</f>
        <v>182000000000</v>
      </c>
      <c r="G123" s="4" t="str">
        <f>HYPERLINK("http://141.218.60.56/~jnz1568/getInfo.php?workbook=14_02.xlsx&amp;sheet=A0&amp;row=123&amp;col=7&amp;number=0&amp;sourceID=14","0")</f>
        <v>0</v>
      </c>
    </row>
    <row r="124" spans="1:7">
      <c r="A124" s="3">
        <v>14</v>
      </c>
      <c r="B124" s="3">
        <v>2</v>
      </c>
      <c r="C124" s="3">
        <v>36</v>
      </c>
      <c r="D124" s="3">
        <v>16</v>
      </c>
      <c r="E124" s="3">
        <v>75.995</v>
      </c>
      <c r="F124" s="4" t="str">
        <f>HYPERLINK("http://141.218.60.56/~jnz1568/getInfo.php?workbook=14_02.xlsx&amp;sheet=A0&amp;row=124&amp;col=6&amp;number=1668000000&amp;sourceID=14","1668000000")</f>
        <v>1668000000</v>
      </c>
      <c r="G124" s="4" t="str">
        <f>HYPERLINK("http://141.218.60.56/~jnz1568/getInfo.php?workbook=14_02.xlsx&amp;sheet=A0&amp;row=124&amp;col=7&amp;number=0&amp;sourceID=14","0")</f>
        <v>0</v>
      </c>
    </row>
    <row r="125" spans="1:7">
      <c r="A125" s="3">
        <v>14</v>
      </c>
      <c r="B125" s="3">
        <v>2</v>
      </c>
      <c r="C125" s="3">
        <v>42</v>
      </c>
      <c r="D125" s="3">
        <v>16</v>
      </c>
      <c r="E125" s="3">
        <v>-76.219</v>
      </c>
      <c r="F125" s="4" t="str">
        <f>HYPERLINK("http://141.218.60.56/~jnz1568/getInfo.php?workbook=14_02.xlsx&amp;sheet=A0&amp;row=125&amp;col=6&amp;number=13030000000&amp;sourceID=14","13030000000")</f>
        <v>13030000000</v>
      </c>
      <c r="G125" s="4" t="str">
        <f>HYPERLINK("http://141.218.60.56/~jnz1568/getInfo.php?workbook=14_02.xlsx&amp;sheet=A0&amp;row=125&amp;col=7&amp;number=0&amp;sourceID=14","0")</f>
        <v>0</v>
      </c>
    </row>
    <row r="126" spans="1:7">
      <c r="A126" s="3">
        <v>14</v>
      </c>
      <c r="B126" s="3">
        <v>2</v>
      </c>
      <c r="C126" s="3">
        <v>43</v>
      </c>
      <c r="D126" s="3">
        <v>16</v>
      </c>
      <c r="E126" s="3">
        <v>-76.219</v>
      </c>
      <c r="F126" s="4" t="str">
        <f>HYPERLINK("http://141.218.60.56/~jnz1568/getInfo.php?workbook=14_02.xlsx&amp;sheet=A0&amp;row=126&amp;col=6&amp;number=6649000000&amp;sourceID=14","6649000000")</f>
        <v>6649000000</v>
      </c>
      <c r="G126" s="4" t="str">
        <f>HYPERLINK("http://141.218.60.56/~jnz1568/getInfo.php?workbook=14_02.xlsx&amp;sheet=A0&amp;row=126&amp;col=7&amp;number=0&amp;sourceID=14","0")</f>
        <v>0</v>
      </c>
    </row>
    <row r="127" spans="1:7">
      <c r="A127" s="3">
        <v>14</v>
      </c>
      <c r="B127" s="3">
        <v>2</v>
      </c>
      <c r="C127" s="3">
        <v>44</v>
      </c>
      <c r="D127" s="3">
        <v>16</v>
      </c>
      <c r="E127" s="3">
        <v>-76.219</v>
      </c>
      <c r="F127" s="4" t="str">
        <f>HYPERLINK("http://141.218.60.56/~jnz1568/getInfo.php?workbook=14_02.xlsx&amp;sheet=A0&amp;row=127&amp;col=6&amp;number=59900000000&amp;sourceID=14","59900000000")</f>
        <v>59900000000</v>
      </c>
      <c r="G127" s="4" t="str">
        <f>HYPERLINK("http://141.218.60.56/~jnz1568/getInfo.php?workbook=14_02.xlsx&amp;sheet=A0&amp;row=127&amp;col=7&amp;number=0&amp;sourceID=14","0")</f>
        <v>0</v>
      </c>
    </row>
    <row r="128" spans="1:7">
      <c r="A128" s="3">
        <v>14</v>
      </c>
      <c r="B128" s="3">
        <v>2</v>
      </c>
      <c r="C128" s="3">
        <v>23</v>
      </c>
      <c r="D128" s="3">
        <v>17</v>
      </c>
      <c r="E128" s="3">
        <v>110.726</v>
      </c>
      <c r="F128" s="4" t="str">
        <f>HYPERLINK("http://141.218.60.56/~jnz1568/getInfo.php?workbook=14_02.xlsx&amp;sheet=A0&amp;row=128&amp;col=6&amp;number=9960000000&amp;sourceID=14","9960000000")</f>
        <v>9960000000</v>
      </c>
      <c r="G128" s="4" t="str">
        <f>HYPERLINK("http://141.218.60.56/~jnz1568/getInfo.php?workbook=14_02.xlsx&amp;sheet=A0&amp;row=128&amp;col=7&amp;number=0&amp;sourceID=14","0")</f>
        <v>0</v>
      </c>
    </row>
    <row r="129" spans="1:7">
      <c r="A129" s="3">
        <v>14</v>
      </c>
      <c r="B129" s="3">
        <v>2</v>
      </c>
      <c r="C129" s="3">
        <v>31</v>
      </c>
      <c r="D129" s="3">
        <v>17</v>
      </c>
      <c r="E129" s="3">
        <v>-111.763</v>
      </c>
      <c r="F129" s="4" t="str">
        <f>HYPERLINK("http://141.218.60.56/~jnz1568/getInfo.php?workbook=14_02.xlsx&amp;sheet=A0&amp;row=129&amp;col=6&amp;number=388100000000&amp;sourceID=14","388100000000")</f>
        <v>388100000000</v>
      </c>
      <c r="G129" s="4" t="str">
        <f>HYPERLINK("http://141.218.60.56/~jnz1568/getInfo.php?workbook=14_02.xlsx&amp;sheet=A0&amp;row=129&amp;col=7&amp;number=0&amp;sourceID=14","0")</f>
        <v>0</v>
      </c>
    </row>
    <row r="130" spans="1:7">
      <c r="A130" s="3">
        <v>14</v>
      </c>
      <c r="B130" s="3">
        <v>2</v>
      </c>
      <c r="C130" s="3">
        <v>37</v>
      </c>
      <c r="D130" s="3">
        <v>17</v>
      </c>
      <c r="E130" s="3">
        <v>75.768</v>
      </c>
      <c r="F130" s="4" t="str">
        <f>HYPERLINK("http://141.218.60.56/~jnz1568/getInfo.php?workbook=14_02.xlsx&amp;sheet=A0&amp;row=130&amp;col=6&amp;number=4277000000&amp;sourceID=14","4277000000")</f>
        <v>4277000000</v>
      </c>
      <c r="G130" s="4" t="str">
        <f>HYPERLINK("http://141.218.60.56/~jnz1568/getInfo.php?workbook=14_02.xlsx&amp;sheet=A0&amp;row=130&amp;col=7&amp;number=0&amp;sourceID=14","0")</f>
        <v>0</v>
      </c>
    </row>
    <row r="131" spans="1:7">
      <c r="A131" s="3">
        <v>14</v>
      </c>
      <c r="B131" s="3">
        <v>2</v>
      </c>
      <c r="C131" s="3">
        <v>45</v>
      </c>
      <c r="D131" s="3">
        <v>17</v>
      </c>
      <c r="E131" s="3">
        <v>-76.344</v>
      </c>
      <c r="F131" s="4" t="str">
        <f>HYPERLINK("http://141.218.60.56/~jnz1568/getInfo.php?workbook=14_02.xlsx&amp;sheet=A0&amp;row=131&amp;col=6&amp;number=127900000000&amp;sourceID=14","127900000000")</f>
        <v>127900000000</v>
      </c>
      <c r="G131" s="4" t="str">
        <f>HYPERLINK("http://141.218.60.56/~jnz1568/getInfo.php?workbook=14_02.xlsx&amp;sheet=A0&amp;row=131&amp;col=7&amp;number=0&amp;sourceID=14","0")</f>
        <v>0</v>
      </c>
    </row>
    <row r="132" spans="1:7">
      <c r="A132" s="3">
        <v>14</v>
      </c>
      <c r="B132" s="3">
        <v>2</v>
      </c>
      <c r="C132" s="3">
        <v>34</v>
      </c>
      <c r="D132" s="3">
        <v>18</v>
      </c>
      <c r="E132" s="3">
        <v>230.014</v>
      </c>
      <c r="F132" s="4" t="str">
        <f>HYPERLINK("http://141.218.60.56/~jnz1568/getInfo.php?workbook=14_02.xlsx&amp;sheet=A0&amp;row=132&amp;col=6&amp;number=22830000000&amp;sourceID=14","22830000000")</f>
        <v>22830000000</v>
      </c>
      <c r="G132" s="4" t="str">
        <f>HYPERLINK("http://141.218.60.56/~jnz1568/getInfo.php?workbook=14_02.xlsx&amp;sheet=A0&amp;row=132&amp;col=7&amp;number=0&amp;sourceID=14","0")</f>
        <v>0</v>
      </c>
    </row>
    <row r="133" spans="1:7">
      <c r="A133" s="3">
        <v>14</v>
      </c>
      <c r="B133" s="3">
        <v>2</v>
      </c>
      <c r="C133" s="3">
        <v>35</v>
      </c>
      <c r="D133" s="3">
        <v>18</v>
      </c>
      <c r="E133" s="3">
        <v>229.952</v>
      </c>
      <c r="F133" s="4" t="str">
        <f>HYPERLINK("http://141.218.60.56/~jnz1568/getInfo.php?workbook=14_02.xlsx&amp;sheet=A0&amp;row=133&amp;col=6&amp;number=22850000000&amp;sourceID=14","22850000000")</f>
        <v>22850000000</v>
      </c>
      <c r="G133" s="4" t="str">
        <f>HYPERLINK("http://141.218.60.56/~jnz1568/getInfo.php?workbook=14_02.xlsx&amp;sheet=A0&amp;row=133&amp;col=7&amp;number=0&amp;sourceID=14","0")</f>
        <v>0</v>
      </c>
    </row>
    <row r="134" spans="1:7">
      <c r="A134" s="3">
        <v>14</v>
      </c>
      <c r="B134" s="3">
        <v>2</v>
      </c>
      <c r="C134" s="3">
        <v>36</v>
      </c>
      <c r="D134" s="3">
        <v>18</v>
      </c>
      <c r="E134" s="3">
        <v>229.71</v>
      </c>
      <c r="F134" s="4" t="str">
        <f>HYPERLINK("http://141.218.60.56/~jnz1568/getInfo.php?workbook=14_02.xlsx&amp;sheet=A0&amp;row=134&amp;col=6&amp;number=22940000000&amp;sourceID=14","22940000000")</f>
        <v>22940000000</v>
      </c>
      <c r="G134" s="4" t="str">
        <f>HYPERLINK("http://141.218.60.56/~jnz1568/getInfo.php?workbook=14_02.xlsx&amp;sheet=A0&amp;row=134&amp;col=7&amp;number=0&amp;sourceID=14","0")</f>
        <v>0</v>
      </c>
    </row>
    <row r="135" spans="1:7">
      <c r="A135" s="3">
        <v>14</v>
      </c>
      <c r="B135" s="3">
        <v>2</v>
      </c>
      <c r="C135" s="3">
        <v>37</v>
      </c>
      <c r="D135" s="3">
        <v>19</v>
      </c>
      <c r="E135" s="3">
        <v>234.254</v>
      </c>
      <c r="F135" s="4" t="str">
        <f>HYPERLINK("http://141.218.60.56/~jnz1568/getInfo.php?workbook=14_02.xlsx&amp;sheet=A0&amp;row=135&amp;col=6&amp;number=22040000000&amp;sourceID=14","22040000000")</f>
        <v>22040000000</v>
      </c>
      <c r="G135" s="4" t="str">
        <f>HYPERLINK("http://141.218.60.56/~jnz1568/getInfo.php?workbook=14_02.xlsx&amp;sheet=A0&amp;row=135&amp;col=7&amp;number=0&amp;sourceID=14","0")</f>
        <v>0</v>
      </c>
    </row>
    <row r="136" spans="1:7">
      <c r="A136" s="3">
        <v>14</v>
      </c>
      <c r="B136" s="3">
        <v>2</v>
      </c>
      <c r="C136" s="3">
        <v>32</v>
      </c>
      <c r="D136" s="3">
        <v>20</v>
      </c>
      <c r="E136" s="3">
        <v>240.788</v>
      </c>
      <c r="F136" s="4" t="str">
        <f>HYPERLINK("http://141.218.60.56/~jnz1568/getInfo.php?workbook=14_02.xlsx&amp;sheet=A0&amp;row=136&amp;col=6&amp;number=225100000&amp;sourceID=14","225100000")</f>
        <v>225100000</v>
      </c>
      <c r="G136" s="4" t="str">
        <f>HYPERLINK("http://141.218.60.56/~jnz1568/getInfo.php?workbook=14_02.xlsx&amp;sheet=A0&amp;row=136&amp;col=7&amp;number=0&amp;sourceID=14","0")</f>
        <v>0</v>
      </c>
    </row>
    <row r="137" spans="1:7">
      <c r="A137" s="3">
        <v>14</v>
      </c>
      <c r="B137" s="3">
        <v>2</v>
      </c>
      <c r="C137" s="3">
        <v>38</v>
      </c>
      <c r="D137" s="3">
        <v>20</v>
      </c>
      <c r="E137" s="3">
        <v>234.718</v>
      </c>
      <c r="F137" s="4" t="str">
        <f>HYPERLINK("http://141.218.60.56/~jnz1568/getInfo.php?workbook=14_02.xlsx&amp;sheet=A0&amp;row=137&amp;col=6&amp;number=2728000000&amp;sourceID=14","2728000000")</f>
        <v>2728000000</v>
      </c>
      <c r="G137" s="4" t="str">
        <f>HYPERLINK("http://141.218.60.56/~jnz1568/getInfo.php?workbook=14_02.xlsx&amp;sheet=A0&amp;row=137&amp;col=7&amp;number=0&amp;sourceID=14","0")</f>
        <v>0</v>
      </c>
    </row>
    <row r="138" spans="1:7">
      <c r="A138" s="3">
        <v>14</v>
      </c>
      <c r="B138" s="3">
        <v>2</v>
      </c>
      <c r="C138" s="3">
        <v>32</v>
      </c>
      <c r="D138" s="3">
        <v>21</v>
      </c>
      <c r="E138" s="3">
        <v>240.92</v>
      </c>
      <c r="F138" s="4" t="str">
        <f>HYPERLINK("http://141.218.60.56/~jnz1568/getInfo.php?workbook=14_02.xlsx&amp;sheet=A0&amp;row=138&amp;col=6&amp;number=2024000000&amp;sourceID=14","2024000000")</f>
        <v>2024000000</v>
      </c>
      <c r="G138" s="4" t="str">
        <f>HYPERLINK("http://141.218.60.56/~jnz1568/getInfo.php?workbook=14_02.xlsx&amp;sheet=A0&amp;row=138&amp;col=7&amp;number=0&amp;sourceID=14","0")</f>
        <v>0</v>
      </c>
    </row>
    <row r="139" spans="1:7">
      <c r="A139" s="3">
        <v>14</v>
      </c>
      <c r="B139" s="3">
        <v>2</v>
      </c>
      <c r="C139" s="3">
        <v>38</v>
      </c>
      <c r="D139" s="3">
        <v>21</v>
      </c>
      <c r="E139" s="3">
        <v>234.844</v>
      </c>
      <c r="F139" s="4" t="str">
        <f>HYPERLINK("http://141.218.60.56/~jnz1568/getInfo.php?workbook=14_02.xlsx&amp;sheet=A0&amp;row=139&amp;col=6&amp;number=6137000000&amp;sourceID=14","6137000000")</f>
        <v>6137000000</v>
      </c>
      <c r="G139" s="4" t="str">
        <f>HYPERLINK("http://141.218.60.56/~jnz1568/getInfo.php?workbook=14_02.xlsx&amp;sheet=A0&amp;row=139&amp;col=7&amp;number=0&amp;sourceID=14","0")</f>
        <v>0</v>
      </c>
    </row>
    <row r="140" spans="1:7">
      <c r="A140" s="3">
        <v>14</v>
      </c>
      <c r="B140" s="3">
        <v>2</v>
      </c>
      <c r="C140" s="3">
        <v>39</v>
      </c>
      <c r="D140" s="3">
        <v>21</v>
      </c>
      <c r="E140" s="3">
        <v>-234.814</v>
      </c>
      <c r="F140" s="4" t="str">
        <f>HYPERLINK("http://141.218.60.56/~jnz1568/getInfo.php?workbook=14_02.xlsx&amp;sheet=A0&amp;row=140&amp;col=6&amp;number=11050000000&amp;sourceID=14","11050000000")</f>
        <v>11050000000</v>
      </c>
      <c r="G140" s="4" t="str">
        <f>HYPERLINK("http://141.218.60.56/~jnz1568/getInfo.php?workbook=14_02.xlsx&amp;sheet=A0&amp;row=140&amp;col=7&amp;number=0&amp;sourceID=14","0")</f>
        <v>0</v>
      </c>
    </row>
    <row r="141" spans="1:7">
      <c r="A141" s="3">
        <v>14</v>
      </c>
      <c r="B141" s="3">
        <v>2</v>
      </c>
      <c r="C141" s="3">
        <v>32</v>
      </c>
      <c r="D141" s="3">
        <v>22</v>
      </c>
      <c r="E141" s="3">
        <v>241.44</v>
      </c>
      <c r="F141" s="4" t="str">
        <f>HYPERLINK("http://141.218.60.56/~jnz1568/getInfo.php?workbook=14_02.xlsx&amp;sheet=A0&amp;row=141&amp;col=6&amp;number=5608000000&amp;sourceID=14","5608000000")</f>
        <v>5608000000</v>
      </c>
      <c r="G141" s="4" t="str">
        <f>HYPERLINK("http://141.218.60.56/~jnz1568/getInfo.php?workbook=14_02.xlsx&amp;sheet=A0&amp;row=141&amp;col=7&amp;number=0&amp;sourceID=14","0")</f>
        <v>0</v>
      </c>
    </row>
    <row r="142" spans="1:7">
      <c r="A142" s="3">
        <v>14</v>
      </c>
      <c r="B142" s="3">
        <v>2</v>
      </c>
      <c r="C142" s="3">
        <v>38</v>
      </c>
      <c r="D142" s="3">
        <v>22</v>
      </c>
      <c r="E142" s="3">
        <v>235.338</v>
      </c>
      <c r="F142" s="4" t="str">
        <f>HYPERLINK("http://141.218.60.56/~jnz1568/getInfo.php?workbook=14_02.xlsx&amp;sheet=A0&amp;row=142&amp;col=6&amp;number=30560000000&amp;sourceID=14","30560000000")</f>
        <v>30560000000</v>
      </c>
      <c r="G142" s="4" t="str">
        <f>HYPERLINK("http://141.218.60.56/~jnz1568/getInfo.php?workbook=14_02.xlsx&amp;sheet=A0&amp;row=142&amp;col=7&amp;number=0&amp;sourceID=14","0")</f>
        <v>0</v>
      </c>
    </row>
    <row r="143" spans="1:7">
      <c r="A143" s="3">
        <v>14</v>
      </c>
      <c r="B143" s="3">
        <v>2</v>
      </c>
      <c r="C143" s="3">
        <v>39</v>
      </c>
      <c r="D143" s="3">
        <v>22</v>
      </c>
      <c r="E143" s="3">
        <v>-236.006</v>
      </c>
      <c r="F143" s="4" t="str">
        <f>HYPERLINK("http://141.218.60.56/~jnz1568/getInfo.php?workbook=14_02.xlsx&amp;sheet=A0&amp;row=143&amp;col=6&amp;number=6076000000&amp;sourceID=14","6076000000")</f>
        <v>6076000000</v>
      </c>
      <c r="G143" s="4" t="str">
        <f>HYPERLINK("http://141.218.60.56/~jnz1568/getInfo.php?workbook=14_02.xlsx&amp;sheet=A0&amp;row=143&amp;col=7&amp;number=0&amp;sourceID=14","0")</f>
        <v>0</v>
      </c>
    </row>
    <row r="144" spans="1:7">
      <c r="A144" s="3">
        <v>14</v>
      </c>
      <c r="B144" s="3">
        <v>2</v>
      </c>
      <c r="C144" s="3">
        <v>40</v>
      </c>
      <c r="D144" s="3">
        <v>22</v>
      </c>
      <c r="E144" s="3">
        <v>235.239</v>
      </c>
      <c r="F144" s="4" t="str">
        <f>HYPERLINK("http://141.218.60.56/~jnz1568/getInfo.php?workbook=14_02.xlsx&amp;sheet=A0&amp;row=144&amp;col=6&amp;number=24490000000&amp;sourceID=14","24490000000")</f>
        <v>24490000000</v>
      </c>
      <c r="G144" s="4" t="str">
        <f>HYPERLINK("http://141.218.60.56/~jnz1568/getInfo.php?workbook=14_02.xlsx&amp;sheet=A0&amp;row=144&amp;col=7&amp;number=0&amp;sourceID=14","0")</f>
        <v>0</v>
      </c>
    </row>
    <row r="145" spans="1:7">
      <c r="A145" s="3">
        <v>14</v>
      </c>
      <c r="B145" s="3">
        <v>2</v>
      </c>
      <c r="C145" s="3">
        <v>33</v>
      </c>
      <c r="D145" s="3">
        <v>23</v>
      </c>
      <c r="E145" s="3">
        <v>243.008</v>
      </c>
      <c r="F145" s="4" t="str">
        <f>HYPERLINK("http://141.218.60.56/~jnz1568/getInfo.php?workbook=14_02.xlsx&amp;sheet=A0&amp;row=145&amp;col=6&amp;number=17920000000&amp;sourceID=14","17920000000")</f>
        <v>17920000000</v>
      </c>
      <c r="G145" s="4" t="str">
        <f>HYPERLINK("http://141.218.60.56/~jnz1568/getInfo.php?workbook=14_02.xlsx&amp;sheet=A0&amp;row=145&amp;col=7&amp;number=0&amp;sourceID=14","0")</f>
        <v>0</v>
      </c>
    </row>
    <row r="146" spans="1:7">
      <c r="A146" s="3">
        <v>14</v>
      </c>
      <c r="B146" s="3">
        <v>2</v>
      </c>
      <c r="C146" s="3">
        <v>41</v>
      </c>
      <c r="D146" s="3">
        <v>23</v>
      </c>
      <c r="E146" s="3">
        <v>240.409</v>
      </c>
      <c r="F146" s="4" t="str">
        <f>HYPERLINK("http://141.218.60.56/~jnz1568/getInfo.php?workbook=14_02.xlsx&amp;sheet=A0&amp;row=146&amp;col=6&amp;number=42170000000&amp;sourceID=14","42170000000")</f>
        <v>42170000000</v>
      </c>
      <c r="G146" s="4" t="str">
        <f>HYPERLINK("http://141.218.60.56/~jnz1568/getInfo.php?workbook=14_02.xlsx&amp;sheet=A0&amp;row=146&amp;col=7&amp;number=0&amp;sourceID=14","0")</f>
        <v>0</v>
      </c>
    </row>
    <row r="147" spans="1:7">
      <c r="A147" s="3">
        <v>14</v>
      </c>
      <c r="B147" s="3">
        <v>2</v>
      </c>
      <c r="C147" s="3">
        <v>34</v>
      </c>
      <c r="D147" s="3">
        <v>24</v>
      </c>
      <c r="E147" s="3">
        <v>241.799</v>
      </c>
      <c r="F147" s="4" t="str">
        <f>HYPERLINK("http://141.218.60.56/~jnz1568/getInfo.php?workbook=14_02.xlsx&amp;sheet=A0&amp;row=147&amp;col=6&amp;number=1056000000&amp;sourceID=14","1056000000")</f>
        <v>1056000000</v>
      </c>
      <c r="G147" s="4" t="str">
        <f>HYPERLINK("http://141.218.60.56/~jnz1568/getInfo.php?workbook=14_02.xlsx&amp;sheet=A0&amp;row=147&amp;col=7&amp;number=0&amp;sourceID=14","0")</f>
        <v>0</v>
      </c>
    </row>
    <row r="148" spans="1:7">
      <c r="A148" s="3">
        <v>14</v>
      </c>
      <c r="B148" s="3">
        <v>2</v>
      </c>
      <c r="C148" s="3">
        <v>35</v>
      </c>
      <c r="D148" s="3">
        <v>24</v>
      </c>
      <c r="E148" s="3">
        <v>241.73</v>
      </c>
      <c r="F148" s="4" t="str">
        <f>HYPERLINK("http://141.218.60.56/~jnz1568/getInfo.php?workbook=14_02.xlsx&amp;sheet=A0&amp;row=148&amp;col=6&amp;number=264400000&amp;sourceID=14","264400000")</f>
        <v>264400000</v>
      </c>
      <c r="G148" s="4" t="str">
        <f>HYPERLINK("http://141.218.60.56/~jnz1568/getInfo.php?workbook=14_02.xlsx&amp;sheet=A0&amp;row=148&amp;col=7&amp;number=0&amp;sourceID=14","0")</f>
        <v>0</v>
      </c>
    </row>
    <row r="149" spans="1:7">
      <c r="A149" s="3">
        <v>14</v>
      </c>
      <c r="B149" s="3">
        <v>2</v>
      </c>
      <c r="C149" s="3">
        <v>36</v>
      </c>
      <c r="D149" s="3">
        <v>24</v>
      </c>
      <c r="E149" s="3">
        <v>241.462</v>
      </c>
      <c r="F149" s="4" t="str">
        <f>HYPERLINK("http://141.218.60.56/~jnz1568/getInfo.php?workbook=14_02.xlsx&amp;sheet=A0&amp;row=149&amp;col=6&amp;number=477300000&amp;sourceID=14","477300000")</f>
        <v>477300000</v>
      </c>
      <c r="G149" s="4" t="str">
        <f>HYPERLINK("http://141.218.60.56/~jnz1568/getInfo.php?workbook=14_02.xlsx&amp;sheet=A0&amp;row=149&amp;col=7&amp;number=0&amp;sourceID=14","0")</f>
        <v>0</v>
      </c>
    </row>
    <row r="150" spans="1:7">
      <c r="A150" s="3">
        <v>14</v>
      </c>
      <c r="B150" s="3">
        <v>2</v>
      </c>
      <c r="C150" s="3">
        <v>42</v>
      </c>
      <c r="D150" s="3">
        <v>24</v>
      </c>
      <c r="E150" s="3">
        <v>-240.898</v>
      </c>
      <c r="F150" s="4" t="str">
        <f>HYPERLINK("http://141.218.60.56/~jnz1568/getInfo.php?workbook=14_02.xlsx&amp;sheet=A0&amp;row=150&amp;col=6&amp;number=12270000000&amp;sourceID=14","12270000000")</f>
        <v>12270000000</v>
      </c>
      <c r="G150" s="4" t="str">
        <f>HYPERLINK("http://141.218.60.56/~jnz1568/getInfo.php?workbook=14_02.xlsx&amp;sheet=A0&amp;row=150&amp;col=7&amp;number=0&amp;sourceID=14","0")</f>
        <v>0</v>
      </c>
    </row>
    <row r="151" spans="1:7">
      <c r="A151" s="3">
        <v>14</v>
      </c>
      <c r="B151" s="3">
        <v>2</v>
      </c>
      <c r="C151" s="3">
        <v>35</v>
      </c>
      <c r="D151" s="3">
        <v>25</v>
      </c>
      <c r="E151" s="3">
        <v>-243.421</v>
      </c>
      <c r="F151" s="4" t="str">
        <f>HYPERLINK("http://141.218.60.56/~jnz1568/getInfo.php?workbook=14_02.xlsx&amp;sheet=A0&amp;row=151&amp;col=6&amp;number=1304000000&amp;sourceID=14","1304000000")</f>
        <v>1304000000</v>
      </c>
      <c r="G151" s="4" t="str">
        <f>HYPERLINK("http://141.218.60.56/~jnz1568/getInfo.php?workbook=14_02.xlsx&amp;sheet=A0&amp;row=151&amp;col=7&amp;number=0&amp;sourceID=14","0")</f>
        <v>0</v>
      </c>
    </row>
    <row r="152" spans="1:7">
      <c r="A152" s="3">
        <v>14</v>
      </c>
      <c r="B152" s="3">
        <v>2</v>
      </c>
      <c r="C152" s="3">
        <v>36</v>
      </c>
      <c r="D152" s="3">
        <v>25</v>
      </c>
      <c r="E152" s="3">
        <v>-243.421</v>
      </c>
      <c r="F152" s="4" t="str">
        <f>HYPERLINK("http://141.218.60.56/~jnz1568/getInfo.php?workbook=14_02.xlsx&amp;sheet=A0&amp;row=152&amp;col=6&amp;number=260800000&amp;sourceID=14","260800000")</f>
        <v>260800000</v>
      </c>
      <c r="G152" s="4" t="str">
        <f>HYPERLINK("http://141.218.60.56/~jnz1568/getInfo.php?workbook=14_02.xlsx&amp;sheet=A0&amp;row=152&amp;col=7&amp;number=0&amp;sourceID=14","0")</f>
        <v>0</v>
      </c>
    </row>
    <row r="153" spans="1:7">
      <c r="A153" s="3">
        <v>14</v>
      </c>
      <c r="B153" s="3">
        <v>2</v>
      </c>
      <c r="C153" s="3">
        <v>42</v>
      </c>
      <c r="D153" s="3">
        <v>25</v>
      </c>
      <c r="E153" s="3">
        <v>-240.898</v>
      </c>
      <c r="F153" s="4" t="str">
        <f>HYPERLINK("http://141.218.60.56/~jnz1568/getInfo.php?workbook=14_02.xlsx&amp;sheet=A0&amp;row=153&amp;col=6&amp;number=3784000000&amp;sourceID=14","3784000000")</f>
        <v>3784000000</v>
      </c>
      <c r="G153" s="4" t="str">
        <f>HYPERLINK("http://141.218.60.56/~jnz1568/getInfo.php?workbook=14_02.xlsx&amp;sheet=A0&amp;row=153&amp;col=7&amp;number=0&amp;sourceID=14","0")</f>
        <v>0</v>
      </c>
    </row>
    <row r="154" spans="1:7">
      <c r="A154" s="3">
        <v>14</v>
      </c>
      <c r="B154" s="3">
        <v>2</v>
      </c>
      <c r="C154" s="3">
        <v>43</v>
      </c>
      <c r="D154" s="3">
        <v>25</v>
      </c>
      <c r="E154" s="3">
        <v>-240.898</v>
      </c>
      <c r="F154" s="4" t="str">
        <f>HYPERLINK("http://141.218.60.56/~jnz1568/getInfo.php?workbook=14_02.xlsx&amp;sheet=A0&amp;row=154&amp;col=6&amp;number=21650000000&amp;sourceID=14","21650000000")</f>
        <v>21650000000</v>
      </c>
      <c r="G154" s="4" t="str">
        <f>HYPERLINK("http://141.218.60.56/~jnz1568/getInfo.php?workbook=14_02.xlsx&amp;sheet=A0&amp;row=154&amp;col=7&amp;number=0&amp;sourceID=14","0")</f>
        <v>0</v>
      </c>
    </row>
    <row r="155" spans="1:7">
      <c r="A155" s="3">
        <v>14</v>
      </c>
      <c r="B155" s="3">
        <v>2</v>
      </c>
      <c r="C155" s="3">
        <v>36</v>
      </c>
      <c r="D155" s="3">
        <v>26</v>
      </c>
      <c r="E155" s="3">
        <v>241.667</v>
      </c>
      <c r="F155" s="4" t="str">
        <f>HYPERLINK("http://141.218.60.56/~jnz1568/getInfo.php?workbook=14_02.xlsx&amp;sheet=A0&amp;row=155&amp;col=6&amp;number=2076000000&amp;sourceID=14","2076000000")</f>
        <v>2076000000</v>
      </c>
      <c r="G155" s="4" t="str">
        <f>HYPERLINK("http://141.218.60.56/~jnz1568/getInfo.php?workbook=14_02.xlsx&amp;sheet=A0&amp;row=155&amp;col=7&amp;number=0&amp;sourceID=14","0")</f>
        <v>0</v>
      </c>
    </row>
    <row r="156" spans="1:7">
      <c r="A156" s="3">
        <v>14</v>
      </c>
      <c r="B156" s="3">
        <v>2</v>
      </c>
      <c r="C156" s="3">
        <v>42</v>
      </c>
      <c r="D156" s="3">
        <v>26</v>
      </c>
      <c r="E156" s="3">
        <v>-240.898</v>
      </c>
      <c r="F156" s="4" t="str">
        <f>HYPERLINK("http://141.218.60.56/~jnz1568/getInfo.php?workbook=14_02.xlsx&amp;sheet=A0&amp;row=156&amp;col=6&amp;number=7417000000&amp;sourceID=14","7417000000")</f>
        <v>7417000000</v>
      </c>
      <c r="G156" s="4" t="str">
        <f>HYPERLINK("http://141.218.60.56/~jnz1568/getInfo.php?workbook=14_02.xlsx&amp;sheet=A0&amp;row=156&amp;col=7&amp;number=0&amp;sourceID=14","0")</f>
        <v>0</v>
      </c>
    </row>
    <row r="157" spans="1:7">
      <c r="A157" s="3">
        <v>14</v>
      </c>
      <c r="B157" s="3">
        <v>2</v>
      </c>
      <c r="C157" s="3">
        <v>43</v>
      </c>
      <c r="D157" s="3">
        <v>26</v>
      </c>
      <c r="E157" s="3">
        <v>-240.898</v>
      </c>
      <c r="F157" s="4" t="str">
        <f>HYPERLINK("http://141.218.60.56/~jnz1568/getInfo.php?workbook=14_02.xlsx&amp;sheet=A0&amp;row=157&amp;col=6&amp;number=3784000000&amp;sourceID=14","3784000000")</f>
        <v>3784000000</v>
      </c>
      <c r="G157" s="4" t="str">
        <f>HYPERLINK("http://141.218.60.56/~jnz1568/getInfo.php?workbook=14_02.xlsx&amp;sheet=A0&amp;row=157&amp;col=7&amp;number=0&amp;sourceID=14","0")</f>
        <v>0</v>
      </c>
    </row>
    <row r="158" spans="1:7">
      <c r="A158" s="3">
        <v>14</v>
      </c>
      <c r="B158" s="3">
        <v>2</v>
      </c>
      <c r="C158" s="3">
        <v>44</v>
      </c>
      <c r="D158" s="3">
        <v>26</v>
      </c>
      <c r="E158" s="3">
        <v>-240.898</v>
      </c>
      <c r="F158" s="4" t="str">
        <f>HYPERLINK("http://141.218.60.56/~jnz1568/getInfo.php?workbook=14_02.xlsx&amp;sheet=A0&amp;row=158&amp;col=6&amp;number=34090000000&amp;sourceID=14","34090000000")</f>
        <v>34090000000</v>
      </c>
      <c r="G158" s="4" t="str">
        <f>HYPERLINK("http://141.218.60.56/~jnz1568/getInfo.php?workbook=14_02.xlsx&amp;sheet=A0&amp;row=158&amp;col=7&amp;number=0&amp;sourceID=14","0")</f>
        <v>0</v>
      </c>
    </row>
    <row r="159" spans="1:7">
      <c r="A159" s="3">
        <v>14</v>
      </c>
      <c r="B159" s="3">
        <v>2</v>
      </c>
      <c r="C159" s="3">
        <v>37</v>
      </c>
      <c r="D159" s="3">
        <v>27</v>
      </c>
      <c r="E159" s="3">
        <v>239.134</v>
      </c>
      <c r="F159" s="4" t="str">
        <f>HYPERLINK("http://141.218.60.56/~jnz1568/getInfo.php?workbook=14_02.xlsx&amp;sheet=A0&amp;row=159&amp;col=6&amp;number=5405000000&amp;sourceID=14","5405000000")</f>
        <v>5405000000</v>
      </c>
      <c r="G159" s="4" t="str">
        <f>HYPERLINK("http://141.218.60.56/~jnz1568/getInfo.php?workbook=14_02.xlsx&amp;sheet=A0&amp;row=159&amp;col=7&amp;number=0&amp;sourceID=14","0")</f>
        <v>0</v>
      </c>
    </row>
    <row r="160" spans="1:7">
      <c r="A160" s="3">
        <v>14</v>
      </c>
      <c r="B160" s="3">
        <v>2</v>
      </c>
      <c r="C160" s="3">
        <v>45</v>
      </c>
      <c r="D160" s="3">
        <v>27</v>
      </c>
      <c r="E160" s="3">
        <v>-240.898</v>
      </c>
      <c r="F160" s="4" t="str">
        <f>HYPERLINK("http://141.218.60.56/~jnz1568/getInfo.php?workbook=14_02.xlsx&amp;sheet=A0&amp;row=160&amp;col=6&amp;number=73050000000&amp;sourceID=14","73050000000")</f>
        <v>73050000000</v>
      </c>
      <c r="G160" s="4" t="str">
        <f>HYPERLINK("http://141.218.60.56/~jnz1568/getInfo.php?workbook=14_02.xlsx&amp;sheet=A0&amp;row=160&amp;col=7&amp;number=0&amp;sourceID=14","0")</f>
        <v>0</v>
      </c>
    </row>
    <row r="161" spans="1:7">
      <c r="A161" s="3">
        <v>14</v>
      </c>
      <c r="B161" s="3">
        <v>2</v>
      </c>
      <c r="C161" s="3">
        <v>38</v>
      </c>
      <c r="D161" s="3">
        <v>28</v>
      </c>
      <c r="E161" s="3">
        <v>-240.898</v>
      </c>
      <c r="F161" s="4" t="str">
        <f>HYPERLINK("http://141.218.60.56/~jnz1568/getInfo.php?workbook=14_02.xlsx&amp;sheet=A0&amp;row=161&amp;col=6&amp;number=339700000&amp;sourceID=14","339700000")</f>
        <v>339700000</v>
      </c>
      <c r="G161" s="4" t="str">
        <f>HYPERLINK("http://141.218.60.56/~jnz1568/getInfo.php?workbook=14_02.xlsx&amp;sheet=A0&amp;row=161&amp;col=7&amp;number=0&amp;sourceID=14","0")</f>
        <v>0</v>
      </c>
    </row>
    <row r="162" spans="1:7">
      <c r="A162" s="3">
        <v>14</v>
      </c>
      <c r="B162" s="3">
        <v>2</v>
      </c>
      <c r="C162" s="3">
        <v>39</v>
      </c>
      <c r="D162" s="3">
        <v>28</v>
      </c>
      <c r="E162" s="3">
        <v>-240.898</v>
      </c>
      <c r="F162" s="4" t="str">
        <f>HYPERLINK("http://141.218.60.56/~jnz1568/getInfo.php?workbook=14_02.xlsx&amp;sheet=A0&amp;row=162&amp;col=6&amp;number=37700000&amp;sourceID=14","37700000")</f>
        <v>37700000</v>
      </c>
      <c r="G162" s="4" t="str">
        <f>HYPERLINK("http://141.218.60.56/~jnz1568/getInfo.php?workbook=14_02.xlsx&amp;sheet=A0&amp;row=162&amp;col=7&amp;number=0&amp;sourceID=14","0")</f>
        <v>0</v>
      </c>
    </row>
    <row r="163" spans="1:7">
      <c r="A163" s="3">
        <v>14</v>
      </c>
      <c r="B163" s="3">
        <v>2</v>
      </c>
      <c r="C163" s="3">
        <v>40</v>
      </c>
      <c r="D163" s="3">
        <v>28</v>
      </c>
      <c r="E163" s="3">
        <v>-240.898</v>
      </c>
      <c r="F163" s="4" t="str">
        <f>HYPERLINK("http://141.218.60.56/~jnz1568/getInfo.php?workbook=14_02.xlsx&amp;sheet=A0&amp;row=163&amp;col=6&amp;number=37710000&amp;sourceID=14","37710000")</f>
        <v>37710000</v>
      </c>
      <c r="G163" s="4" t="str">
        <f>HYPERLINK("http://141.218.60.56/~jnz1568/getInfo.php?workbook=14_02.xlsx&amp;sheet=A0&amp;row=163&amp;col=7&amp;number=0&amp;sourceID=14","0")</f>
        <v>0</v>
      </c>
    </row>
    <row r="164" spans="1:7">
      <c r="A164" s="3">
        <v>14</v>
      </c>
      <c r="B164" s="3">
        <v>2</v>
      </c>
      <c r="C164" s="3">
        <v>46</v>
      </c>
      <c r="D164" s="3">
        <v>28</v>
      </c>
      <c r="E164" s="3">
        <v>-240.898</v>
      </c>
      <c r="F164" s="4" t="str">
        <f>HYPERLINK("http://141.218.60.56/~jnz1568/getInfo.php?workbook=14_02.xlsx&amp;sheet=A0&amp;row=164&amp;col=6&amp;number=26290000000&amp;sourceID=14","26290000000")</f>
        <v>26290000000</v>
      </c>
      <c r="G164" s="4" t="str">
        <f>HYPERLINK("http://141.218.60.56/~jnz1568/getInfo.php?workbook=14_02.xlsx&amp;sheet=A0&amp;row=164&amp;col=7&amp;number=0&amp;sourceID=14","0")</f>
        <v>0</v>
      </c>
    </row>
    <row r="165" spans="1:7">
      <c r="A165" s="3">
        <v>14</v>
      </c>
      <c r="B165" s="3">
        <v>2</v>
      </c>
      <c r="C165" s="3">
        <v>39</v>
      </c>
      <c r="D165" s="3">
        <v>29</v>
      </c>
      <c r="E165" s="3">
        <v>-240.898</v>
      </c>
      <c r="F165" s="4" t="str">
        <f>HYPERLINK("http://141.218.60.56/~jnz1568/getInfo.php?workbook=14_02.xlsx&amp;sheet=A0&amp;row=165&amp;col=6&amp;number=422800000&amp;sourceID=14","422800000")</f>
        <v>422800000</v>
      </c>
      <c r="G165" s="4" t="str">
        <f>HYPERLINK("http://141.218.60.56/~jnz1568/getInfo.php?workbook=14_02.xlsx&amp;sheet=A0&amp;row=165&amp;col=7&amp;number=0&amp;sourceID=14","0")</f>
        <v>0</v>
      </c>
    </row>
    <row r="166" spans="1:7">
      <c r="A166" s="3">
        <v>14</v>
      </c>
      <c r="B166" s="3">
        <v>2</v>
      </c>
      <c r="C166" s="3">
        <v>40</v>
      </c>
      <c r="D166" s="3">
        <v>29</v>
      </c>
      <c r="E166" s="3">
        <v>-240.898</v>
      </c>
      <c r="F166" s="4" t="str">
        <f>HYPERLINK("http://141.218.60.56/~jnz1568/getInfo.php?workbook=14_02.xlsx&amp;sheet=A0&amp;row=166&amp;col=6&amp;number=37710000&amp;sourceID=14","37710000")</f>
        <v>37710000</v>
      </c>
      <c r="G166" s="4" t="str">
        <f>HYPERLINK("http://141.218.60.56/~jnz1568/getInfo.php?workbook=14_02.xlsx&amp;sheet=A0&amp;row=166&amp;col=7&amp;number=0&amp;sourceID=14","0")</f>
        <v>0</v>
      </c>
    </row>
    <row r="167" spans="1:7">
      <c r="A167" s="3">
        <v>14</v>
      </c>
      <c r="B167" s="3">
        <v>2</v>
      </c>
      <c r="C167" s="3">
        <v>46</v>
      </c>
      <c r="D167" s="3">
        <v>29</v>
      </c>
      <c r="E167" s="3">
        <v>-240.898</v>
      </c>
      <c r="F167" s="4" t="str">
        <f>HYPERLINK("http://141.218.60.56/~jnz1568/getInfo.php?workbook=14_02.xlsx&amp;sheet=A0&amp;row=167&amp;col=6&amp;number=3217000000&amp;sourceID=14","3217000000")</f>
        <v>3217000000</v>
      </c>
      <c r="G167" s="4" t="str">
        <f>HYPERLINK("http://141.218.60.56/~jnz1568/getInfo.php?workbook=14_02.xlsx&amp;sheet=A0&amp;row=167&amp;col=7&amp;number=0&amp;sourceID=14","0")</f>
        <v>0</v>
      </c>
    </row>
    <row r="168" spans="1:7">
      <c r="A168" s="3">
        <v>14</v>
      </c>
      <c r="B168" s="3">
        <v>2</v>
      </c>
      <c r="C168" s="3">
        <v>47</v>
      </c>
      <c r="D168" s="3">
        <v>29</v>
      </c>
      <c r="E168" s="3">
        <v>-240.898</v>
      </c>
      <c r="F168" s="4" t="str">
        <f>HYPERLINK("http://141.218.60.56/~jnz1568/getInfo.php?workbook=14_02.xlsx&amp;sheet=A0&amp;row=168&amp;col=6&amp;number=29230000000&amp;sourceID=14","29230000000")</f>
        <v>29230000000</v>
      </c>
      <c r="G168" s="4" t="str">
        <f>HYPERLINK("http://141.218.60.56/~jnz1568/getInfo.php?workbook=14_02.xlsx&amp;sheet=A0&amp;row=168&amp;col=7&amp;number=0&amp;sourceID=14","0")</f>
        <v>0</v>
      </c>
    </row>
    <row r="169" spans="1:7">
      <c r="A169" s="3">
        <v>14</v>
      </c>
      <c r="B169" s="3">
        <v>2</v>
      </c>
      <c r="C169" s="3">
        <v>40</v>
      </c>
      <c r="D169" s="3">
        <v>30</v>
      </c>
      <c r="E169" s="3">
        <v>-240.898</v>
      </c>
      <c r="F169" s="4" t="str">
        <f>HYPERLINK("http://141.218.60.56/~jnz1568/getInfo.php?workbook=14_02.xlsx&amp;sheet=A0&amp;row=169&amp;col=6&amp;number=561600000&amp;sourceID=14","561600000")</f>
        <v>561600000</v>
      </c>
      <c r="G169" s="4" t="str">
        <f>HYPERLINK("http://141.218.60.56/~jnz1568/getInfo.php?workbook=14_02.xlsx&amp;sheet=A0&amp;row=169&amp;col=7&amp;number=0&amp;sourceID=14","0")</f>
        <v>0</v>
      </c>
    </row>
    <row r="170" spans="1:7">
      <c r="A170" s="3">
        <v>14</v>
      </c>
      <c r="B170" s="3">
        <v>2</v>
      </c>
      <c r="C170" s="3">
        <v>46</v>
      </c>
      <c r="D170" s="3">
        <v>30</v>
      </c>
      <c r="E170" s="3">
        <v>-240.898</v>
      </c>
      <c r="F170" s="4" t="str">
        <f>HYPERLINK("http://141.218.60.56/~jnz1568/getInfo.php?workbook=14_02.xlsx&amp;sheet=A0&amp;row=170&amp;col=6&amp;number=65610000&amp;sourceID=14","65610000")</f>
        <v>65610000</v>
      </c>
      <c r="G170" s="4" t="str">
        <f>HYPERLINK("http://141.218.60.56/~jnz1568/getInfo.php?workbook=14_02.xlsx&amp;sheet=A0&amp;row=170&amp;col=7&amp;number=0&amp;sourceID=14","0")</f>
        <v>0</v>
      </c>
    </row>
    <row r="171" spans="1:7">
      <c r="A171" s="3">
        <v>14</v>
      </c>
      <c r="B171" s="3">
        <v>2</v>
      </c>
      <c r="C171" s="3">
        <v>47</v>
      </c>
      <c r="D171" s="3">
        <v>30</v>
      </c>
      <c r="E171" s="3">
        <v>-240.898</v>
      </c>
      <c r="F171" s="4" t="str">
        <f>HYPERLINK("http://141.218.60.56/~jnz1568/getInfo.php?workbook=14_02.xlsx&amp;sheet=A0&amp;row=171&amp;col=6&amp;number=1948000000&amp;sourceID=14","1948000000")</f>
        <v>1948000000</v>
      </c>
      <c r="G171" s="4" t="str">
        <f>HYPERLINK("http://141.218.60.56/~jnz1568/getInfo.php?workbook=14_02.xlsx&amp;sheet=A0&amp;row=171&amp;col=7&amp;number=0&amp;sourceID=14","0")</f>
        <v>0</v>
      </c>
    </row>
    <row r="172" spans="1:7">
      <c r="A172" s="3">
        <v>14</v>
      </c>
      <c r="B172" s="3">
        <v>2</v>
      </c>
      <c r="C172" s="3">
        <v>48</v>
      </c>
      <c r="D172" s="3">
        <v>30</v>
      </c>
      <c r="E172" s="3">
        <v>-240.898</v>
      </c>
      <c r="F172" s="4" t="str">
        <f>HYPERLINK("http://141.218.60.56/~jnz1568/getInfo.php?workbook=14_02.xlsx&amp;sheet=A0&amp;row=172&amp;col=6&amp;number=51540000000&amp;sourceID=14","51540000000")</f>
        <v>51540000000</v>
      </c>
      <c r="G172" s="4" t="str">
        <f>HYPERLINK("http://141.218.60.56/~jnz1568/getInfo.php?workbook=14_02.xlsx&amp;sheet=A0&amp;row=172&amp;col=7&amp;number=0&amp;sourceID=14","0")</f>
        <v>0</v>
      </c>
    </row>
    <row r="173" spans="1:7">
      <c r="A173" s="3">
        <v>14</v>
      </c>
      <c r="B173" s="3">
        <v>2</v>
      </c>
      <c r="C173" s="3">
        <v>41</v>
      </c>
      <c r="D173" s="3">
        <v>31</v>
      </c>
      <c r="E173" s="3">
        <v>-240.898</v>
      </c>
      <c r="F173" s="4" t="str">
        <f>HYPERLINK("http://141.218.60.56/~jnz1568/getInfo.php?workbook=14_02.xlsx&amp;sheet=A0&amp;row=173&amp;col=6&amp;number=1427000000&amp;sourceID=14","1427000000")</f>
        <v>1427000000</v>
      </c>
      <c r="G173" s="4" t="str">
        <f>HYPERLINK("http://141.218.60.56/~jnz1568/getInfo.php?workbook=14_02.xlsx&amp;sheet=A0&amp;row=173&amp;col=7&amp;number=0&amp;sourceID=14","0")</f>
        <v>0</v>
      </c>
    </row>
    <row r="174" spans="1:7">
      <c r="A174" s="3">
        <v>14</v>
      </c>
      <c r="B174" s="3">
        <v>2</v>
      </c>
      <c r="C174" s="3">
        <v>49</v>
      </c>
      <c r="D174" s="3">
        <v>31</v>
      </c>
      <c r="E174" s="3">
        <v>-240.898</v>
      </c>
      <c r="F174" s="4" t="str">
        <f>HYPERLINK("http://141.218.60.56/~jnz1568/getInfo.php?workbook=14_02.xlsx&amp;sheet=A0&amp;row=174&amp;col=6&amp;number=120300000000&amp;sourceID=14","120300000000")</f>
        <v>120300000000</v>
      </c>
      <c r="G174" s="4" t="str">
        <f>HYPERLINK("http://141.218.60.56/~jnz1568/getInfo.php?workbook=14_02.xlsx&amp;sheet=A0&amp;row=174&amp;col=7&amp;number=0&amp;sourceID=14","0")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14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HYPERLINK("http://141.218.60.56/~jnz1568/getInfo.php?workbook=14_02.xlsx&amp;sheet=U0&amp;row=4&amp;col=6&amp;number=3&amp;sourceID=14","3")</f>
        <v>3</v>
      </c>
      <c r="G4" s="4" t="str">
        <f>HYPERLINK("http://141.218.60.56/~jnz1568/getInfo.php?workbook=14_02.xlsx&amp;sheet=U0&amp;row=4&amp;col=7&amp;number=0.00159&amp;sourceID=14","0.00159")</f>
        <v>0.00159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HYPERLINK("http://141.218.60.56/~jnz1568/getInfo.php?workbook=14_02.xlsx&amp;sheet=U0&amp;row=5&amp;col=6&amp;number=3.1&amp;sourceID=14","3.1")</f>
        <v>3.1</v>
      </c>
      <c r="G5" s="4" t="str">
        <f>HYPERLINK("http://141.218.60.56/~jnz1568/getInfo.php?workbook=14_02.xlsx&amp;sheet=U0&amp;row=5&amp;col=7&amp;number=0.00159&amp;sourceID=14","0.00159")</f>
        <v>0.00159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HYPERLINK("http://141.218.60.56/~jnz1568/getInfo.php?workbook=14_02.xlsx&amp;sheet=U0&amp;row=6&amp;col=6&amp;number=3.2&amp;sourceID=14","3.2")</f>
        <v>3.2</v>
      </c>
      <c r="G6" s="4" t="str">
        <f>HYPERLINK("http://141.218.60.56/~jnz1568/getInfo.php?workbook=14_02.xlsx&amp;sheet=U0&amp;row=6&amp;col=7&amp;number=0.00159&amp;sourceID=14","0.00159")</f>
        <v>0.00159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HYPERLINK("http://141.218.60.56/~jnz1568/getInfo.php?workbook=14_02.xlsx&amp;sheet=U0&amp;row=7&amp;col=6&amp;number=3.3&amp;sourceID=14","3.3")</f>
        <v>3.3</v>
      </c>
      <c r="G7" s="4" t="str">
        <f>HYPERLINK("http://141.218.60.56/~jnz1568/getInfo.php?workbook=14_02.xlsx&amp;sheet=U0&amp;row=7&amp;col=7&amp;number=0.00159&amp;sourceID=14","0.00159")</f>
        <v>0.00159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HYPERLINK("http://141.218.60.56/~jnz1568/getInfo.php?workbook=14_02.xlsx&amp;sheet=U0&amp;row=8&amp;col=6&amp;number=3.4&amp;sourceID=14","3.4")</f>
        <v>3.4</v>
      </c>
      <c r="G8" s="4" t="str">
        <f>HYPERLINK("http://141.218.60.56/~jnz1568/getInfo.php?workbook=14_02.xlsx&amp;sheet=U0&amp;row=8&amp;col=7&amp;number=0.00159&amp;sourceID=14","0.00159")</f>
        <v>0.00159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HYPERLINK("http://141.218.60.56/~jnz1568/getInfo.php?workbook=14_02.xlsx&amp;sheet=U0&amp;row=9&amp;col=6&amp;number=3.5&amp;sourceID=14","3.5")</f>
        <v>3.5</v>
      </c>
      <c r="G9" s="4" t="str">
        <f>HYPERLINK("http://141.218.60.56/~jnz1568/getInfo.php?workbook=14_02.xlsx&amp;sheet=U0&amp;row=9&amp;col=7&amp;number=0.00159&amp;sourceID=14","0.00159")</f>
        <v>0.00159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HYPERLINK("http://141.218.60.56/~jnz1568/getInfo.php?workbook=14_02.xlsx&amp;sheet=U0&amp;row=10&amp;col=6&amp;number=3.6&amp;sourceID=14","3.6")</f>
        <v>3.6</v>
      </c>
      <c r="G10" s="4" t="str">
        <f>HYPERLINK("http://141.218.60.56/~jnz1568/getInfo.php?workbook=14_02.xlsx&amp;sheet=U0&amp;row=10&amp;col=7&amp;number=0.00159&amp;sourceID=14","0.00159")</f>
        <v>0.00159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HYPERLINK("http://141.218.60.56/~jnz1568/getInfo.php?workbook=14_02.xlsx&amp;sheet=U0&amp;row=11&amp;col=6&amp;number=3.7&amp;sourceID=14","3.7")</f>
        <v>3.7</v>
      </c>
      <c r="G11" s="4" t="str">
        <f>HYPERLINK("http://141.218.60.56/~jnz1568/getInfo.php?workbook=14_02.xlsx&amp;sheet=U0&amp;row=11&amp;col=7&amp;number=0.00159&amp;sourceID=14","0.00159")</f>
        <v>0.00159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HYPERLINK("http://141.218.60.56/~jnz1568/getInfo.php?workbook=14_02.xlsx&amp;sheet=U0&amp;row=12&amp;col=6&amp;number=3.8&amp;sourceID=14","3.8")</f>
        <v>3.8</v>
      </c>
      <c r="G12" s="4" t="str">
        <f>HYPERLINK("http://141.218.60.56/~jnz1568/getInfo.php?workbook=14_02.xlsx&amp;sheet=U0&amp;row=12&amp;col=7&amp;number=0.00159&amp;sourceID=14","0.00159")</f>
        <v>0.00159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HYPERLINK("http://141.218.60.56/~jnz1568/getInfo.php?workbook=14_02.xlsx&amp;sheet=U0&amp;row=13&amp;col=6&amp;number=3.9&amp;sourceID=14","3.9")</f>
        <v>3.9</v>
      </c>
      <c r="G13" s="4" t="str">
        <f>HYPERLINK("http://141.218.60.56/~jnz1568/getInfo.php?workbook=14_02.xlsx&amp;sheet=U0&amp;row=13&amp;col=7&amp;number=0.00159&amp;sourceID=14","0.00159")</f>
        <v>0.00159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HYPERLINK("http://141.218.60.56/~jnz1568/getInfo.php?workbook=14_02.xlsx&amp;sheet=U0&amp;row=14&amp;col=6&amp;number=4&amp;sourceID=14","4")</f>
        <v>4</v>
      </c>
      <c r="G14" s="4" t="str">
        <f>HYPERLINK("http://141.218.60.56/~jnz1568/getInfo.php?workbook=14_02.xlsx&amp;sheet=U0&amp;row=14&amp;col=7&amp;number=0.00159&amp;sourceID=14","0.00159")</f>
        <v>0.00159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HYPERLINK("http://141.218.60.56/~jnz1568/getInfo.php?workbook=14_02.xlsx&amp;sheet=U0&amp;row=15&amp;col=6&amp;number=4.1&amp;sourceID=14","4.1")</f>
        <v>4.1</v>
      </c>
      <c r="G15" s="4" t="str">
        <f>HYPERLINK("http://141.218.60.56/~jnz1568/getInfo.php?workbook=14_02.xlsx&amp;sheet=U0&amp;row=15&amp;col=7&amp;number=0.00159&amp;sourceID=14","0.00159")</f>
        <v>0.00159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HYPERLINK("http://141.218.60.56/~jnz1568/getInfo.php?workbook=14_02.xlsx&amp;sheet=U0&amp;row=16&amp;col=6&amp;number=4.2&amp;sourceID=14","4.2")</f>
        <v>4.2</v>
      </c>
      <c r="G16" s="4" t="str">
        <f>HYPERLINK("http://141.218.60.56/~jnz1568/getInfo.php?workbook=14_02.xlsx&amp;sheet=U0&amp;row=16&amp;col=7&amp;number=0.00159&amp;sourceID=14","0.00159")</f>
        <v>0.00159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HYPERLINK("http://141.218.60.56/~jnz1568/getInfo.php?workbook=14_02.xlsx&amp;sheet=U0&amp;row=17&amp;col=6&amp;number=4.3&amp;sourceID=14","4.3")</f>
        <v>4.3</v>
      </c>
      <c r="G17" s="4" t="str">
        <f>HYPERLINK("http://141.218.60.56/~jnz1568/getInfo.php?workbook=14_02.xlsx&amp;sheet=U0&amp;row=17&amp;col=7&amp;number=0.00159&amp;sourceID=14","0.00159")</f>
        <v>0.00159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HYPERLINK("http://141.218.60.56/~jnz1568/getInfo.php?workbook=14_02.xlsx&amp;sheet=U0&amp;row=18&amp;col=6&amp;number=4.4&amp;sourceID=14","4.4")</f>
        <v>4.4</v>
      </c>
      <c r="G18" s="4" t="str">
        <f>HYPERLINK("http://141.218.60.56/~jnz1568/getInfo.php?workbook=14_02.xlsx&amp;sheet=U0&amp;row=18&amp;col=7&amp;number=0.00159&amp;sourceID=14","0.00159")</f>
        <v>0.00159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HYPERLINK("http://141.218.60.56/~jnz1568/getInfo.php?workbook=14_02.xlsx&amp;sheet=U0&amp;row=19&amp;col=6&amp;number=4.5&amp;sourceID=14","4.5")</f>
        <v>4.5</v>
      </c>
      <c r="G19" s="4" t="str">
        <f>HYPERLINK("http://141.218.60.56/~jnz1568/getInfo.php?workbook=14_02.xlsx&amp;sheet=U0&amp;row=19&amp;col=7&amp;number=0.00159&amp;sourceID=14","0.00159")</f>
        <v>0.00159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HYPERLINK("http://141.218.60.56/~jnz1568/getInfo.php?workbook=14_02.xlsx&amp;sheet=U0&amp;row=20&amp;col=6&amp;number=4.6&amp;sourceID=14","4.6")</f>
        <v>4.6</v>
      </c>
      <c r="G20" s="4" t="str">
        <f>HYPERLINK("http://141.218.60.56/~jnz1568/getInfo.php?workbook=14_02.xlsx&amp;sheet=U0&amp;row=20&amp;col=7&amp;number=0.00159&amp;sourceID=14","0.00159")</f>
        <v>0.00159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HYPERLINK("http://141.218.60.56/~jnz1568/getInfo.php?workbook=14_02.xlsx&amp;sheet=U0&amp;row=21&amp;col=6&amp;number=4.7&amp;sourceID=14","4.7")</f>
        <v>4.7</v>
      </c>
      <c r="G21" s="4" t="str">
        <f>HYPERLINK("http://141.218.60.56/~jnz1568/getInfo.php?workbook=14_02.xlsx&amp;sheet=U0&amp;row=21&amp;col=7&amp;number=0.00159&amp;sourceID=14","0.00159")</f>
        <v>0.00159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HYPERLINK("http://141.218.60.56/~jnz1568/getInfo.php?workbook=14_02.xlsx&amp;sheet=U0&amp;row=22&amp;col=6&amp;number=4.8&amp;sourceID=14","4.8")</f>
        <v>4.8</v>
      </c>
      <c r="G22" s="4" t="str">
        <f>HYPERLINK("http://141.218.60.56/~jnz1568/getInfo.php?workbook=14_02.xlsx&amp;sheet=U0&amp;row=22&amp;col=7&amp;number=0.00159&amp;sourceID=14","0.00159")</f>
        <v>0.00159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HYPERLINK("http://141.218.60.56/~jnz1568/getInfo.php?workbook=14_02.xlsx&amp;sheet=U0&amp;row=23&amp;col=6&amp;number=4.9&amp;sourceID=14","4.9")</f>
        <v>4.9</v>
      </c>
      <c r="G23" s="4" t="str">
        <f>HYPERLINK("http://141.218.60.56/~jnz1568/getInfo.php?workbook=14_02.xlsx&amp;sheet=U0&amp;row=23&amp;col=7&amp;number=0.00159&amp;sourceID=14","0.00159")</f>
        <v>0.00159</v>
      </c>
    </row>
    <row r="24" spans="1:7">
      <c r="A24" s="3">
        <v>14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HYPERLINK("http://141.218.60.56/~jnz1568/getInfo.php?workbook=14_02.xlsx&amp;sheet=U0&amp;row=24&amp;col=6&amp;number=3&amp;sourceID=14","3")</f>
        <v>3</v>
      </c>
      <c r="G24" s="4" t="str">
        <f>HYPERLINK("http://141.218.60.56/~jnz1568/getInfo.php?workbook=14_02.xlsx&amp;sheet=U0&amp;row=24&amp;col=7&amp;number=0.00262&amp;sourceID=14","0.00262")</f>
        <v>0.00262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HYPERLINK("http://141.218.60.56/~jnz1568/getInfo.php?workbook=14_02.xlsx&amp;sheet=U0&amp;row=25&amp;col=6&amp;number=3.1&amp;sourceID=14","3.1")</f>
        <v>3.1</v>
      </c>
      <c r="G25" s="4" t="str">
        <f>HYPERLINK("http://141.218.60.56/~jnz1568/getInfo.php?workbook=14_02.xlsx&amp;sheet=U0&amp;row=25&amp;col=7&amp;number=0.00262&amp;sourceID=14","0.00262")</f>
        <v>0.00262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HYPERLINK("http://141.218.60.56/~jnz1568/getInfo.php?workbook=14_02.xlsx&amp;sheet=U0&amp;row=26&amp;col=6&amp;number=3.2&amp;sourceID=14","3.2")</f>
        <v>3.2</v>
      </c>
      <c r="G26" s="4" t="str">
        <f>HYPERLINK("http://141.218.60.56/~jnz1568/getInfo.php?workbook=14_02.xlsx&amp;sheet=U0&amp;row=26&amp;col=7&amp;number=0.00262&amp;sourceID=14","0.00262")</f>
        <v>0.00262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HYPERLINK("http://141.218.60.56/~jnz1568/getInfo.php?workbook=14_02.xlsx&amp;sheet=U0&amp;row=27&amp;col=6&amp;number=3.3&amp;sourceID=14","3.3")</f>
        <v>3.3</v>
      </c>
      <c r="G27" s="4" t="str">
        <f>HYPERLINK("http://141.218.60.56/~jnz1568/getInfo.php?workbook=14_02.xlsx&amp;sheet=U0&amp;row=27&amp;col=7&amp;number=0.00262&amp;sourceID=14","0.00262")</f>
        <v>0.00262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HYPERLINK("http://141.218.60.56/~jnz1568/getInfo.php?workbook=14_02.xlsx&amp;sheet=U0&amp;row=28&amp;col=6&amp;number=3.4&amp;sourceID=14","3.4")</f>
        <v>3.4</v>
      </c>
      <c r="G28" s="4" t="str">
        <f>HYPERLINK("http://141.218.60.56/~jnz1568/getInfo.php?workbook=14_02.xlsx&amp;sheet=U0&amp;row=28&amp;col=7&amp;number=0.00262&amp;sourceID=14","0.00262")</f>
        <v>0.00262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HYPERLINK("http://141.218.60.56/~jnz1568/getInfo.php?workbook=14_02.xlsx&amp;sheet=U0&amp;row=29&amp;col=6&amp;number=3.5&amp;sourceID=14","3.5")</f>
        <v>3.5</v>
      </c>
      <c r="G29" s="4" t="str">
        <f>HYPERLINK("http://141.218.60.56/~jnz1568/getInfo.php?workbook=14_02.xlsx&amp;sheet=U0&amp;row=29&amp;col=7&amp;number=0.00262&amp;sourceID=14","0.00262")</f>
        <v>0.00262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HYPERLINK("http://141.218.60.56/~jnz1568/getInfo.php?workbook=14_02.xlsx&amp;sheet=U0&amp;row=30&amp;col=6&amp;number=3.6&amp;sourceID=14","3.6")</f>
        <v>3.6</v>
      </c>
      <c r="G30" s="4" t="str">
        <f>HYPERLINK("http://141.218.60.56/~jnz1568/getInfo.php?workbook=14_02.xlsx&amp;sheet=U0&amp;row=30&amp;col=7&amp;number=0.00262&amp;sourceID=14","0.00262")</f>
        <v>0.00262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HYPERLINK("http://141.218.60.56/~jnz1568/getInfo.php?workbook=14_02.xlsx&amp;sheet=U0&amp;row=31&amp;col=6&amp;number=3.7&amp;sourceID=14","3.7")</f>
        <v>3.7</v>
      </c>
      <c r="G31" s="4" t="str">
        <f>HYPERLINK("http://141.218.60.56/~jnz1568/getInfo.php?workbook=14_02.xlsx&amp;sheet=U0&amp;row=31&amp;col=7&amp;number=0.00262&amp;sourceID=14","0.00262")</f>
        <v>0.00262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HYPERLINK("http://141.218.60.56/~jnz1568/getInfo.php?workbook=14_02.xlsx&amp;sheet=U0&amp;row=32&amp;col=6&amp;number=3.8&amp;sourceID=14","3.8")</f>
        <v>3.8</v>
      </c>
      <c r="G32" s="4" t="str">
        <f>HYPERLINK("http://141.218.60.56/~jnz1568/getInfo.php?workbook=14_02.xlsx&amp;sheet=U0&amp;row=32&amp;col=7&amp;number=0.00262&amp;sourceID=14","0.00262")</f>
        <v>0.00262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HYPERLINK("http://141.218.60.56/~jnz1568/getInfo.php?workbook=14_02.xlsx&amp;sheet=U0&amp;row=33&amp;col=6&amp;number=3.9&amp;sourceID=14","3.9")</f>
        <v>3.9</v>
      </c>
      <c r="G33" s="4" t="str">
        <f>HYPERLINK("http://141.218.60.56/~jnz1568/getInfo.php?workbook=14_02.xlsx&amp;sheet=U0&amp;row=33&amp;col=7&amp;number=0.00262&amp;sourceID=14","0.00262")</f>
        <v>0.00262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HYPERLINK("http://141.218.60.56/~jnz1568/getInfo.php?workbook=14_02.xlsx&amp;sheet=U0&amp;row=34&amp;col=6&amp;number=4&amp;sourceID=14","4")</f>
        <v>4</v>
      </c>
      <c r="G34" s="4" t="str">
        <f>HYPERLINK("http://141.218.60.56/~jnz1568/getInfo.php?workbook=14_02.xlsx&amp;sheet=U0&amp;row=34&amp;col=7&amp;number=0.00262&amp;sourceID=14","0.00262")</f>
        <v>0.00262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HYPERLINK("http://141.218.60.56/~jnz1568/getInfo.php?workbook=14_02.xlsx&amp;sheet=U0&amp;row=35&amp;col=6&amp;number=4.1&amp;sourceID=14","4.1")</f>
        <v>4.1</v>
      </c>
      <c r="G35" s="4" t="str">
        <f>HYPERLINK("http://141.218.60.56/~jnz1568/getInfo.php?workbook=14_02.xlsx&amp;sheet=U0&amp;row=35&amp;col=7&amp;number=0.00262&amp;sourceID=14","0.00262")</f>
        <v>0.00262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HYPERLINK("http://141.218.60.56/~jnz1568/getInfo.php?workbook=14_02.xlsx&amp;sheet=U0&amp;row=36&amp;col=6&amp;number=4.2&amp;sourceID=14","4.2")</f>
        <v>4.2</v>
      </c>
      <c r="G36" s="4" t="str">
        <f>HYPERLINK("http://141.218.60.56/~jnz1568/getInfo.php?workbook=14_02.xlsx&amp;sheet=U0&amp;row=36&amp;col=7&amp;number=0.00262&amp;sourceID=14","0.00262")</f>
        <v>0.00262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HYPERLINK("http://141.218.60.56/~jnz1568/getInfo.php?workbook=14_02.xlsx&amp;sheet=U0&amp;row=37&amp;col=6&amp;number=4.3&amp;sourceID=14","4.3")</f>
        <v>4.3</v>
      </c>
      <c r="G37" s="4" t="str">
        <f>HYPERLINK("http://141.218.60.56/~jnz1568/getInfo.php?workbook=14_02.xlsx&amp;sheet=U0&amp;row=37&amp;col=7&amp;number=0.00262&amp;sourceID=14","0.00262")</f>
        <v>0.00262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HYPERLINK("http://141.218.60.56/~jnz1568/getInfo.php?workbook=14_02.xlsx&amp;sheet=U0&amp;row=38&amp;col=6&amp;number=4.4&amp;sourceID=14","4.4")</f>
        <v>4.4</v>
      </c>
      <c r="G38" s="4" t="str">
        <f>HYPERLINK("http://141.218.60.56/~jnz1568/getInfo.php?workbook=14_02.xlsx&amp;sheet=U0&amp;row=38&amp;col=7&amp;number=0.00262&amp;sourceID=14","0.00262")</f>
        <v>0.00262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HYPERLINK("http://141.218.60.56/~jnz1568/getInfo.php?workbook=14_02.xlsx&amp;sheet=U0&amp;row=39&amp;col=6&amp;number=4.5&amp;sourceID=14","4.5")</f>
        <v>4.5</v>
      </c>
      <c r="G39" s="4" t="str">
        <f>HYPERLINK("http://141.218.60.56/~jnz1568/getInfo.php?workbook=14_02.xlsx&amp;sheet=U0&amp;row=39&amp;col=7&amp;number=0.00262&amp;sourceID=14","0.00262")</f>
        <v>0.00262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HYPERLINK("http://141.218.60.56/~jnz1568/getInfo.php?workbook=14_02.xlsx&amp;sheet=U0&amp;row=40&amp;col=6&amp;number=4.6&amp;sourceID=14","4.6")</f>
        <v>4.6</v>
      </c>
      <c r="G40" s="4" t="str">
        <f>HYPERLINK("http://141.218.60.56/~jnz1568/getInfo.php?workbook=14_02.xlsx&amp;sheet=U0&amp;row=40&amp;col=7&amp;number=0.00262&amp;sourceID=14","0.00262")</f>
        <v>0.00262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HYPERLINK("http://141.218.60.56/~jnz1568/getInfo.php?workbook=14_02.xlsx&amp;sheet=U0&amp;row=41&amp;col=6&amp;number=4.7&amp;sourceID=14","4.7")</f>
        <v>4.7</v>
      </c>
      <c r="G41" s="4" t="str">
        <f>HYPERLINK("http://141.218.60.56/~jnz1568/getInfo.php?workbook=14_02.xlsx&amp;sheet=U0&amp;row=41&amp;col=7&amp;number=0.00262&amp;sourceID=14","0.00262")</f>
        <v>0.00262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HYPERLINK("http://141.218.60.56/~jnz1568/getInfo.php?workbook=14_02.xlsx&amp;sheet=U0&amp;row=42&amp;col=6&amp;number=4.8&amp;sourceID=14","4.8")</f>
        <v>4.8</v>
      </c>
      <c r="G42" s="4" t="str">
        <f>HYPERLINK("http://141.218.60.56/~jnz1568/getInfo.php?workbook=14_02.xlsx&amp;sheet=U0&amp;row=42&amp;col=7&amp;number=0.00262&amp;sourceID=14","0.00262")</f>
        <v>0.00262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HYPERLINK("http://141.218.60.56/~jnz1568/getInfo.php?workbook=14_02.xlsx&amp;sheet=U0&amp;row=43&amp;col=6&amp;number=4.9&amp;sourceID=14","4.9")</f>
        <v>4.9</v>
      </c>
      <c r="G43" s="4" t="str">
        <f>HYPERLINK("http://141.218.60.56/~jnz1568/getInfo.php?workbook=14_02.xlsx&amp;sheet=U0&amp;row=43&amp;col=7&amp;number=0.00262&amp;sourceID=14","0.00262")</f>
        <v>0.00262</v>
      </c>
    </row>
    <row r="44" spans="1:7">
      <c r="A44" s="3">
        <v>14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HYPERLINK("http://141.218.60.56/~jnz1568/getInfo.php?workbook=14_02.xlsx&amp;sheet=U0&amp;row=44&amp;col=6&amp;number=3&amp;sourceID=14","3")</f>
        <v>3</v>
      </c>
      <c r="G44" s="4" t="str">
        <f>HYPERLINK("http://141.218.60.56/~jnz1568/getInfo.php?workbook=14_02.xlsx&amp;sheet=U0&amp;row=44&amp;col=7&amp;number=0.00088&amp;sourceID=14","0.00088")</f>
        <v>0.00088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HYPERLINK("http://141.218.60.56/~jnz1568/getInfo.php?workbook=14_02.xlsx&amp;sheet=U0&amp;row=45&amp;col=6&amp;number=3.1&amp;sourceID=14","3.1")</f>
        <v>3.1</v>
      </c>
      <c r="G45" s="4" t="str">
        <f>HYPERLINK("http://141.218.60.56/~jnz1568/getInfo.php?workbook=14_02.xlsx&amp;sheet=U0&amp;row=45&amp;col=7&amp;number=0.00088&amp;sourceID=14","0.00088")</f>
        <v>0.00088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HYPERLINK("http://141.218.60.56/~jnz1568/getInfo.php?workbook=14_02.xlsx&amp;sheet=U0&amp;row=46&amp;col=6&amp;number=3.2&amp;sourceID=14","3.2")</f>
        <v>3.2</v>
      </c>
      <c r="G46" s="4" t="str">
        <f>HYPERLINK("http://141.218.60.56/~jnz1568/getInfo.php?workbook=14_02.xlsx&amp;sheet=U0&amp;row=46&amp;col=7&amp;number=0.00088&amp;sourceID=14","0.00088")</f>
        <v>0.00088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HYPERLINK("http://141.218.60.56/~jnz1568/getInfo.php?workbook=14_02.xlsx&amp;sheet=U0&amp;row=47&amp;col=6&amp;number=3.3&amp;sourceID=14","3.3")</f>
        <v>3.3</v>
      </c>
      <c r="G47" s="4" t="str">
        <f>HYPERLINK("http://141.218.60.56/~jnz1568/getInfo.php?workbook=14_02.xlsx&amp;sheet=U0&amp;row=47&amp;col=7&amp;number=0.00088&amp;sourceID=14","0.00088")</f>
        <v>0.00088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HYPERLINK("http://141.218.60.56/~jnz1568/getInfo.php?workbook=14_02.xlsx&amp;sheet=U0&amp;row=48&amp;col=6&amp;number=3.4&amp;sourceID=14","3.4")</f>
        <v>3.4</v>
      </c>
      <c r="G48" s="4" t="str">
        <f>HYPERLINK("http://141.218.60.56/~jnz1568/getInfo.php?workbook=14_02.xlsx&amp;sheet=U0&amp;row=48&amp;col=7&amp;number=0.00088&amp;sourceID=14","0.00088")</f>
        <v>0.00088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HYPERLINK("http://141.218.60.56/~jnz1568/getInfo.php?workbook=14_02.xlsx&amp;sheet=U0&amp;row=49&amp;col=6&amp;number=3.5&amp;sourceID=14","3.5")</f>
        <v>3.5</v>
      </c>
      <c r="G49" s="4" t="str">
        <f>HYPERLINK("http://141.218.60.56/~jnz1568/getInfo.php?workbook=14_02.xlsx&amp;sheet=U0&amp;row=49&amp;col=7&amp;number=0.00088&amp;sourceID=14","0.00088")</f>
        <v>0.00088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HYPERLINK("http://141.218.60.56/~jnz1568/getInfo.php?workbook=14_02.xlsx&amp;sheet=U0&amp;row=50&amp;col=6&amp;number=3.6&amp;sourceID=14","3.6")</f>
        <v>3.6</v>
      </c>
      <c r="G50" s="4" t="str">
        <f>HYPERLINK("http://141.218.60.56/~jnz1568/getInfo.php?workbook=14_02.xlsx&amp;sheet=U0&amp;row=50&amp;col=7&amp;number=0.00088&amp;sourceID=14","0.00088")</f>
        <v>0.00088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HYPERLINK("http://141.218.60.56/~jnz1568/getInfo.php?workbook=14_02.xlsx&amp;sheet=U0&amp;row=51&amp;col=6&amp;number=3.7&amp;sourceID=14","3.7")</f>
        <v>3.7</v>
      </c>
      <c r="G51" s="4" t="str">
        <f>HYPERLINK("http://141.218.60.56/~jnz1568/getInfo.php?workbook=14_02.xlsx&amp;sheet=U0&amp;row=51&amp;col=7&amp;number=0.00088&amp;sourceID=14","0.00088")</f>
        <v>0.00088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HYPERLINK("http://141.218.60.56/~jnz1568/getInfo.php?workbook=14_02.xlsx&amp;sheet=U0&amp;row=52&amp;col=6&amp;number=3.8&amp;sourceID=14","3.8")</f>
        <v>3.8</v>
      </c>
      <c r="G52" s="4" t="str">
        <f>HYPERLINK("http://141.218.60.56/~jnz1568/getInfo.php?workbook=14_02.xlsx&amp;sheet=U0&amp;row=52&amp;col=7&amp;number=0.00088&amp;sourceID=14","0.00088")</f>
        <v>0.00088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HYPERLINK("http://141.218.60.56/~jnz1568/getInfo.php?workbook=14_02.xlsx&amp;sheet=U0&amp;row=53&amp;col=6&amp;number=3.9&amp;sourceID=14","3.9")</f>
        <v>3.9</v>
      </c>
      <c r="G53" s="4" t="str">
        <f>HYPERLINK("http://141.218.60.56/~jnz1568/getInfo.php?workbook=14_02.xlsx&amp;sheet=U0&amp;row=53&amp;col=7&amp;number=0.00088&amp;sourceID=14","0.00088")</f>
        <v>0.00088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HYPERLINK("http://141.218.60.56/~jnz1568/getInfo.php?workbook=14_02.xlsx&amp;sheet=U0&amp;row=54&amp;col=6&amp;number=4&amp;sourceID=14","4")</f>
        <v>4</v>
      </c>
      <c r="G54" s="4" t="str">
        <f>HYPERLINK("http://141.218.60.56/~jnz1568/getInfo.php?workbook=14_02.xlsx&amp;sheet=U0&amp;row=54&amp;col=7&amp;number=0.00088&amp;sourceID=14","0.00088")</f>
        <v>0.00088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HYPERLINK("http://141.218.60.56/~jnz1568/getInfo.php?workbook=14_02.xlsx&amp;sheet=U0&amp;row=55&amp;col=6&amp;number=4.1&amp;sourceID=14","4.1")</f>
        <v>4.1</v>
      </c>
      <c r="G55" s="4" t="str">
        <f>HYPERLINK("http://141.218.60.56/~jnz1568/getInfo.php?workbook=14_02.xlsx&amp;sheet=U0&amp;row=55&amp;col=7&amp;number=0.00088&amp;sourceID=14","0.00088")</f>
        <v>0.00088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HYPERLINK("http://141.218.60.56/~jnz1568/getInfo.php?workbook=14_02.xlsx&amp;sheet=U0&amp;row=56&amp;col=6&amp;number=4.2&amp;sourceID=14","4.2")</f>
        <v>4.2</v>
      </c>
      <c r="G56" s="4" t="str">
        <f>HYPERLINK("http://141.218.60.56/~jnz1568/getInfo.php?workbook=14_02.xlsx&amp;sheet=U0&amp;row=56&amp;col=7&amp;number=0.00088&amp;sourceID=14","0.00088")</f>
        <v>0.00088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HYPERLINK("http://141.218.60.56/~jnz1568/getInfo.php?workbook=14_02.xlsx&amp;sheet=U0&amp;row=57&amp;col=6&amp;number=4.3&amp;sourceID=14","4.3")</f>
        <v>4.3</v>
      </c>
      <c r="G57" s="4" t="str">
        <f>HYPERLINK("http://141.218.60.56/~jnz1568/getInfo.php?workbook=14_02.xlsx&amp;sheet=U0&amp;row=57&amp;col=7&amp;number=0.00088&amp;sourceID=14","0.00088")</f>
        <v>0.00088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HYPERLINK("http://141.218.60.56/~jnz1568/getInfo.php?workbook=14_02.xlsx&amp;sheet=U0&amp;row=58&amp;col=6&amp;number=4.4&amp;sourceID=14","4.4")</f>
        <v>4.4</v>
      </c>
      <c r="G58" s="4" t="str">
        <f>HYPERLINK("http://141.218.60.56/~jnz1568/getInfo.php?workbook=14_02.xlsx&amp;sheet=U0&amp;row=58&amp;col=7&amp;number=0.00088&amp;sourceID=14","0.00088")</f>
        <v>0.00088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HYPERLINK("http://141.218.60.56/~jnz1568/getInfo.php?workbook=14_02.xlsx&amp;sheet=U0&amp;row=59&amp;col=6&amp;number=4.5&amp;sourceID=14","4.5")</f>
        <v>4.5</v>
      </c>
      <c r="G59" s="4" t="str">
        <f>HYPERLINK("http://141.218.60.56/~jnz1568/getInfo.php?workbook=14_02.xlsx&amp;sheet=U0&amp;row=59&amp;col=7&amp;number=0.00088&amp;sourceID=14","0.00088")</f>
        <v>0.00088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HYPERLINK("http://141.218.60.56/~jnz1568/getInfo.php?workbook=14_02.xlsx&amp;sheet=U0&amp;row=60&amp;col=6&amp;number=4.6&amp;sourceID=14","4.6")</f>
        <v>4.6</v>
      </c>
      <c r="G60" s="4" t="str">
        <f>HYPERLINK("http://141.218.60.56/~jnz1568/getInfo.php?workbook=14_02.xlsx&amp;sheet=U0&amp;row=60&amp;col=7&amp;number=0.000879&amp;sourceID=14","0.000879")</f>
        <v>0.000879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HYPERLINK("http://141.218.60.56/~jnz1568/getInfo.php?workbook=14_02.xlsx&amp;sheet=U0&amp;row=61&amp;col=6&amp;number=4.7&amp;sourceID=14","4.7")</f>
        <v>4.7</v>
      </c>
      <c r="G61" s="4" t="str">
        <f>HYPERLINK("http://141.218.60.56/~jnz1568/getInfo.php?workbook=14_02.xlsx&amp;sheet=U0&amp;row=61&amp;col=7&amp;number=0.000879&amp;sourceID=14","0.000879")</f>
        <v>0.000879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HYPERLINK("http://141.218.60.56/~jnz1568/getInfo.php?workbook=14_02.xlsx&amp;sheet=U0&amp;row=62&amp;col=6&amp;number=4.8&amp;sourceID=14","4.8")</f>
        <v>4.8</v>
      </c>
      <c r="G62" s="4" t="str">
        <f>HYPERLINK("http://141.218.60.56/~jnz1568/getInfo.php?workbook=14_02.xlsx&amp;sheet=U0&amp;row=62&amp;col=7&amp;number=0.000879&amp;sourceID=14","0.000879")</f>
        <v>0.000879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HYPERLINK("http://141.218.60.56/~jnz1568/getInfo.php?workbook=14_02.xlsx&amp;sheet=U0&amp;row=63&amp;col=6&amp;number=4.9&amp;sourceID=14","4.9")</f>
        <v>4.9</v>
      </c>
      <c r="G63" s="4" t="str">
        <f>HYPERLINK("http://141.218.60.56/~jnz1568/getInfo.php?workbook=14_02.xlsx&amp;sheet=U0&amp;row=63&amp;col=7&amp;number=0.000879&amp;sourceID=14","0.000879")</f>
        <v>0.000879</v>
      </c>
    </row>
    <row r="64" spans="1:7">
      <c r="A64" s="3">
        <v>14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HYPERLINK("http://141.218.60.56/~jnz1568/getInfo.php?workbook=14_02.xlsx&amp;sheet=U0&amp;row=64&amp;col=6&amp;number=3&amp;sourceID=14","3")</f>
        <v>3</v>
      </c>
      <c r="G64" s="4" t="str">
        <f>HYPERLINK("http://141.218.60.56/~jnz1568/getInfo.php?workbook=14_02.xlsx&amp;sheet=U0&amp;row=64&amp;col=7&amp;number=0.0027&amp;sourceID=14","0.0027")</f>
        <v>0.0027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HYPERLINK("http://141.218.60.56/~jnz1568/getInfo.php?workbook=14_02.xlsx&amp;sheet=U0&amp;row=65&amp;col=6&amp;number=3.1&amp;sourceID=14","3.1")</f>
        <v>3.1</v>
      </c>
      <c r="G65" s="4" t="str">
        <f>HYPERLINK("http://141.218.60.56/~jnz1568/getInfo.php?workbook=14_02.xlsx&amp;sheet=U0&amp;row=65&amp;col=7&amp;number=0.0027&amp;sourceID=14","0.0027")</f>
        <v>0.0027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HYPERLINK("http://141.218.60.56/~jnz1568/getInfo.php?workbook=14_02.xlsx&amp;sheet=U0&amp;row=66&amp;col=6&amp;number=3.2&amp;sourceID=14","3.2")</f>
        <v>3.2</v>
      </c>
      <c r="G66" s="4" t="str">
        <f>HYPERLINK("http://141.218.60.56/~jnz1568/getInfo.php?workbook=14_02.xlsx&amp;sheet=U0&amp;row=66&amp;col=7&amp;number=0.0027&amp;sourceID=14","0.0027")</f>
        <v>0.0027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HYPERLINK("http://141.218.60.56/~jnz1568/getInfo.php?workbook=14_02.xlsx&amp;sheet=U0&amp;row=67&amp;col=6&amp;number=3.3&amp;sourceID=14","3.3")</f>
        <v>3.3</v>
      </c>
      <c r="G67" s="4" t="str">
        <f>HYPERLINK("http://141.218.60.56/~jnz1568/getInfo.php?workbook=14_02.xlsx&amp;sheet=U0&amp;row=67&amp;col=7&amp;number=0.0027&amp;sourceID=14","0.0027")</f>
        <v>0.0027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HYPERLINK("http://141.218.60.56/~jnz1568/getInfo.php?workbook=14_02.xlsx&amp;sheet=U0&amp;row=68&amp;col=6&amp;number=3.4&amp;sourceID=14","3.4")</f>
        <v>3.4</v>
      </c>
      <c r="G68" s="4" t="str">
        <f>HYPERLINK("http://141.218.60.56/~jnz1568/getInfo.php?workbook=14_02.xlsx&amp;sheet=U0&amp;row=68&amp;col=7&amp;number=0.0027&amp;sourceID=14","0.0027")</f>
        <v>0.0027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HYPERLINK("http://141.218.60.56/~jnz1568/getInfo.php?workbook=14_02.xlsx&amp;sheet=U0&amp;row=69&amp;col=6&amp;number=3.5&amp;sourceID=14","3.5")</f>
        <v>3.5</v>
      </c>
      <c r="G69" s="4" t="str">
        <f>HYPERLINK("http://141.218.60.56/~jnz1568/getInfo.php?workbook=14_02.xlsx&amp;sheet=U0&amp;row=69&amp;col=7&amp;number=0.0027&amp;sourceID=14","0.0027")</f>
        <v>0.0027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HYPERLINK("http://141.218.60.56/~jnz1568/getInfo.php?workbook=14_02.xlsx&amp;sheet=U0&amp;row=70&amp;col=6&amp;number=3.6&amp;sourceID=14","3.6")</f>
        <v>3.6</v>
      </c>
      <c r="G70" s="4" t="str">
        <f>HYPERLINK("http://141.218.60.56/~jnz1568/getInfo.php?workbook=14_02.xlsx&amp;sheet=U0&amp;row=70&amp;col=7&amp;number=0.0027&amp;sourceID=14","0.0027")</f>
        <v>0.0027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HYPERLINK("http://141.218.60.56/~jnz1568/getInfo.php?workbook=14_02.xlsx&amp;sheet=U0&amp;row=71&amp;col=6&amp;number=3.7&amp;sourceID=14","3.7")</f>
        <v>3.7</v>
      </c>
      <c r="G71" s="4" t="str">
        <f>HYPERLINK("http://141.218.60.56/~jnz1568/getInfo.php?workbook=14_02.xlsx&amp;sheet=U0&amp;row=71&amp;col=7&amp;number=0.0027&amp;sourceID=14","0.0027")</f>
        <v>0.0027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HYPERLINK("http://141.218.60.56/~jnz1568/getInfo.php?workbook=14_02.xlsx&amp;sheet=U0&amp;row=72&amp;col=6&amp;number=3.8&amp;sourceID=14","3.8")</f>
        <v>3.8</v>
      </c>
      <c r="G72" s="4" t="str">
        <f>HYPERLINK("http://141.218.60.56/~jnz1568/getInfo.php?workbook=14_02.xlsx&amp;sheet=U0&amp;row=72&amp;col=7&amp;number=0.0027&amp;sourceID=14","0.0027")</f>
        <v>0.0027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HYPERLINK("http://141.218.60.56/~jnz1568/getInfo.php?workbook=14_02.xlsx&amp;sheet=U0&amp;row=73&amp;col=6&amp;number=3.9&amp;sourceID=14","3.9")</f>
        <v>3.9</v>
      </c>
      <c r="G73" s="4" t="str">
        <f>HYPERLINK("http://141.218.60.56/~jnz1568/getInfo.php?workbook=14_02.xlsx&amp;sheet=U0&amp;row=73&amp;col=7&amp;number=0.0027&amp;sourceID=14","0.0027")</f>
        <v>0.0027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HYPERLINK("http://141.218.60.56/~jnz1568/getInfo.php?workbook=14_02.xlsx&amp;sheet=U0&amp;row=74&amp;col=6&amp;number=4&amp;sourceID=14","4")</f>
        <v>4</v>
      </c>
      <c r="G74" s="4" t="str">
        <f>HYPERLINK("http://141.218.60.56/~jnz1568/getInfo.php?workbook=14_02.xlsx&amp;sheet=U0&amp;row=74&amp;col=7&amp;number=0.0027&amp;sourceID=14","0.0027")</f>
        <v>0.0027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HYPERLINK("http://141.218.60.56/~jnz1568/getInfo.php?workbook=14_02.xlsx&amp;sheet=U0&amp;row=75&amp;col=6&amp;number=4.1&amp;sourceID=14","4.1")</f>
        <v>4.1</v>
      </c>
      <c r="G75" s="4" t="str">
        <f>HYPERLINK("http://141.218.60.56/~jnz1568/getInfo.php?workbook=14_02.xlsx&amp;sheet=U0&amp;row=75&amp;col=7&amp;number=0.00269&amp;sourceID=14","0.00269")</f>
        <v>0.00269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HYPERLINK("http://141.218.60.56/~jnz1568/getInfo.php?workbook=14_02.xlsx&amp;sheet=U0&amp;row=76&amp;col=6&amp;number=4.2&amp;sourceID=14","4.2")</f>
        <v>4.2</v>
      </c>
      <c r="G76" s="4" t="str">
        <f>HYPERLINK("http://141.218.60.56/~jnz1568/getInfo.php?workbook=14_02.xlsx&amp;sheet=U0&amp;row=76&amp;col=7&amp;number=0.00269&amp;sourceID=14","0.00269")</f>
        <v>0.00269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HYPERLINK("http://141.218.60.56/~jnz1568/getInfo.php?workbook=14_02.xlsx&amp;sheet=U0&amp;row=77&amp;col=6&amp;number=4.3&amp;sourceID=14","4.3")</f>
        <v>4.3</v>
      </c>
      <c r="G77" s="4" t="str">
        <f>HYPERLINK("http://141.218.60.56/~jnz1568/getInfo.php?workbook=14_02.xlsx&amp;sheet=U0&amp;row=77&amp;col=7&amp;number=0.00269&amp;sourceID=14","0.00269")</f>
        <v>0.00269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HYPERLINK("http://141.218.60.56/~jnz1568/getInfo.php?workbook=14_02.xlsx&amp;sheet=U0&amp;row=78&amp;col=6&amp;number=4.4&amp;sourceID=14","4.4")</f>
        <v>4.4</v>
      </c>
      <c r="G78" s="4" t="str">
        <f>HYPERLINK("http://141.218.60.56/~jnz1568/getInfo.php?workbook=14_02.xlsx&amp;sheet=U0&amp;row=78&amp;col=7&amp;number=0.00269&amp;sourceID=14","0.00269")</f>
        <v>0.00269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HYPERLINK("http://141.218.60.56/~jnz1568/getInfo.php?workbook=14_02.xlsx&amp;sheet=U0&amp;row=79&amp;col=6&amp;number=4.5&amp;sourceID=14","4.5")</f>
        <v>4.5</v>
      </c>
      <c r="G79" s="4" t="str">
        <f>HYPERLINK("http://141.218.60.56/~jnz1568/getInfo.php?workbook=14_02.xlsx&amp;sheet=U0&amp;row=79&amp;col=7&amp;number=0.00269&amp;sourceID=14","0.00269")</f>
        <v>0.00269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HYPERLINK("http://141.218.60.56/~jnz1568/getInfo.php?workbook=14_02.xlsx&amp;sheet=U0&amp;row=80&amp;col=6&amp;number=4.6&amp;sourceID=14","4.6")</f>
        <v>4.6</v>
      </c>
      <c r="G80" s="4" t="str">
        <f>HYPERLINK("http://141.218.60.56/~jnz1568/getInfo.php?workbook=14_02.xlsx&amp;sheet=U0&amp;row=80&amp;col=7&amp;number=0.00269&amp;sourceID=14","0.00269")</f>
        <v>0.00269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HYPERLINK("http://141.218.60.56/~jnz1568/getInfo.php?workbook=14_02.xlsx&amp;sheet=U0&amp;row=81&amp;col=6&amp;number=4.7&amp;sourceID=14","4.7")</f>
        <v>4.7</v>
      </c>
      <c r="G81" s="4" t="str">
        <f>HYPERLINK("http://141.218.60.56/~jnz1568/getInfo.php?workbook=14_02.xlsx&amp;sheet=U0&amp;row=81&amp;col=7&amp;number=0.00269&amp;sourceID=14","0.00269")</f>
        <v>0.00269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HYPERLINK("http://141.218.60.56/~jnz1568/getInfo.php?workbook=14_02.xlsx&amp;sheet=U0&amp;row=82&amp;col=6&amp;number=4.8&amp;sourceID=14","4.8")</f>
        <v>4.8</v>
      </c>
      <c r="G82" s="4" t="str">
        <f>HYPERLINK("http://141.218.60.56/~jnz1568/getInfo.php?workbook=14_02.xlsx&amp;sheet=U0&amp;row=82&amp;col=7&amp;number=0.00269&amp;sourceID=14","0.00269")</f>
        <v>0.00269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HYPERLINK("http://141.218.60.56/~jnz1568/getInfo.php?workbook=14_02.xlsx&amp;sheet=U0&amp;row=83&amp;col=6&amp;number=4.9&amp;sourceID=14","4.9")</f>
        <v>4.9</v>
      </c>
      <c r="G83" s="4" t="str">
        <f>HYPERLINK("http://141.218.60.56/~jnz1568/getInfo.php?workbook=14_02.xlsx&amp;sheet=U0&amp;row=83&amp;col=7&amp;number=0.00269&amp;sourceID=14","0.00269")</f>
        <v>0.00269</v>
      </c>
    </row>
    <row r="84" spans="1:7">
      <c r="A84" s="3">
        <v>14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HYPERLINK("http://141.218.60.56/~jnz1568/getInfo.php?workbook=14_02.xlsx&amp;sheet=U0&amp;row=84&amp;col=6&amp;number=3&amp;sourceID=14","3")</f>
        <v>3</v>
      </c>
      <c r="G84" s="4" t="str">
        <f>HYPERLINK("http://141.218.60.56/~jnz1568/getInfo.php?workbook=14_02.xlsx&amp;sheet=U0&amp;row=84&amp;col=7&amp;number=0.00446&amp;sourceID=14","0.00446")</f>
        <v>0.00446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HYPERLINK("http://141.218.60.56/~jnz1568/getInfo.php?workbook=14_02.xlsx&amp;sheet=U0&amp;row=85&amp;col=6&amp;number=3.1&amp;sourceID=14","3.1")</f>
        <v>3.1</v>
      </c>
      <c r="G85" s="4" t="str">
        <f>HYPERLINK("http://141.218.60.56/~jnz1568/getInfo.php?workbook=14_02.xlsx&amp;sheet=U0&amp;row=85&amp;col=7&amp;number=0.00446&amp;sourceID=14","0.00446")</f>
        <v>0.00446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HYPERLINK("http://141.218.60.56/~jnz1568/getInfo.php?workbook=14_02.xlsx&amp;sheet=U0&amp;row=86&amp;col=6&amp;number=3.2&amp;sourceID=14","3.2")</f>
        <v>3.2</v>
      </c>
      <c r="G86" s="4" t="str">
        <f>HYPERLINK("http://141.218.60.56/~jnz1568/getInfo.php?workbook=14_02.xlsx&amp;sheet=U0&amp;row=86&amp;col=7&amp;number=0.00446&amp;sourceID=14","0.00446")</f>
        <v>0.00446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HYPERLINK("http://141.218.60.56/~jnz1568/getInfo.php?workbook=14_02.xlsx&amp;sheet=U0&amp;row=87&amp;col=6&amp;number=3.3&amp;sourceID=14","3.3")</f>
        <v>3.3</v>
      </c>
      <c r="G87" s="4" t="str">
        <f>HYPERLINK("http://141.218.60.56/~jnz1568/getInfo.php?workbook=14_02.xlsx&amp;sheet=U0&amp;row=87&amp;col=7&amp;number=0.00446&amp;sourceID=14","0.00446")</f>
        <v>0.00446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HYPERLINK("http://141.218.60.56/~jnz1568/getInfo.php?workbook=14_02.xlsx&amp;sheet=U0&amp;row=88&amp;col=6&amp;number=3.4&amp;sourceID=14","3.4")</f>
        <v>3.4</v>
      </c>
      <c r="G88" s="4" t="str">
        <f>HYPERLINK("http://141.218.60.56/~jnz1568/getInfo.php?workbook=14_02.xlsx&amp;sheet=U0&amp;row=88&amp;col=7&amp;number=0.00446&amp;sourceID=14","0.00446")</f>
        <v>0.00446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HYPERLINK("http://141.218.60.56/~jnz1568/getInfo.php?workbook=14_02.xlsx&amp;sheet=U0&amp;row=89&amp;col=6&amp;number=3.5&amp;sourceID=14","3.5")</f>
        <v>3.5</v>
      </c>
      <c r="G89" s="4" t="str">
        <f>HYPERLINK("http://141.218.60.56/~jnz1568/getInfo.php?workbook=14_02.xlsx&amp;sheet=U0&amp;row=89&amp;col=7&amp;number=0.00446&amp;sourceID=14","0.00446")</f>
        <v>0.00446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HYPERLINK("http://141.218.60.56/~jnz1568/getInfo.php?workbook=14_02.xlsx&amp;sheet=U0&amp;row=90&amp;col=6&amp;number=3.6&amp;sourceID=14","3.6")</f>
        <v>3.6</v>
      </c>
      <c r="G90" s="4" t="str">
        <f>HYPERLINK("http://141.218.60.56/~jnz1568/getInfo.php?workbook=14_02.xlsx&amp;sheet=U0&amp;row=90&amp;col=7&amp;number=0.00446&amp;sourceID=14","0.00446")</f>
        <v>0.00446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HYPERLINK("http://141.218.60.56/~jnz1568/getInfo.php?workbook=14_02.xlsx&amp;sheet=U0&amp;row=91&amp;col=6&amp;number=3.7&amp;sourceID=14","3.7")</f>
        <v>3.7</v>
      </c>
      <c r="G91" s="4" t="str">
        <f>HYPERLINK("http://141.218.60.56/~jnz1568/getInfo.php?workbook=14_02.xlsx&amp;sheet=U0&amp;row=91&amp;col=7&amp;number=0.00446&amp;sourceID=14","0.00446")</f>
        <v>0.00446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HYPERLINK("http://141.218.60.56/~jnz1568/getInfo.php?workbook=14_02.xlsx&amp;sheet=U0&amp;row=92&amp;col=6&amp;number=3.8&amp;sourceID=14","3.8")</f>
        <v>3.8</v>
      </c>
      <c r="G92" s="4" t="str">
        <f>HYPERLINK("http://141.218.60.56/~jnz1568/getInfo.php?workbook=14_02.xlsx&amp;sheet=U0&amp;row=92&amp;col=7&amp;number=0.00446&amp;sourceID=14","0.00446")</f>
        <v>0.00446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HYPERLINK("http://141.218.60.56/~jnz1568/getInfo.php?workbook=14_02.xlsx&amp;sheet=U0&amp;row=93&amp;col=6&amp;number=3.9&amp;sourceID=14","3.9")</f>
        <v>3.9</v>
      </c>
      <c r="G93" s="4" t="str">
        <f>HYPERLINK("http://141.218.60.56/~jnz1568/getInfo.php?workbook=14_02.xlsx&amp;sheet=U0&amp;row=93&amp;col=7&amp;number=0.00446&amp;sourceID=14","0.00446")</f>
        <v>0.00446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HYPERLINK("http://141.218.60.56/~jnz1568/getInfo.php?workbook=14_02.xlsx&amp;sheet=U0&amp;row=94&amp;col=6&amp;number=4&amp;sourceID=14","4")</f>
        <v>4</v>
      </c>
      <c r="G94" s="4" t="str">
        <f>HYPERLINK("http://141.218.60.56/~jnz1568/getInfo.php?workbook=14_02.xlsx&amp;sheet=U0&amp;row=94&amp;col=7&amp;number=0.00446&amp;sourceID=14","0.00446")</f>
        <v>0.00446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HYPERLINK("http://141.218.60.56/~jnz1568/getInfo.php?workbook=14_02.xlsx&amp;sheet=U0&amp;row=95&amp;col=6&amp;number=4.1&amp;sourceID=14","4.1")</f>
        <v>4.1</v>
      </c>
      <c r="G95" s="4" t="str">
        <f>HYPERLINK("http://141.218.60.56/~jnz1568/getInfo.php?workbook=14_02.xlsx&amp;sheet=U0&amp;row=95&amp;col=7&amp;number=0.00446&amp;sourceID=14","0.00446")</f>
        <v>0.00446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HYPERLINK("http://141.218.60.56/~jnz1568/getInfo.php?workbook=14_02.xlsx&amp;sheet=U0&amp;row=96&amp;col=6&amp;number=4.2&amp;sourceID=14","4.2")</f>
        <v>4.2</v>
      </c>
      <c r="G96" s="4" t="str">
        <f>HYPERLINK("http://141.218.60.56/~jnz1568/getInfo.php?workbook=14_02.xlsx&amp;sheet=U0&amp;row=96&amp;col=7&amp;number=0.00446&amp;sourceID=14","0.00446")</f>
        <v>0.00446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HYPERLINK("http://141.218.60.56/~jnz1568/getInfo.php?workbook=14_02.xlsx&amp;sheet=U0&amp;row=97&amp;col=6&amp;number=4.3&amp;sourceID=14","4.3")</f>
        <v>4.3</v>
      </c>
      <c r="G97" s="4" t="str">
        <f>HYPERLINK("http://141.218.60.56/~jnz1568/getInfo.php?workbook=14_02.xlsx&amp;sheet=U0&amp;row=97&amp;col=7&amp;number=0.00446&amp;sourceID=14","0.00446")</f>
        <v>0.00446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HYPERLINK("http://141.218.60.56/~jnz1568/getInfo.php?workbook=14_02.xlsx&amp;sheet=U0&amp;row=98&amp;col=6&amp;number=4.4&amp;sourceID=14","4.4")</f>
        <v>4.4</v>
      </c>
      <c r="G98" s="4" t="str">
        <f>HYPERLINK("http://141.218.60.56/~jnz1568/getInfo.php?workbook=14_02.xlsx&amp;sheet=U0&amp;row=98&amp;col=7&amp;number=0.00446&amp;sourceID=14","0.00446")</f>
        <v>0.00446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HYPERLINK("http://141.218.60.56/~jnz1568/getInfo.php?workbook=14_02.xlsx&amp;sheet=U0&amp;row=99&amp;col=6&amp;number=4.5&amp;sourceID=14","4.5")</f>
        <v>4.5</v>
      </c>
      <c r="G99" s="4" t="str">
        <f>HYPERLINK("http://141.218.60.56/~jnz1568/getInfo.php?workbook=14_02.xlsx&amp;sheet=U0&amp;row=99&amp;col=7&amp;number=0.00446&amp;sourceID=14","0.00446")</f>
        <v>0.00446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HYPERLINK("http://141.218.60.56/~jnz1568/getInfo.php?workbook=14_02.xlsx&amp;sheet=U0&amp;row=100&amp;col=6&amp;number=4.6&amp;sourceID=14","4.6")</f>
        <v>4.6</v>
      </c>
      <c r="G100" s="4" t="str">
        <f>HYPERLINK("http://141.218.60.56/~jnz1568/getInfo.php?workbook=14_02.xlsx&amp;sheet=U0&amp;row=100&amp;col=7&amp;number=0.00445&amp;sourceID=14","0.00445")</f>
        <v>0.00445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HYPERLINK("http://141.218.60.56/~jnz1568/getInfo.php?workbook=14_02.xlsx&amp;sheet=U0&amp;row=101&amp;col=6&amp;number=4.7&amp;sourceID=14","4.7")</f>
        <v>4.7</v>
      </c>
      <c r="G101" s="4" t="str">
        <f>HYPERLINK("http://141.218.60.56/~jnz1568/getInfo.php?workbook=14_02.xlsx&amp;sheet=U0&amp;row=101&amp;col=7&amp;number=0.00445&amp;sourceID=14","0.00445")</f>
        <v>0.00445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HYPERLINK("http://141.218.60.56/~jnz1568/getInfo.php?workbook=14_02.xlsx&amp;sheet=U0&amp;row=102&amp;col=6&amp;number=4.8&amp;sourceID=14","4.8")</f>
        <v>4.8</v>
      </c>
      <c r="G102" s="4" t="str">
        <f>HYPERLINK("http://141.218.60.56/~jnz1568/getInfo.php?workbook=14_02.xlsx&amp;sheet=U0&amp;row=102&amp;col=7&amp;number=0.00445&amp;sourceID=14","0.00445")</f>
        <v>0.00445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HYPERLINK("http://141.218.60.56/~jnz1568/getInfo.php?workbook=14_02.xlsx&amp;sheet=U0&amp;row=103&amp;col=6&amp;number=4.9&amp;sourceID=14","4.9")</f>
        <v>4.9</v>
      </c>
      <c r="G103" s="4" t="str">
        <f>HYPERLINK("http://141.218.60.56/~jnz1568/getInfo.php?workbook=14_02.xlsx&amp;sheet=U0&amp;row=103&amp;col=7&amp;number=0.00445&amp;sourceID=14","0.00445")</f>
        <v>0.00445</v>
      </c>
    </row>
    <row r="104" spans="1:7">
      <c r="A104" s="3">
        <v>14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HYPERLINK("http://141.218.60.56/~jnz1568/getInfo.php?workbook=14_02.xlsx&amp;sheet=U0&amp;row=104&amp;col=6&amp;number=3&amp;sourceID=14","3")</f>
        <v>3</v>
      </c>
      <c r="G104" s="4" t="str">
        <f>HYPERLINK("http://141.218.60.56/~jnz1568/getInfo.php?workbook=14_02.xlsx&amp;sheet=U0&amp;row=104&amp;col=7&amp;number=0.00759&amp;sourceID=14","0.00759")</f>
        <v>0.00759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HYPERLINK("http://141.218.60.56/~jnz1568/getInfo.php?workbook=14_02.xlsx&amp;sheet=U0&amp;row=105&amp;col=6&amp;number=3.1&amp;sourceID=14","3.1")</f>
        <v>3.1</v>
      </c>
      <c r="G105" s="4" t="str">
        <f>HYPERLINK("http://141.218.60.56/~jnz1568/getInfo.php?workbook=14_02.xlsx&amp;sheet=U0&amp;row=105&amp;col=7&amp;number=0.00759&amp;sourceID=14","0.00759")</f>
        <v>0.00759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HYPERLINK("http://141.218.60.56/~jnz1568/getInfo.php?workbook=14_02.xlsx&amp;sheet=U0&amp;row=106&amp;col=6&amp;number=3.2&amp;sourceID=14","3.2")</f>
        <v>3.2</v>
      </c>
      <c r="G106" s="4" t="str">
        <f>HYPERLINK("http://141.218.60.56/~jnz1568/getInfo.php?workbook=14_02.xlsx&amp;sheet=U0&amp;row=106&amp;col=7&amp;number=0.00759&amp;sourceID=14","0.00759")</f>
        <v>0.00759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HYPERLINK("http://141.218.60.56/~jnz1568/getInfo.php?workbook=14_02.xlsx&amp;sheet=U0&amp;row=107&amp;col=6&amp;number=3.3&amp;sourceID=14","3.3")</f>
        <v>3.3</v>
      </c>
      <c r="G107" s="4" t="str">
        <f>HYPERLINK("http://141.218.60.56/~jnz1568/getInfo.php?workbook=14_02.xlsx&amp;sheet=U0&amp;row=107&amp;col=7&amp;number=0.00759&amp;sourceID=14","0.00759")</f>
        <v>0.00759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HYPERLINK("http://141.218.60.56/~jnz1568/getInfo.php?workbook=14_02.xlsx&amp;sheet=U0&amp;row=108&amp;col=6&amp;number=3.4&amp;sourceID=14","3.4")</f>
        <v>3.4</v>
      </c>
      <c r="G108" s="4" t="str">
        <f>HYPERLINK("http://141.218.60.56/~jnz1568/getInfo.php?workbook=14_02.xlsx&amp;sheet=U0&amp;row=108&amp;col=7&amp;number=0.00759&amp;sourceID=14","0.00759")</f>
        <v>0.00759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HYPERLINK("http://141.218.60.56/~jnz1568/getInfo.php?workbook=14_02.xlsx&amp;sheet=U0&amp;row=109&amp;col=6&amp;number=3.5&amp;sourceID=14","3.5")</f>
        <v>3.5</v>
      </c>
      <c r="G109" s="4" t="str">
        <f>HYPERLINK("http://141.218.60.56/~jnz1568/getInfo.php?workbook=14_02.xlsx&amp;sheet=U0&amp;row=109&amp;col=7&amp;number=0.00759&amp;sourceID=14","0.00759")</f>
        <v>0.00759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HYPERLINK("http://141.218.60.56/~jnz1568/getInfo.php?workbook=14_02.xlsx&amp;sheet=U0&amp;row=110&amp;col=6&amp;number=3.6&amp;sourceID=14","3.6")</f>
        <v>3.6</v>
      </c>
      <c r="G110" s="4" t="str">
        <f>HYPERLINK("http://141.218.60.56/~jnz1568/getInfo.php?workbook=14_02.xlsx&amp;sheet=U0&amp;row=110&amp;col=7&amp;number=0.00759&amp;sourceID=14","0.00759")</f>
        <v>0.00759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HYPERLINK("http://141.218.60.56/~jnz1568/getInfo.php?workbook=14_02.xlsx&amp;sheet=U0&amp;row=111&amp;col=6&amp;number=3.7&amp;sourceID=14","3.7")</f>
        <v>3.7</v>
      </c>
      <c r="G111" s="4" t="str">
        <f>HYPERLINK("http://141.218.60.56/~jnz1568/getInfo.php?workbook=14_02.xlsx&amp;sheet=U0&amp;row=111&amp;col=7&amp;number=0.00759&amp;sourceID=14","0.00759")</f>
        <v>0.00759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HYPERLINK("http://141.218.60.56/~jnz1568/getInfo.php?workbook=14_02.xlsx&amp;sheet=U0&amp;row=112&amp;col=6&amp;number=3.8&amp;sourceID=14","3.8")</f>
        <v>3.8</v>
      </c>
      <c r="G112" s="4" t="str">
        <f>HYPERLINK("http://141.218.60.56/~jnz1568/getInfo.php?workbook=14_02.xlsx&amp;sheet=U0&amp;row=112&amp;col=7&amp;number=0.00759&amp;sourceID=14","0.00759")</f>
        <v>0.00759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HYPERLINK("http://141.218.60.56/~jnz1568/getInfo.php?workbook=14_02.xlsx&amp;sheet=U0&amp;row=113&amp;col=6&amp;number=3.9&amp;sourceID=14","3.9")</f>
        <v>3.9</v>
      </c>
      <c r="G113" s="4" t="str">
        <f>HYPERLINK("http://141.218.60.56/~jnz1568/getInfo.php?workbook=14_02.xlsx&amp;sheet=U0&amp;row=113&amp;col=7&amp;number=0.00759&amp;sourceID=14","0.00759")</f>
        <v>0.00759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HYPERLINK("http://141.218.60.56/~jnz1568/getInfo.php?workbook=14_02.xlsx&amp;sheet=U0&amp;row=114&amp;col=6&amp;number=4&amp;sourceID=14","4")</f>
        <v>4</v>
      </c>
      <c r="G114" s="4" t="str">
        <f>HYPERLINK("http://141.218.60.56/~jnz1568/getInfo.php?workbook=14_02.xlsx&amp;sheet=U0&amp;row=114&amp;col=7&amp;number=0.0076&amp;sourceID=14","0.0076")</f>
        <v>0.0076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HYPERLINK("http://141.218.60.56/~jnz1568/getInfo.php?workbook=14_02.xlsx&amp;sheet=U0&amp;row=115&amp;col=6&amp;number=4.1&amp;sourceID=14","4.1")</f>
        <v>4.1</v>
      </c>
      <c r="G115" s="4" t="str">
        <f>HYPERLINK("http://141.218.60.56/~jnz1568/getInfo.php?workbook=14_02.xlsx&amp;sheet=U0&amp;row=115&amp;col=7&amp;number=0.0076&amp;sourceID=14","0.0076")</f>
        <v>0.0076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HYPERLINK("http://141.218.60.56/~jnz1568/getInfo.php?workbook=14_02.xlsx&amp;sheet=U0&amp;row=116&amp;col=6&amp;number=4.2&amp;sourceID=14","4.2")</f>
        <v>4.2</v>
      </c>
      <c r="G116" s="4" t="str">
        <f>HYPERLINK("http://141.218.60.56/~jnz1568/getInfo.php?workbook=14_02.xlsx&amp;sheet=U0&amp;row=116&amp;col=7&amp;number=0.0076&amp;sourceID=14","0.0076")</f>
        <v>0.0076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HYPERLINK("http://141.218.60.56/~jnz1568/getInfo.php?workbook=14_02.xlsx&amp;sheet=U0&amp;row=117&amp;col=6&amp;number=4.3&amp;sourceID=14","4.3")</f>
        <v>4.3</v>
      </c>
      <c r="G117" s="4" t="str">
        <f>HYPERLINK("http://141.218.60.56/~jnz1568/getInfo.php?workbook=14_02.xlsx&amp;sheet=U0&amp;row=117&amp;col=7&amp;number=0.0076&amp;sourceID=14","0.0076")</f>
        <v>0.0076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HYPERLINK("http://141.218.60.56/~jnz1568/getInfo.php?workbook=14_02.xlsx&amp;sheet=U0&amp;row=118&amp;col=6&amp;number=4.4&amp;sourceID=14","4.4")</f>
        <v>4.4</v>
      </c>
      <c r="G118" s="4" t="str">
        <f>HYPERLINK("http://141.218.60.56/~jnz1568/getInfo.php?workbook=14_02.xlsx&amp;sheet=U0&amp;row=118&amp;col=7&amp;number=0.00761&amp;sourceID=14","0.00761")</f>
        <v>0.00761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HYPERLINK("http://141.218.60.56/~jnz1568/getInfo.php?workbook=14_02.xlsx&amp;sheet=U0&amp;row=119&amp;col=6&amp;number=4.5&amp;sourceID=14","4.5")</f>
        <v>4.5</v>
      </c>
      <c r="G119" s="4" t="str">
        <f>HYPERLINK("http://141.218.60.56/~jnz1568/getInfo.php?workbook=14_02.xlsx&amp;sheet=U0&amp;row=119&amp;col=7&amp;number=0.00761&amp;sourceID=14","0.00761")</f>
        <v>0.00761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HYPERLINK("http://141.218.60.56/~jnz1568/getInfo.php?workbook=14_02.xlsx&amp;sheet=U0&amp;row=120&amp;col=6&amp;number=4.6&amp;sourceID=14","4.6")</f>
        <v>4.6</v>
      </c>
      <c r="G120" s="4" t="str">
        <f>HYPERLINK("http://141.218.60.56/~jnz1568/getInfo.php?workbook=14_02.xlsx&amp;sheet=U0&amp;row=120&amp;col=7&amp;number=0.00762&amp;sourceID=14","0.00762")</f>
        <v>0.00762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HYPERLINK("http://141.218.60.56/~jnz1568/getInfo.php?workbook=14_02.xlsx&amp;sheet=U0&amp;row=121&amp;col=6&amp;number=4.7&amp;sourceID=14","4.7")</f>
        <v>4.7</v>
      </c>
      <c r="G121" s="4" t="str">
        <f>HYPERLINK("http://141.218.60.56/~jnz1568/getInfo.php?workbook=14_02.xlsx&amp;sheet=U0&amp;row=121&amp;col=7&amp;number=0.00763&amp;sourceID=14","0.00763")</f>
        <v>0.00763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HYPERLINK("http://141.218.60.56/~jnz1568/getInfo.php?workbook=14_02.xlsx&amp;sheet=U0&amp;row=122&amp;col=6&amp;number=4.8&amp;sourceID=14","4.8")</f>
        <v>4.8</v>
      </c>
      <c r="G122" s="4" t="str">
        <f>HYPERLINK("http://141.218.60.56/~jnz1568/getInfo.php?workbook=14_02.xlsx&amp;sheet=U0&amp;row=122&amp;col=7&amp;number=0.00764&amp;sourceID=14","0.00764")</f>
        <v>0.00764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HYPERLINK("http://141.218.60.56/~jnz1568/getInfo.php?workbook=14_02.xlsx&amp;sheet=U0&amp;row=123&amp;col=6&amp;number=4.9&amp;sourceID=14","4.9")</f>
        <v>4.9</v>
      </c>
      <c r="G123" s="4" t="str">
        <f>HYPERLINK("http://141.218.60.56/~jnz1568/getInfo.php?workbook=14_02.xlsx&amp;sheet=U0&amp;row=123&amp;col=7&amp;number=0.00765&amp;sourceID=14","0.00765")</f>
        <v>0.00765</v>
      </c>
    </row>
    <row r="124" spans="1:7">
      <c r="A124" s="3">
        <v>14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HYPERLINK("http://141.218.60.56/~jnz1568/getInfo.php?workbook=14_02.xlsx&amp;sheet=U0&amp;row=124&amp;col=6&amp;number=3&amp;sourceID=14","3")</f>
        <v>3</v>
      </c>
      <c r="G124" s="4" t="str">
        <f>HYPERLINK("http://141.218.60.56/~jnz1568/getInfo.php?workbook=14_02.xlsx&amp;sheet=U0&amp;row=124&amp;col=7&amp;number=0.000338&amp;sourceID=14","0.000338")</f>
        <v>0.000338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HYPERLINK("http://141.218.60.56/~jnz1568/getInfo.php?workbook=14_02.xlsx&amp;sheet=U0&amp;row=125&amp;col=6&amp;number=3.1&amp;sourceID=14","3.1")</f>
        <v>3.1</v>
      </c>
      <c r="G125" s="4" t="str">
        <f>HYPERLINK("http://141.218.60.56/~jnz1568/getInfo.php?workbook=14_02.xlsx&amp;sheet=U0&amp;row=125&amp;col=7&amp;number=0.000338&amp;sourceID=14","0.000338")</f>
        <v>0.000338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HYPERLINK("http://141.218.60.56/~jnz1568/getInfo.php?workbook=14_02.xlsx&amp;sheet=U0&amp;row=126&amp;col=6&amp;number=3.2&amp;sourceID=14","3.2")</f>
        <v>3.2</v>
      </c>
      <c r="G126" s="4" t="str">
        <f>HYPERLINK("http://141.218.60.56/~jnz1568/getInfo.php?workbook=14_02.xlsx&amp;sheet=U0&amp;row=126&amp;col=7&amp;number=0.000338&amp;sourceID=14","0.000338")</f>
        <v>0.000338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HYPERLINK("http://141.218.60.56/~jnz1568/getInfo.php?workbook=14_02.xlsx&amp;sheet=U0&amp;row=127&amp;col=6&amp;number=3.3&amp;sourceID=14","3.3")</f>
        <v>3.3</v>
      </c>
      <c r="G127" s="4" t="str">
        <f>HYPERLINK("http://141.218.60.56/~jnz1568/getInfo.php?workbook=14_02.xlsx&amp;sheet=U0&amp;row=127&amp;col=7&amp;number=0.000338&amp;sourceID=14","0.000338")</f>
        <v>0.000338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HYPERLINK("http://141.218.60.56/~jnz1568/getInfo.php?workbook=14_02.xlsx&amp;sheet=U0&amp;row=128&amp;col=6&amp;number=3.4&amp;sourceID=14","3.4")</f>
        <v>3.4</v>
      </c>
      <c r="G128" s="4" t="str">
        <f>HYPERLINK("http://141.218.60.56/~jnz1568/getInfo.php?workbook=14_02.xlsx&amp;sheet=U0&amp;row=128&amp;col=7&amp;number=0.000338&amp;sourceID=14","0.000338")</f>
        <v>0.000338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HYPERLINK("http://141.218.60.56/~jnz1568/getInfo.php?workbook=14_02.xlsx&amp;sheet=U0&amp;row=129&amp;col=6&amp;number=3.5&amp;sourceID=14","3.5")</f>
        <v>3.5</v>
      </c>
      <c r="G129" s="4" t="str">
        <f>HYPERLINK("http://141.218.60.56/~jnz1568/getInfo.php?workbook=14_02.xlsx&amp;sheet=U0&amp;row=129&amp;col=7&amp;number=0.000338&amp;sourceID=14","0.000338")</f>
        <v>0.000338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HYPERLINK("http://141.218.60.56/~jnz1568/getInfo.php?workbook=14_02.xlsx&amp;sheet=U0&amp;row=130&amp;col=6&amp;number=3.6&amp;sourceID=14","3.6")</f>
        <v>3.6</v>
      </c>
      <c r="G130" s="4" t="str">
        <f>HYPERLINK("http://141.218.60.56/~jnz1568/getInfo.php?workbook=14_02.xlsx&amp;sheet=U0&amp;row=130&amp;col=7&amp;number=0.000338&amp;sourceID=14","0.000338")</f>
        <v>0.000338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HYPERLINK("http://141.218.60.56/~jnz1568/getInfo.php?workbook=14_02.xlsx&amp;sheet=U0&amp;row=131&amp;col=6&amp;number=3.7&amp;sourceID=14","3.7")</f>
        <v>3.7</v>
      </c>
      <c r="G131" s="4" t="str">
        <f>HYPERLINK("http://141.218.60.56/~jnz1568/getInfo.php?workbook=14_02.xlsx&amp;sheet=U0&amp;row=131&amp;col=7&amp;number=0.000338&amp;sourceID=14","0.000338")</f>
        <v>0.000338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HYPERLINK("http://141.218.60.56/~jnz1568/getInfo.php?workbook=14_02.xlsx&amp;sheet=U0&amp;row=132&amp;col=6&amp;number=3.8&amp;sourceID=14","3.8")</f>
        <v>3.8</v>
      </c>
      <c r="G132" s="4" t="str">
        <f>HYPERLINK("http://141.218.60.56/~jnz1568/getInfo.php?workbook=14_02.xlsx&amp;sheet=U0&amp;row=132&amp;col=7&amp;number=0.000338&amp;sourceID=14","0.000338")</f>
        <v>0.000338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HYPERLINK("http://141.218.60.56/~jnz1568/getInfo.php?workbook=14_02.xlsx&amp;sheet=U0&amp;row=133&amp;col=6&amp;number=3.9&amp;sourceID=14","3.9")</f>
        <v>3.9</v>
      </c>
      <c r="G133" s="4" t="str">
        <f>HYPERLINK("http://141.218.60.56/~jnz1568/getInfo.php?workbook=14_02.xlsx&amp;sheet=U0&amp;row=133&amp;col=7&amp;number=0.000338&amp;sourceID=14","0.000338")</f>
        <v>0.000338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HYPERLINK("http://141.218.60.56/~jnz1568/getInfo.php?workbook=14_02.xlsx&amp;sheet=U0&amp;row=134&amp;col=6&amp;number=4&amp;sourceID=14","4")</f>
        <v>4</v>
      </c>
      <c r="G134" s="4" t="str">
        <f>HYPERLINK("http://141.218.60.56/~jnz1568/getInfo.php?workbook=14_02.xlsx&amp;sheet=U0&amp;row=134&amp;col=7&amp;number=0.000338&amp;sourceID=14","0.000338")</f>
        <v>0.000338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HYPERLINK("http://141.218.60.56/~jnz1568/getInfo.php?workbook=14_02.xlsx&amp;sheet=U0&amp;row=135&amp;col=6&amp;number=4.1&amp;sourceID=14","4.1")</f>
        <v>4.1</v>
      </c>
      <c r="G135" s="4" t="str">
        <f>HYPERLINK("http://141.218.60.56/~jnz1568/getInfo.php?workbook=14_02.xlsx&amp;sheet=U0&amp;row=135&amp;col=7&amp;number=0.000338&amp;sourceID=14","0.000338")</f>
        <v>0.000338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HYPERLINK("http://141.218.60.56/~jnz1568/getInfo.php?workbook=14_02.xlsx&amp;sheet=U0&amp;row=136&amp;col=6&amp;number=4.2&amp;sourceID=14","4.2")</f>
        <v>4.2</v>
      </c>
      <c r="G136" s="4" t="str">
        <f>HYPERLINK("http://141.218.60.56/~jnz1568/getInfo.php?workbook=14_02.xlsx&amp;sheet=U0&amp;row=136&amp;col=7&amp;number=0.000338&amp;sourceID=14","0.000338")</f>
        <v>0.000338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HYPERLINK("http://141.218.60.56/~jnz1568/getInfo.php?workbook=14_02.xlsx&amp;sheet=U0&amp;row=137&amp;col=6&amp;number=4.3&amp;sourceID=14","4.3")</f>
        <v>4.3</v>
      </c>
      <c r="G137" s="4" t="str">
        <f>HYPERLINK("http://141.218.60.56/~jnz1568/getInfo.php?workbook=14_02.xlsx&amp;sheet=U0&amp;row=137&amp;col=7&amp;number=0.000338&amp;sourceID=14","0.000338")</f>
        <v>0.000338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HYPERLINK("http://141.218.60.56/~jnz1568/getInfo.php?workbook=14_02.xlsx&amp;sheet=U0&amp;row=138&amp;col=6&amp;number=4.4&amp;sourceID=14","4.4")</f>
        <v>4.4</v>
      </c>
      <c r="G138" s="4" t="str">
        <f>HYPERLINK("http://141.218.60.56/~jnz1568/getInfo.php?workbook=14_02.xlsx&amp;sheet=U0&amp;row=138&amp;col=7&amp;number=0.000337&amp;sourceID=14","0.000337")</f>
        <v>0.000337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HYPERLINK("http://141.218.60.56/~jnz1568/getInfo.php?workbook=14_02.xlsx&amp;sheet=U0&amp;row=139&amp;col=6&amp;number=4.5&amp;sourceID=14","4.5")</f>
        <v>4.5</v>
      </c>
      <c r="G139" s="4" t="str">
        <f>HYPERLINK("http://141.218.60.56/~jnz1568/getInfo.php?workbook=14_02.xlsx&amp;sheet=U0&amp;row=139&amp;col=7&amp;number=0.000337&amp;sourceID=14","0.000337")</f>
        <v>0.000337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HYPERLINK("http://141.218.60.56/~jnz1568/getInfo.php?workbook=14_02.xlsx&amp;sheet=U0&amp;row=140&amp;col=6&amp;number=4.6&amp;sourceID=14","4.6")</f>
        <v>4.6</v>
      </c>
      <c r="G140" s="4" t="str">
        <f>HYPERLINK("http://141.218.60.56/~jnz1568/getInfo.php?workbook=14_02.xlsx&amp;sheet=U0&amp;row=140&amp;col=7&amp;number=0.000337&amp;sourceID=14","0.000337")</f>
        <v>0.000337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HYPERLINK("http://141.218.60.56/~jnz1568/getInfo.php?workbook=14_02.xlsx&amp;sheet=U0&amp;row=141&amp;col=6&amp;number=4.7&amp;sourceID=14","4.7")</f>
        <v>4.7</v>
      </c>
      <c r="G141" s="4" t="str">
        <f>HYPERLINK("http://141.218.60.56/~jnz1568/getInfo.php?workbook=14_02.xlsx&amp;sheet=U0&amp;row=141&amp;col=7&amp;number=0.000337&amp;sourceID=14","0.000337")</f>
        <v>0.000337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HYPERLINK("http://141.218.60.56/~jnz1568/getInfo.php?workbook=14_02.xlsx&amp;sheet=U0&amp;row=142&amp;col=6&amp;number=4.8&amp;sourceID=14","4.8")</f>
        <v>4.8</v>
      </c>
      <c r="G142" s="4" t="str">
        <f>HYPERLINK("http://141.218.60.56/~jnz1568/getInfo.php?workbook=14_02.xlsx&amp;sheet=U0&amp;row=142&amp;col=7&amp;number=0.000337&amp;sourceID=14","0.000337")</f>
        <v>0.000337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HYPERLINK("http://141.218.60.56/~jnz1568/getInfo.php?workbook=14_02.xlsx&amp;sheet=U0&amp;row=143&amp;col=6&amp;number=4.9&amp;sourceID=14","4.9")</f>
        <v>4.9</v>
      </c>
      <c r="G143" s="4" t="str">
        <f>HYPERLINK("http://141.218.60.56/~jnz1568/getInfo.php?workbook=14_02.xlsx&amp;sheet=U0&amp;row=143&amp;col=7&amp;number=0.000337&amp;sourceID=14","0.000337")</f>
        <v>0.000337</v>
      </c>
    </row>
    <row r="144" spans="1:7">
      <c r="A144" s="3">
        <v>14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HYPERLINK("http://141.218.60.56/~jnz1568/getInfo.php?workbook=14_02.xlsx&amp;sheet=U0&amp;row=144&amp;col=6&amp;number=3&amp;sourceID=14","3")</f>
        <v>3</v>
      </c>
      <c r="G144" s="4" t="str">
        <f>HYPERLINK("http://141.218.60.56/~jnz1568/getInfo.php?workbook=14_02.xlsx&amp;sheet=U0&amp;row=144&amp;col=7&amp;number=0.000492&amp;sourceID=14","0.000492")</f>
        <v>0.000492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HYPERLINK("http://141.218.60.56/~jnz1568/getInfo.php?workbook=14_02.xlsx&amp;sheet=U0&amp;row=145&amp;col=6&amp;number=3.1&amp;sourceID=14","3.1")</f>
        <v>3.1</v>
      </c>
      <c r="G145" s="4" t="str">
        <f>HYPERLINK("http://141.218.60.56/~jnz1568/getInfo.php?workbook=14_02.xlsx&amp;sheet=U0&amp;row=145&amp;col=7&amp;number=0.000492&amp;sourceID=14","0.000492")</f>
        <v>0.000492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HYPERLINK("http://141.218.60.56/~jnz1568/getInfo.php?workbook=14_02.xlsx&amp;sheet=U0&amp;row=146&amp;col=6&amp;number=3.2&amp;sourceID=14","3.2")</f>
        <v>3.2</v>
      </c>
      <c r="G146" s="4" t="str">
        <f>HYPERLINK("http://141.218.60.56/~jnz1568/getInfo.php?workbook=14_02.xlsx&amp;sheet=U0&amp;row=146&amp;col=7&amp;number=0.000492&amp;sourceID=14","0.000492")</f>
        <v>0.000492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HYPERLINK("http://141.218.60.56/~jnz1568/getInfo.php?workbook=14_02.xlsx&amp;sheet=U0&amp;row=147&amp;col=6&amp;number=3.3&amp;sourceID=14","3.3")</f>
        <v>3.3</v>
      </c>
      <c r="G147" s="4" t="str">
        <f>HYPERLINK("http://141.218.60.56/~jnz1568/getInfo.php?workbook=14_02.xlsx&amp;sheet=U0&amp;row=147&amp;col=7&amp;number=0.000492&amp;sourceID=14","0.000492")</f>
        <v>0.000492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HYPERLINK("http://141.218.60.56/~jnz1568/getInfo.php?workbook=14_02.xlsx&amp;sheet=U0&amp;row=148&amp;col=6&amp;number=3.4&amp;sourceID=14","3.4")</f>
        <v>3.4</v>
      </c>
      <c r="G148" s="4" t="str">
        <f>HYPERLINK("http://141.218.60.56/~jnz1568/getInfo.php?workbook=14_02.xlsx&amp;sheet=U0&amp;row=148&amp;col=7&amp;number=0.000492&amp;sourceID=14","0.000492")</f>
        <v>0.000492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HYPERLINK("http://141.218.60.56/~jnz1568/getInfo.php?workbook=14_02.xlsx&amp;sheet=U0&amp;row=149&amp;col=6&amp;number=3.5&amp;sourceID=14","3.5")</f>
        <v>3.5</v>
      </c>
      <c r="G149" s="4" t="str">
        <f>HYPERLINK("http://141.218.60.56/~jnz1568/getInfo.php?workbook=14_02.xlsx&amp;sheet=U0&amp;row=149&amp;col=7&amp;number=0.000492&amp;sourceID=14","0.000492")</f>
        <v>0.000492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HYPERLINK("http://141.218.60.56/~jnz1568/getInfo.php?workbook=14_02.xlsx&amp;sheet=U0&amp;row=150&amp;col=6&amp;number=3.6&amp;sourceID=14","3.6")</f>
        <v>3.6</v>
      </c>
      <c r="G150" s="4" t="str">
        <f>HYPERLINK("http://141.218.60.56/~jnz1568/getInfo.php?workbook=14_02.xlsx&amp;sheet=U0&amp;row=150&amp;col=7&amp;number=0.000492&amp;sourceID=14","0.000492")</f>
        <v>0.000492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HYPERLINK("http://141.218.60.56/~jnz1568/getInfo.php?workbook=14_02.xlsx&amp;sheet=U0&amp;row=151&amp;col=6&amp;number=3.7&amp;sourceID=14","3.7")</f>
        <v>3.7</v>
      </c>
      <c r="G151" s="4" t="str">
        <f>HYPERLINK("http://141.218.60.56/~jnz1568/getInfo.php?workbook=14_02.xlsx&amp;sheet=U0&amp;row=151&amp;col=7&amp;number=0.000492&amp;sourceID=14","0.000492")</f>
        <v>0.000492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HYPERLINK("http://141.218.60.56/~jnz1568/getInfo.php?workbook=14_02.xlsx&amp;sheet=U0&amp;row=152&amp;col=6&amp;number=3.8&amp;sourceID=14","3.8")</f>
        <v>3.8</v>
      </c>
      <c r="G152" s="4" t="str">
        <f>HYPERLINK("http://141.218.60.56/~jnz1568/getInfo.php?workbook=14_02.xlsx&amp;sheet=U0&amp;row=152&amp;col=7&amp;number=0.000492&amp;sourceID=14","0.000492")</f>
        <v>0.000492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HYPERLINK("http://141.218.60.56/~jnz1568/getInfo.php?workbook=14_02.xlsx&amp;sheet=U0&amp;row=153&amp;col=6&amp;number=3.9&amp;sourceID=14","3.9")</f>
        <v>3.9</v>
      </c>
      <c r="G153" s="4" t="str">
        <f>HYPERLINK("http://141.218.60.56/~jnz1568/getInfo.php?workbook=14_02.xlsx&amp;sheet=U0&amp;row=153&amp;col=7&amp;number=0.000492&amp;sourceID=14","0.000492")</f>
        <v>0.000492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HYPERLINK("http://141.218.60.56/~jnz1568/getInfo.php?workbook=14_02.xlsx&amp;sheet=U0&amp;row=154&amp;col=6&amp;number=4&amp;sourceID=14","4")</f>
        <v>4</v>
      </c>
      <c r="G154" s="4" t="str">
        <f>HYPERLINK("http://141.218.60.56/~jnz1568/getInfo.php?workbook=14_02.xlsx&amp;sheet=U0&amp;row=154&amp;col=7&amp;number=0.000492&amp;sourceID=14","0.000492")</f>
        <v>0.000492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HYPERLINK("http://141.218.60.56/~jnz1568/getInfo.php?workbook=14_02.xlsx&amp;sheet=U0&amp;row=155&amp;col=6&amp;number=4.1&amp;sourceID=14","4.1")</f>
        <v>4.1</v>
      </c>
      <c r="G155" s="4" t="str">
        <f>HYPERLINK("http://141.218.60.56/~jnz1568/getInfo.php?workbook=14_02.xlsx&amp;sheet=U0&amp;row=155&amp;col=7&amp;number=0.000492&amp;sourceID=14","0.000492")</f>
        <v>0.000492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HYPERLINK("http://141.218.60.56/~jnz1568/getInfo.php?workbook=14_02.xlsx&amp;sheet=U0&amp;row=156&amp;col=6&amp;number=4.2&amp;sourceID=14","4.2")</f>
        <v>4.2</v>
      </c>
      <c r="G156" s="4" t="str">
        <f>HYPERLINK("http://141.218.60.56/~jnz1568/getInfo.php?workbook=14_02.xlsx&amp;sheet=U0&amp;row=156&amp;col=7&amp;number=0.000492&amp;sourceID=14","0.000492")</f>
        <v>0.000492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HYPERLINK("http://141.218.60.56/~jnz1568/getInfo.php?workbook=14_02.xlsx&amp;sheet=U0&amp;row=157&amp;col=6&amp;number=4.3&amp;sourceID=14","4.3")</f>
        <v>4.3</v>
      </c>
      <c r="G157" s="4" t="str">
        <f>HYPERLINK("http://141.218.60.56/~jnz1568/getInfo.php?workbook=14_02.xlsx&amp;sheet=U0&amp;row=157&amp;col=7&amp;number=0.000492&amp;sourceID=14","0.000492")</f>
        <v>0.000492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HYPERLINK("http://141.218.60.56/~jnz1568/getInfo.php?workbook=14_02.xlsx&amp;sheet=U0&amp;row=158&amp;col=6&amp;number=4.4&amp;sourceID=14","4.4")</f>
        <v>4.4</v>
      </c>
      <c r="G158" s="4" t="str">
        <f>HYPERLINK("http://141.218.60.56/~jnz1568/getInfo.php?workbook=14_02.xlsx&amp;sheet=U0&amp;row=158&amp;col=7&amp;number=0.000492&amp;sourceID=14","0.000492")</f>
        <v>0.000492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HYPERLINK("http://141.218.60.56/~jnz1568/getInfo.php?workbook=14_02.xlsx&amp;sheet=U0&amp;row=159&amp;col=6&amp;number=4.5&amp;sourceID=14","4.5")</f>
        <v>4.5</v>
      </c>
      <c r="G159" s="4" t="str">
        <f>HYPERLINK("http://141.218.60.56/~jnz1568/getInfo.php?workbook=14_02.xlsx&amp;sheet=U0&amp;row=159&amp;col=7&amp;number=0.000492&amp;sourceID=14","0.000492")</f>
        <v>0.000492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HYPERLINK("http://141.218.60.56/~jnz1568/getInfo.php?workbook=14_02.xlsx&amp;sheet=U0&amp;row=160&amp;col=6&amp;number=4.6&amp;sourceID=14","4.6")</f>
        <v>4.6</v>
      </c>
      <c r="G160" s="4" t="str">
        <f>HYPERLINK("http://141.218.60.56/~jnz1568/getInfo.php?workbook=14_02.xlsx&amp;sheet=U0&amp;row=160&amp;col=7&amp;number=0.000492&amp;sourceID=14","0.000492")</f>
        <v>0.000492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HYPERLINK("http://141.218.60.56/~jnz1568/getInfo.php?workbook=14_02.xlsx&amp;sheet=U0&amp;row=161&amp;col=6&amp;number=4.7&amp;sourceID=14","4.7")</f>
        <v>4.7</v>
      </c>
      <c r="G161" s="4" t="str">
        <f>HYPERLINK("http://141.218.60.56/~jnz1568/getInfo.php?workbook=14_02.xlsx&amp;sheet=U0&amp;row=161&amp;col=7&amp;number=0.000492&amp;sourceID=14","0.000492")</f>
        <v>0.000492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HYPERLINK("http://141.218.60.56/~jnz1568/getInfo.php?workbook=14_02.xlsx&amp;sheet=U0&amp;row=162&amp;col=6&amp;number=4.8&amp;sourceID=14","4.8")</f>
        <v>4.8</v>
      </c>
      <c r="G162" s="4" t="str">
        <f>HYPERLINK("http://141.218.60.56/~jnz1568/getInfo.php?workbook=14_02.xlsx&amp;sheet=U0&amp;row=162&amp;col=7&amp;number=0.000492&amp;sourceID=14","0.000492")</f>
        <v>0.000492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HYPERLINK("http://141.218.60.56/~jnz1568/getInfo.php?workbook=14_02.xlsx&amp;sheet=U0&amp;row=163&amp;col=6&amp;number=4.9&amp;sourceID=14","4.9")</f>
        <v>4.9</v>
      </c>
      <c r="G163" s="4" t="str">
        <f>HYPERLINK("http://141.218.60.56/~jnz1568/getInfo.php?workbook=14_02.xlsx&amp;sheet=U0&amp;row=163&amp;col=7&amp;number=0.000493&amp;sourceID=14","0.000493")</f>
        <v>0.000493</v>
      </c>
    </row>
    <row r="164" spans="1:7">
      <c r="A164" s="3">
        <v>14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HYPERLINK("http://141.218.60.56/~jnz1568/getInfo.php?workbook=14_02.xlsx&amp;sheet=U0&amp;row=164&amp;col=6&amp;number=3&amp;sourceID=14","3")</f>
        <v>3</v>
      </c>
      <c r="G164" s="4" t="str">
        <f>HYPERLINK("http://141.218.60.56/~jnz1568/getInfo.php?workbook=14_02.xlsx&amp;sheet=U0&amp;row=164&amp;col=7&amp;number=0.000206&amp;sourceID=14","0.000206")</f>
        <v>0.000206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HYPERLINK("http://141.218.60.56/~jnz1568/getInfo.php?workbook=14_02.xlsx&amp;sheet=U0&amp;row=165&amp;col=6&amp;number=3.1&amp;sourceID=14","3.1")</f>
        <v>3.1</v>
      </c>
      <c r="G165" s="4" t="str">
        <f>HYPERLINK("http://141.218.60.56/~jnz1568/getInfo.php?workbook=14_02.xlsx&amp;sheet=U0&amp;row=165&amp;col=7&amp;number=0.000206&amp;sourceID=14","0.000206")</f>
        <v>0.000206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HYPERLINK("http://141.218.60.56/~jnz1568/getInfo.php?workbook=14_02.xlsx&amp;sheet=U0&amp;row=166&amp;col=6&amp;number=3.2&amp;sourceID=14","3.2")</f>
        <v>3.2</v>
      </c>
      <c r="G166" s="4" t="str">
        <f>HYPERLINK("http://141.218.60.56/~jnz1568/getInfo.php?workbook=14_02.xlsx&amp;sheet=U0&amp;row=166&amp;col=7&amp;number=0.000206&amp;sourceID=14","0.000206")</f>
        <v>0.000206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HYPERLINK("http://141.218.60.56/~jnz1568/getInfo.php?workbook=14_02.xlsx&amp;sheet=U0&amp;row=167&amp;col=6&amp;number=3.3&amp;sourceID=14","3.3")</f>
        <v>3.3</v>
      </c>
      <c r="G167" s="4" t="str">
        <f>HYPERLINK("http://141.218.60.56/~jnz1568/getInfo.php?workbook=14_02.xlsx&amp;sheet=U0&amp;row=167&amp;col=7&amp;number=0.000206&amp;sourceID=14","0.000206")</f>
        <v>0.000206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HYPERLINK("http://141.218.60.56/~jnz1568/getInfo.php?workbook=14_02.xlsx&amp;sheet=U0&amp;row=168&amp;col=6&amp;number=3.4&amp;sourceID=14","3.4")</f>
        <v>3.4</v>
      </c>
      <c r="G168" s="4" t="str">
        <f>HYPERLINK("http://141.218.60.56/~jnz1568/getInfo.php?workbook=14_02.xlsx&amp;sheet=U0&amp;row=168&amp;col=7&amp;number=0.000206&amp;sourceID=14","0.000206")</f>
        <v>0.000206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HYPERLINK("http://141.218.60.56/~jnz1568/getInfo.php?workbook=14_02.xlsx&amp;sheet=U0&amp;row=169&amp;col=6&amp;number=3.5&amp;sourceID=14","3.5")</f>
        <v>3.5</v>
      </c>
      <c r="G169" s="4" t="str">
        <f>HYPERLINK("http://141.218.60.56/~jnz1568/getInfo.php?workbook=14_02.xlsx&amp;sheet=U0&amp;row=169&amp;col=7&amp;number=0.000206&amp;sourceID=14","0.000206")</f>
        <v>0.000206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HYPERLINK("http://141.218.60.56/~jnz1568/getInfo.php?workbook=14_02.xlsx&amp;sheet=U0&amp;row=170&amp;col=6&amp;number=3.6&amp;sourceID=14","3.6")</f>
        <v>3.6</v>
      </c>
      <c r="G170" s="4" t="str">
        <f>HYPERLINK("http://141.218.60.56/~jnz1568/getInfo.php?workbook=14_02.xlsx&amp;sheet=U0&amp;row=170&amp;col=7&amp;number=0.000206&amp;sourceID=14","0.000206")</f>
        <v>0.000206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HYPERLINK("http://141.218.60.56/~jnz1568/getInfo.php?workbook=14_02.xlsx&amp;sheet=U0&amp;row=171&amp;col=6&amp;number=3.7&amp;sourceID=14","3.7")</f>
        <v>3.7</v>
      </c>
      <c r="G171" s="4" t="str">
        <f>HYPERLINK("http://141.218.60.56/~jnz1568/getInfo.php?workbook=14_02.xlsx&amp;sheet=U0&amp;row=171&amp;col=7&amp;number=0.000206&amp;sourceID=14","0.000206")</f>
        <v>0.000206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HYPERLINK("http://141.218.60.56/~jnz1568/getInfo.php?workbook=14_02.xlsx&amp;sheet=U0&amp;row=172&amp;col=6&amp;number=3.8&amp;sourceID=14","3.8")</f>
        <v>3.8</v>
      </c>
      <c r="G172" s="4" t="str">
        <f>HYPERLINK("http://141.218.60.56/~jnz1568/getInfo.php?workbook=14_02.xlsx&amp;sheet=U0&amp;row=172&amp;col=7&amp;number=0.000206&amp;sourceID=14","0.000206")</f>
        <v>0.000206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HYPERLINK("http://141.218.60.56/~jnz1568/getInfo.php?workbook=14_02.xlsx&amp;sheet=U0&amp;row=173&amp;col=6&amp;number=3.9&amp;sourceID=14","3.9")</f>
        <v>3.9</v>
      </c>
      <c r="G173" s="4" t="str">
        <f>HYPERLINK("http://141.218.60.56/~jnz1568/getInfo.php?workbook=14_02.xlsx&amp;sheet=U0&amp;row=173&amp;col=7&amp;number=0.000206&amp;sourceID=14","0.000206")</f>
        <v>0.000206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HYPERLINK("http://141.218.60.56/~jnz1568/getInfo.php?workbook=14_02.xlsx&amp;sheet=U0&amp;row=174&amp;col=6&amp;number=4&amp;sourceID=14","4")</f>
        <v>4</v>
      </c>
      <c r="G174" s="4" t="str">
        <f>HYPERLINK("http://141.218.60.56/~jnz1568/getInfo.php?workbook=14_02.xlsx&amp;sheet=U0&amp;row=174&amp;col=7&amp;number=0.000206&amp;sourceID=14","0.000206")</f>
        <v>0.000206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HYPERLINK("http://141.218.60.56/~jnz1568/getInfo.php?workbook=14_02.xlsx&amp;sheet=U0&amp;row=175&amp;col=6&amp;number=4.1&amp;sourceID=14","4.1")</f>
        <v>4.1</v>
      </c>
      <c r="G175" s="4" t="str">
        <f>HYPERLINK("http://141.218.60.56/~jnz1568/getInfo.php?workbook=14_02.xlsx&amp;sheet=U0&amp;row=175&amp;col=7&amp;number=0.000206&amp;sourceID=14","0.000206")</f>
        <v>0.000206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HYPERLINK("http://141.218.60.56/~jnz1568/getInfo.php?workbook=14_02.xlsx&amp;sheet=U0&amp;row=176&amp;col=6&amp;number=4.2&amp;sourceID=14","4.2")</f>
        <v>4.2</v>
      </c>
      <c r="G176" s="4" t="str">
        <f>HYPERLINK("http://141.218.60.56/~jnz1568/getInfo.php?workbook=14_02.xlsx&amp;sheet=U0&amp;row=176&amp;col=7&amp;number=0.000206&amp;sourceID=14","0.000206")</f>
        <v>0.000206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HYPERLINK("http://141.218.60.56/~jnz1568/getInfo.php?workbook=14_02.xlsx&amp;sheet=U0&amp;row=177&amp;col=6&amp;number=4.3&amp;sourceID=14","4.3")</f>
        <v>4.3</v>
      </c>
      <c r="G177" s="4" t="str">
        <f>HYPERLINK("http://141.218.60.56/~jnz1568/getInfo.php?workbook=14_02.xlsx&amp;sheet=U0&amp;row=177&amp;col=7&amp;number=0.000205&amp;sourceID=14","0.000205")</f>
        <v>0.000205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HYPERLINK("http://141.218.60.56/~jnz1568/getInfo.php?workbook=14_02.xlsx&amp;sheet=U0&amp;row=178&amp;col=6&amp;number=4.4&amp;sourceID=14","4.4")</f>
        <v>4.4</v>
      </c>
      <c r="G178" s="4" t="str">
        <f>HYPERLINK("http://141.218.60.56/~jnz1568/getInfo.php?workbook=14_02.xlsx&amp;sheet=U0&amp;row=178&amp;col=7&amp;number=0.000205&amp;sourceID=14","0.000205")</f>
        <v>0.000205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HYPERLINK("http://141.218.60.56/~jnz1568/getInfo.php?workbook=14_02.xlsx&amp;sheet=U0&amp;row=179&amp;col=6&amp;number=4.5&amp;sourceID=14","4.5")</f>
        <v>4.5</v>
      </c>
      <c r="G179" s="4" t="str">
        <f>HYPERLINK("http://141.218.60.56/~jnz1568/getInfo.php?workbook=14_02.xlsx&amp;sheet=U0&amp;row=179&amp;col=7&amp;number=0.000205&amp;sourceID=14","0.000205")</f>
        <v>0.000205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HYPERLINK("http://141.218.60.56/~jnz1568/getInfo.php?workbook=14_02.xlsx&amp;sheet=U0&amp;row=180&amp;col=6&amp;number=4.6&amp;sourceID=14","4.6")</f>
        <v>4.6</v>
      </c>
      <c r="G180" s="4" t="str">
        <f>HYPERLINK("http://141.218.60.56/~jnz1568/getInfo.php?workbook=14_02.xlsx&amp;sheet=U0&amp;row=180&amp;col=7&amp;number=0.000205&amp;sourceID=14","0.000205")</f>
        <v>0.000205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HYPERLINK("http://141.218.60.56/~jnz1568/getInfo.php?workbook=14_02.xlsx&amp;sheet=U0&amp;row=181&amp;col=6&amp;number=4.7&amp;sourceID=14","4.7")</f>
        <v>4.7</v>
      </c>
      <c r="G181" s="4" t="str">
        <f>HYPERLINK("http://141.218.60.56/~jnz1568/getInfo.php?workbook=14_02.xlsx&amp;sheet=U0&amp;row=181&amp;col=7&amp;number=0.000205&amp;sourceID=14","0.000205")</f>
        <v>0.000205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HYPERLINK("http://141.218.60.56/~jnz1568/getInfo.php?workbook=14_02.xlsx&amp;sheet=U0&amp;row=182&amp;col=6&amp;number=4.8&amp;sourceID=14","4.8")</f>
        <v>4.8</v>
      </c>
      <c r="G182" s="4" t="str">
        <f>HYPERLINK("http://141.218.60.56/~jnz1568/getInfo.php?workbook=14_02.xlsx&amp;sheet=U0&amp;row=182&amp;col=7&amp;number=0.000205&amp;sourceID=14","0.000205")</f>
        <v>0.000205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HYPERLINK("http://141.218.60.56/~jnz1568/getInfo.php?workbook=14_02.xlsx&amp;sheet=U0&amp;row=183&amp;col=6&amp;number=4.9&amp;sourceID=14","4.9")</f>
        <v>4.9</v>
      </c>
      <c r="G183" s="4" t="str">
        <f>HYPERLINK("http://141.218.60.56/~jnz1568/getInfo.php?workbook=14_02.xlsx&amp;sheet=U0&amp;row=183&amp;col=7&amp;number=0.000205&amp;sourceID=14","0.000205")</f>
        <v>0.000205</v>
      </c>
    </row>
    <row r="184" spans="1:7">
      <c r="A184" s="3">
        <v>14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HYPERLINK("http://141.218.60.56/~jnz1568/getInfo.php?workbook=14_02.xlsx&amp;sheet=U0&amp;row=184&amp;col=6&amp;number=3&amp;sourceID=14","3")</f>
        <v>3</v>
      </c>
      <c r="G184" s="4" t="str">
        <f>HYPERLINK("http://141.218.60.56/~jnz1568/getInfo.php?workbook=14_02.xlsx&amp;sheet=U0&amp;row=184&amp;col=7&amp;number=0.000621&amp;sourceID=14","0.000621")</f>
        <v>0.000621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HYPERLINK("http://141.218.60.56/~jnz1568/getInfo.php?workbook=14_02.xlsx&amp;sheet=U0&amp;row=185&amp;col=6&amp;number=3.1&amp;sourceID=14","3.1")</f>
        <v>3.1</v>
      </c>
      <c r="G185" s="4" t="str">
        <f>HYPERLINK("http://141.218.60.56/~jnz1568/getInfo.php?workbook=14_02.xlsx&amp;sheet=U0&amp;row=185&amp;col=7&amp;number=0.000621&amp;sourceID=14","0.000621")</f>
        <v>0.000621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HYPERLINK("http://141.218.60.56/~jnz1568/getInfo.php?workbook=14_02.xlsx&amp;sheet=U0&amp;row=186&amp;col=6&amp;number=3.2&amp;sourceID=14","3.2")</f>
        <v>3.2</v>
      </c>
      <c r="G186" s="4" t="str">
        <f>HYPERLINK("http://141.218.60.56/~jnz1568/getInfo.php?workbook=14_02.xlsx&amp;sheet=U0&amp;row=186&amp;col=7&amp;number=0.000621&amp;sourceID=14","0.000621")</f>
        <v>0.000621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HYPERLINK("http://141.218.60.56/~jnz1568/getInfo.php?workbook=14_02.xlsx&amp;sheet=U0&amp;row=187&amp;col=6&amp;number=3.3&amp;sourceID=14","3.3")</f>
        <v>3.3</v>
      </c>
      <c r="G187" s="4" t="str">
        <f>HYPERLINK("http://141.218.60.56/~jnz1568/getInfo.php?workbook=14_02.xlsx&amp;sheet=U0&amp;row=187&amp;col=7&amp;number=0.000621&amp;sourceID=14","0.000621")</f>
        <v>0.000621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HYPERLINK("http://141.218.60.56/~jnz1568/getInfo.php?workbook=14_02.xlsx&amp;sheet=U0&amp;row=188&amp;col=6&amp;number=3.4&amp;sourceID=14","3.4")</f>
        <v>3.4</v>
      </c>
      <c r="G188" s="4" t="str">
        <f>HYPERLINK("http://141.218.60.56/~jnz1568/getInfo.php?workbook=14_02.xlsx&amp;sheet=U0&amp;row=188&amp;col=7&amp;number=0.000621&amp;sourceID=14","0.000621")</f>
        <v>0.000621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HYPERLINK("http://141.218.60.56/~jnz1568/getInfo.php?workbook=14_02.xlsx&amp;sheet=U0&amp;row=189&amp;col=6&amp;number=3.5&amp;sourceID=14","3.5")</f>
        <v>3.5</v>
      </c>
      <c r="G189" s="4" t="str">
        <f>HYPERLINK("http://141.218.60.56/~jnz1568/getInfo.php?workbook=14_02.xlsx&amp;sheet=U0&amp;row=189&amp;col=7&amp;number=0.000621&amp;sourceID=14","0.000621")</f>
        <v>0.000621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HYPERLINK("http://141.218.60.56/~jnz1568/getInfo.php?workbook=14_02.xlsx&amp;sheet=U0&amp;row=190&amp;col=6&amp;number=3.6&amp;sourceID=14","3.6")</f>
        <v>3.6</v>
      </c>
      <c r="G190" s="4" t="str">
        <f>HYPERLINK("http://141.218.60.56/~jnz1568/getInfo.php?workbook=14_02.xlsx&amp;sheet=U0&amp;row=190&amp;col=7&amp;number=0.000621&amp;sourceID=14","0.000621")</f>
        <v>0.000621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HYPERLINK("http://141.218.60.56/~jnz1568/getInfo.php?workbook=14_02.xlsx&amp;sheet=U0&amp;row=191&amp;col=6&amp;number=3.7&amp;sourceID=14","3.7")</f>
        <v>3.7</v>
      </c>
      <c r="G191" s="4" t="str">
        <f>HYPERLINK("http://141.218.60.56/~jnz1568/getInfo.php?workbook=14_02.xlsx&amp;sheet=U0&amp;row=191&amp;col=7&amp;number=0.000621&amp;sourceID=14","0.000621")</f>
        <v>0.000621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HYPERLINK("http://141.218.60.56/~jnz1568/getInfo.php?workbook=14_02.xlsx&amp;sheet=U0&amp;row=192&amp;col=6&amp;number=3.8&amp;sourceID=14","3.8")</f>
        <v>3.8</v>
      </c>
      <c r="G192" s="4" t="str">
        <f>HYPERLINK("http://141.218.60.56/~jnz1568/getInfo.php?workbook=14_02.xlsx&amp;sheet=U0&amp;row=192&amp;col=7&amp;number=0.000621&amp;sourceID=14","0.000621")</f>
        <v>0.000621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HYPERLINK("http://141.218.60.56/~jnz1568/getInfo.php?workbook=14_02.xlsx&amp;sheet=U0&amp;row=193&amp;col=6&amp;number=3.9&amp;sourceID=14","3.9")</f>
        <v>3.9</v>
      </c>
      <c r="G193" s="4" t="str">
        <f>HYPERLINK("http://141.218.60.56/~jnz1568/getInfo.php?workbook=14_02.xlsx&amp;sheet=U0&amp;row=193&amp;col=7&amp;number=0.000621&amp;sourceID=14","0.000621")</f>
        <v>0.000621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HYPERLINK("http://141.218.60.56/~jnz1568/getInfo.php?workbook=14_02.xlsx&amp;sheet=U0&amp;row=194&amp;col=6&amp;number=4&amp;sourceID=14","4")</f>
        <v>4</v>
      </c>
      <c r="G194" s="4" t="str">
        <f>HYPERLINK("http://141.218.60.56/~jnz1568/getInfo.php?workbook=14_02.xlsx&amp;sheet=U0&amp;row=194&amp;col=7&amp;number=0.000621&amp;sourceID=14","0.000621")</f>
        <v>0.000621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HYPERLINK("http://141.218.60.56/~jnz1568/getInfo.php?workbook=14_02.xlsx&amp;sheet=U0&amp;row=195&amp;col=6&amp;number=4.1&amp;sourceID=14","4.1")</f>
        <v>4.1</v>
      </c>
      <c r="G195" s="4" t="str">
        <f>HYPERLINK("http://141.218.60.56/~jnz1568/getInfo.php?workbook=14_02.xlsx&amp;sheet=U0&amp;row=195&amp;col=7&amp;number=0.000621&amp;sourceID=14","0.000621")</f>
        <v>0.000621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HYPERLINK("http://141.218.60.56/~jnz1568/getInfo.php?workbook=14_02.xlsx&amp;sheet=U0&amp;row=196&amp;col=6&amp;number=4.2&amp;sourceID=14","4.2")</f>
        <v>4.2</v>
      </c>
      <c r="G196" s="4" t="str">
        <f>HYPERLINK("http://141.218.60.56/~jnz1568/getInfo.php?workbook=14_02.xlsx&amp;sheet=U0&amp;row=196&amp;col=7&amp;number=0.000621&amp;sourceID=14","0.000621")</f>
        <v>0.000621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HYPERLINK("http://141.218.60.56/~jnz1568/getInfo.php?workbook=14_02.xlsx&amp;sheet=U0&amp;row=197&amp;col=6&amp;number=4.3&amp;sourceID=14","4.3")</f>
        <v>4.3</v>
      </c>
      <c r="G197" s="4" t="str">
        <f>HYPERLINK("http://141.218.60.56/~jnz1568/getInfo.php?workbook=14_02.xlsx&amp;sheet=U0&amp;row=197&amp;col=7&amp;number=0.000621&amp;sourceID=14","0.000621")</f>
        <v>0.000621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HYPERLINK("http://141.218.60.56/~jnz1568/getInfo.php?workbook=14_02.xlsx&amp;sheet=U0&amp;row=198&amp;col=6&amp;number=4.4&amp;sourceID=14","4.4")</f>
        <v>4.4</v>
      </c>
      <c r="G198" s="4" t="str">
        <f>HYPERLINK("http://141.218.60.56/~jnz1568/getInfo.php?workbook=14_02.xlsx&amp;sheet=U0&amp;row=198&amp;col=7&amp;number=0.000621&amp;sourceID=14","0.000621")</f>
        <v>0.000621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HYPERLINK("http://141.218.60.56/~jnz1568/getInfo.php?workbook=14_02.xlsx&amp;sheet=U0&amp;row=199&amp;col=6&amp;number=4.5&amp;sourceID=14","4.5")</f>
        <v>4.5</v>
      </c>
      <c r="G199" s="4" t="str">
        <f>HYPERLINK("http://141.218.60.56/~jnz1568/getInfo.php?workbook=14_02.xlsx&amp;sheet=U0&amp;row=199&amp;col=7&amp;number=0.00062&amp;sourceID=14","0.00062")</f>
        <v>0.00062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HYPERLINK("http://141.218.60.56/~jnz1568/getInfo.php?workbook=14_02.xlsx&amp;sheet=U0&amp;row=200&amp;col=6&amp;number=4.6&amp;sourceID=14","4.6")</f>
        <v>4.6</v>
      </c>
      <c r="G200" s="4" t="str">
        <f>HYPERLINK("http://141.218.60.56/~jnz1568/getInfo.php?workbook=14_02.xlsx&amp;sheet=U0&amp;row=200&amp;col=7&amp;number=0.00062&amp;sourceID=14","0.00062")</f>
        <v>0.00062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HYPERLINK("http://141.218.60.56/~jnz1568/getInfo.php?workbook=14_02.xlsx&amp;sheet=U0&amp;row=201&amp;col=6&amp;number=4.7&amp;sourceID=14","4.7")</f>
        <v>4.7</v>
      </c>
      <c r="G201" s="4" t="str">
        <f>HYPERLINK("http://141.218.60.56/~jnz1568/getInfo.php?workbook=14_02.xlsx&amp;sheet=U0&amp;row=201&amp;col=7&amp;number=0.00062&amp;sourceID=14","0.00062")</f>
        <v>0.00062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HYPERLINK("http://141.218.60.56/~jnz1568/getInfo.php?workbook=14_02.xlsx&amp;sheet=U0&amp;row=202&amp;col=6&amp;number=4.8&amp;sourceID=14","4.8")</f>
        <v>4.8</v>
      </c>
      <c r="G202" s="4" t="str">
        <f>HYPERLINK("http://141.218.60.56/~jnz1568/getInfo.php?workbook=14_02.xlsx&amp;sheet=U0&amp;row=202&amp;col=7&amp;number=0.00062&amp;sourceID=14","0.00062")</f>
        <v>0.00062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HYPERLINK("http://141.218.60.56/~jnz1568/getInfo.php?workbook=14_02.xlsx&amp;sheet=U0&amp;row=203&amp;col=6&amp;number=4.9&amp;sourceID=14","4.9")</f>
        <v>4.9</v>
      </c>
      <c r="G203" s="4" t="str">
        <f>HYPERLINK("http://141.218.60.56/~jnz1568/getInfo.php?workbook=14_02.xlsx&amp;sheet=U0&amp;row=203&amp;col=7&amp;number=0.000619&amp;sourceID=14","0.000619")</f>
        <v>0.000619</v>
      </c>
    </row>
    <row r="204" spans="1:7">
      <c r="A204" s="3">
        <v>14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HYPERLINK("http://141.218.60.56/~jnz1568/getInfo.php?workbook=14_02.xlsx&amp;sheet=U0&amp;row=204&amp;col=6&amp;number=3&amp;sourceID=14","3")</f>
        <v>3</v>
      </c>
      <c r="G204" s="4" t="str">
        <f>HYPERLINK("http://141.218.60.56/~jnz1568/getInfo.php?workbook=14_02.xlsx&amp;sheet=U0&amp;row=204&amp;col=7&amp;number=0.00144&amp;sourceID=14","0.00144")</f>
        <v>0.00144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HYPERLINK("http://141.218.60.56/~jnz1568/getInfo.php?workbook=14_02.xlsx&amp;sheet=U0&amp;row=205&amp;col=6&amp;number=3.1&amp;sourceID=14","3.1")</f>
        <v>3.1</v>
      </c>
      <c r="G205" s="4" t="str">
        <f>HYPERLINK("http://141.218.60.56/~jnz1568/getInfo.php?workbook=14_02.xlsx&amp;sheet=U0&amp;row=205&amp;col=7&amp;number=0.00144&amp;sourceID=14","0.00144")</f>
        <v>0.00144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HYPERLINK("http://141.218.60.56/~jnz1568/getInfo.php?workbook=14_02.xlsx&amp;sheet=U0&amp;row=206&amp;col=6&amp;number=3.2&amp;sourceID=14","3.2")</f>
        <v>3.2</v>
      </c>
      <c r="G206" s="4" t="str">
        <f>HYPERLINK("http://141.218.60.56/~jnz1568/getInfo.php?workbook=14_02.xlsx&amp;sheet=U0&amp;row=206&amp;col=7&amp;number=0.00144&amp;sourceID=14","0.00144")</f>
        <v>0.00144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HYPERLINK("http://141.218.60.56/~jnz1568/getInfo.php?workbook=14_02.xlsx&amp;sheet=U0&amp;row=207&amp;col=6&amp;number=3.3&amp;sourceID=14","3.3")</f>
        <v>3.3</v>
      </c>
      <c r="G207" s="4" t="str">
        <f>HYPERLINK("http://141.218.60.56/~jnz1568/getInfo.php?workbook=14_02.xlsx&amp;sheet=U0&amp;row=207&amp;col=7&amp;number=0.00144&amp;sourceID=14","0.00144")</f>
        <v>0.00144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HYPERLINK("http://141.218.60.56/~jnz1568/getInfo.php?workbook=14_02.xlsx&amp;sheet=U0&amp;row=208&amp;col=6&amp;number=3.4&amp;sourceID=14","3.4")</f>
        <v>3.4</v>
      </c>
      <c r="G208" s="4" t="str">
        <f>HYPERLINK("http://141.218.60.56/~jnz1568/getInfo.php?workbook=14_02.xlsx&amp;sheet=U0&amp;row=208&amp;col=7&amp;number=0.00144&amp;sourceID=14","0.00144")</f>
        <v>0.00144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HYPERLINK("http://141.218.60.56/~jnz1568/getInfo.php?workbook=14_02.xlsx&amp;sheet=U0&amp;row=209&amp;col=6&amp;number=3.5&amp;sourceID=14","3.5")</f>
        <v>3.5</v>
      </c>
      <c r="G209" s="4" t="str">
        <f>HYPERLINK("http://141.218.60.56/~jnz1568/getInfo.php?workbook=14_02.xlsx&amp;sheet=U0&amp;row=209&amp;col=7&amp;number=0.00144&amp;sourceID=14","0.00144")</f>
        <v>0.00144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HYPERLINK("http://141.218.60.56/~jnz1568/getInfo.php?workbook=14_02.xlsx&amp;sheet=U0&amp;row=210&amp;col=6&amp;number=3.6&amp;sourceID=14","3.6")</f>
        <v>3.6</v>
      </c>
      <c r="G210" s="4" t="str">
        <f>HYPERLINK("http://141.218.60.56/~jnz1568/getInfo.php?workbook=14_02.xlsx&amp;sheet=U0&amp;row=210&amp;col=7&amp;number=0.00144&amp;sourceID=14","0.00144")</f>
        <v>0.00144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HYPERLINK("http://141.218.60.56/~jnz1568/getInfo.php?workbook=14_02.xlsx&amp;sheet=U0&amp;row=211&amp;col=6&amp;number=3.7&amp;sourceID=14","3.7")</f>
        <v>3.7</v>
      </c>
      <c r="G211" s="4" t="str">
        <f>HYPERLINK("http://141.218.60.56/~jnz1568/getInfo.php?workbook=14_02.xlsx&amp;sheet=U0&amp;row=211&amp;col=7&amp;number=0.00144&amp;sourceID=14","0.00144")</f>
        <v>0.00144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HYPERLINK("http://141.218.60.56/~jnz1568/getInfo.php?workbook=14_02.xlsx&amp;sheet=U0&amp;row=212&amp;col=6&amp;number=3.8&amp;sourceID=14","3.8")</f>
        <v>3.8</v>
      </c>
      <c r="G212" s="4" t="str">
        <f>HYPERLINK("http://141.218.60.56/~jnz1568/getInfo.php?workbook=14_02.xlsx&amp;sheet=U0&amp;row=212&amp;col=7&amp;number=0.00144&amp;sourceID=14","0.00144")</f>
        <v>0.00144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HYPERLINK("http://141.218.60.56/~jnz1568/getInfo.php?workbook=14_02.xlsx&amp;sheet=U0&amp;row=213&amp;col=6&amp;number=3.9&amp;sourceID=14","3.9")</f>
        <v>3.9</v>
      </c>
      <c r="G213" s="4" t="str">
        <f>HYPERLINK("http://141.218.60.56/~jnz1568/getInfo.php?workbook=14_02.xlsx&amp;sheet=U0&amp;row=213&amp;col=7&amp;number=0.00144&amp;sourceID=14","0.00144")</f>
        <v>0.00144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HYPERLINK("http://141.218.60.56/~jnz1568/getInfo.php?workbook=14_02.xlsx&amp;sheet=U0&amp;row=214&amp;col=6&amp;number=4&amp;sourceID=14","4")</f>
        <v>4</v>
      </c>
      <c r="G214" s="4" t="str">
        <f>HYPERLINK("http://141.218.60.56/~jnz1568/getInfo.php?workbook=14_02.xlsx&amp;sheet=U0&amp;row=214&amp;col=7&amp;number=0.00144&amp;sourceID=14","0.00144")</f>
        <v>0.00144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HYPERLINK("http://141.218.60.56/~jnz1568/getInfo.php?workbook=14_02.xlsx&amp;sheet=U0&amp;row=215&amp;col=6&amp;number=4.1&amp;sourceID=14","4.1")</f>
        <v>4.1</v>
      </c>
      <c r="G215" s="4" t="str">
        <f>HYPERLINK("http://141.218.60.56/~jnz1568/getInfo.php?workbook=14_02.xlsx&amp;sheet=U0&amp;row=215&amp;col=7&amp;number=0.00144&amp;sourceID=14","0.00144")</f>
        <v>0.00144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HYPERLINK("http://141.218.60.56/~jnz1568/getInfo.php?workbook=14_02.xlsx&amp;sheet=U0&amp;row=216&amp;col=6&amp;number=4.2&amp;sourceID=14","4.2")</f>
        <v>4.2</v>
      </c>
      <c r="G216" s="4" t="str">
        <f>HYPERLINK("http://141.218.60.56/~jnz1568/getInfo.php?workbook=14_02.xlsx&amp;sheet=U0&amp;row=216&amp;col=7&amp;number=0.00144&amp;sourceID=14","0.00144")</f>
        <v>0.00144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HYPERLINK("http://141.218.60.56/~jnz1568/getInfo.php?workbook=14_02.xlsx&amp;sheet=U0&amp;row=217&amp;col=6&amp;number=4.3&amp;sourceID=14","4.3")</f>
        <v>4.3</v>
      </c>
      <c r="G217" s="4" t="str">
        <f>HYPERLINK("http://141.218.60.56/~jnz1568/getInfo.php?workbook=14_02.xlsx&amp;sheet=U0&amp;row=217&amp;col=7&amp;number=0.00144&amp;sourceID=14","0.00144")</f>
        <v>0.00144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HYPERLINK("http://141.218.60.56/~jnz1568/getInfo.php?workbook=14_02.xlsx&amp;sheet=U0&amp;row=218&amp;col=6&amp;number=4.4&amp;sourceID=14","4.4")</f>
        <v>4.4</v>
      </c>
      <c r="G218" s="4" t="str">
        <f>HYPERLINK("http://141.218.60.56/~jnz1568/getInfo.php?workbook=14_02.xlsx&amp;sheet=U0&amp;row=218&amp;col=7&amp;number=0.00144&amp;sourceID=14","0.00144")</f>
        <v>0.00144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HYPERLINK("http://141.218.60.56/~jnz1568/getInfo.php?workbook=14_02.xlsx&amp;sheet=U0&amp;row=219&amp;col=6&amp;number=4.5&amp;sourceID=14","4.5")</f>
        <v>4.5</v>
      </c>
      <c r="G219" s="4" t="str">
        <f>HYPERLINK("http://141.218.60.56/~jnz1568/getInfo.php?workbook=14_02.xlsx&amp;sheet=U0&amp;row=219&amp;col=7&amp;number=0.00144&amp;sourceID=14","0.00144")</f>
        <v>0.00144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HYPERLINK("http://141.218.60.56/~jnz1568/getInfo.php?workbook=14_02.xlsx&amp;sheet=U0&amp;row=220&amp;col=6&amp;number=4.6&amp;sourceID=14","4.6")</f>
        <v>4.6</v>
      </c>
      <c r="G220" s="4" t="str">
        <f>HYPERLINK("http://141.218.60.56/~jnz1568/getInfo.php?workbook=14_02.xlsx&amp;sheet=U0&amp;row=220&amp;col=7&amp;number=0.00144&amp;sourceID=14","0.00144")</f>
        <v>0.00144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HYPERLINK("http://141.218.60.56/~jnz1568/getInfo.php?workbook=14_02.xlsx&amp;sheet=U0&amp;row=221&amp;col=6&amp;number=4.7&amp;sourceID=14","4.7")</f>
        <v>4.7</v>
      </c>
      <c r="G221" s="4" t="str">
        <f>HYPERLINK("http://141.218.60.56/~jnz1568/getInfo.php?workbook=14_02.xlsx&amp;sheet=U0&amp;row=221&amp;col=7&amp;number=0.00144&amp;sourceID=14","0.00144")</f>
        <v>0.00144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HYPERLINK("http://141.218.60.56/~jnz1568/getInfo.php?workbook=14_02.xlsx&amp;sheet=U0&amp;row=222&amp;col=6&amp;number=4.8&amp;sourceID=14","4.8")</f>
        <v>4.8</v>
      </c>
      <c r="G222" s="4" t="str">
        <f>HYPERLINK("http://141.218.60.56/~jnz1568/getInfo.php?workbook=14_02.xlsx&amp;sheet=U0&amp;row=222&amp;col=7&amp;number=0.00144&amp;sourceID=14","0.00144")</f>
        <v>0.00144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HYPERLINK("http://141.218.60.56/~jnz1568/getInfo.php?workbook=14_02.xlsx&amp;sheet=U0&amp;row=223&amp;col=6&amp;number=4.9&amp;sourceID=14","4.9")</f>
        <v>4.9</v>
      </c>
      <c r="G223" s="4" t="str">
        <f>HYPERLINK("http://141.218.60.56/~jnz1568/getInfo.php?workbook=14_02.xlsx&amp;sheet=U0&amp;row=223&amp;col=7&amp;number=0.00144&amp;sourceID=14","0.00144")</f>
        <v>0.00144</v>
      </c>
    </row>
    <row r="224" spans="1:7">
      <c r="A224" s="3">
        <v>14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HYPERLINK("http://141.218.60.56/~jnz1568/getInfo.php?workbook=14_02.xlsx&amp;sheet=U0&amp;row=224&amp;col=6&amp;number=3&amp;sourceID=14","3")</f>
        <v>3</v>
      </c>
      <c r="G224" s="4" t="str">
        <f>HYPERLINK("http://141.218.60.56/~jnz1568/getInfo.php?workbook=14_02.xlsx&amp;sheet=U0&amp;row=224&amp;col=7&amp;number=0.00131&amp;sourceID=14","0.00131")</f>
        <v>0.00131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HYPERLINK("http://141.218.60.56/~jnz1568/getInfo.php?workbook=14_02.xlsx&amp;sheet=U0&amp;row=225&amp;col=6&amp;number=3.1&amp;sourceID=14","3.1")</f>
        <v>3.1</v>
      </c>
      <c r="G225" s="4" t="str">
        <f>HYPERLINK("http://141.218.60.56/~jnz1568/getInfo.php?workbook=14_02.xlsx&amp;sheet=U0&amp;row=225&amp;col=7&amp;number=0.00131&amp;sourceID=14","0.00131")</f>
        <v>0.00131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HYPERLINK("http://141.218.60.56/~jnz1568/getInfo.php?workbook=14_02.xlsx&amp;sheet=U0&amp;row=226&amp;col=6&amp;number=3.2&amp;sourceID=14","3.2")</f>
        <v>3.2</v>
      </c>
      <c r="G226" s="4" t="str">
        <f>HYPERLINK("http://141.218.60.56/~jnz1568/getInfo.php?workbook=14_02.xlsx&amp;sheet=U0&amp;row=226&amp;col=7&amp;number=0.00131&amp;sourceID=14","0.00131")</f>
        <v>0.00131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HYPERLINK("http://141.218.60.56/~jnz1568/getInfo.php?workbook=14_02.xlsx&amp;sheet=U0&amp;row=227&amp;col=6&amp;number=3.3&amp;sourceID=14","3.3")</f>
        <v>3.3</v>
      </c>
      <c r="G227" s="4" t="str">
        <f>HYPERLINK("http://141.218.60.56/~jnz1568/getInfo.php?workbook=14_02.xlsx&amp;sheet=U0&amp;row=227&amp;col=7&amp;number=0.00131&amp;sourceID=14","0.00131")</f>
        <v>0.00131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HYPERLINK("http://141.218.60.56/~jnz1568/getInfo.php?workbook=14_02.xlsx&amp;sheet=U0&amp;row=228&amp;col=6&amp;number=3.4&amp;sourceID=14","3.4")</f>
        <v>3.4</v>
      </c>
      <c r="G228" s="4" t="str">
        <f>HYPERLINK("http://141.218.60.56/~jnz1568/getInfo.php?workbook=14_02.xlsx&amp;sheet=U0&amp;row=228&amp;col=7&amp;number=0.00131&amp;sourceID=14","0.00131")</f>
        <v>0.00131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HYPERLINK("http://141.218.60.56/~jnz1568/getInfo.php?workbook=14_02.xlsx&amp;sheet=U0&amp;row=229&amp;col=6&amp;number=3.5&amp;sourceID=14","3.5")</f>
        <v>3.5</v>
      </c>
      <c r="G229" s="4" t="str">
        <f>HYPERLINK("http://141.218.60.56/~jnz1568/getInfo.php?workbook=14_02.xlsx&amp;sheet=U0&amp;row=229&amp;col=7&amp;number=0.00131&amp;sourceID=14","0.00131")</f>
        <v>0.00131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HYPERLINK("http://141.218.60.56/~jnz1568/getInfo.php?workbook=14_02.xlsx&amp;sheet=U0&amp;row=230&amp;col=6&amp;number=3.6&amp;sourceID=14","3.6")</f>
        <v>3.6</v>
      </c>
      <c r="G230" s="4" t="str">
        <f>HYPERLINK("http://141.218.60.56/~jnz1568/getInfo.php?workbook=14_02.xlsx&amp;sheet=U0&amp;row=230&amp;col=7&amp;number=0.00131&amp;sourceID=14","0.00131")</f>
        <v>0.00131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HYPERLINK("http://141.218.60.56/~jnz1568/getInfo.php?workbook=14_02.xlsx&amp;sheet=U0&amp;row=231&amp;col=6&amp;number=3.7&amp;sourceID=14","3.7")</f>
        <v>3.7</v>
      </c>
      <c r="G231" s="4" t="str">
        <f>HYPERLINK("http://141.218.60.56/~jnz1568/getInfo.php?workbook=14_02.xlsx&amp;sheet=U0&amp;row=231&amp;col=7&amp;number=0.00131&amp;sourceID=14","0.00131")</f>
        <v>0.00131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HYPERLINK("http://141.218.60.56/~jnz1568/getInfo.php?workbook=14_02.xlsx&amp;sheet=U0&amp;row=232&amp;col=6&amp;number=3.8&amp;sourceID=14","3.8")</f>
        <v>3.8</v>
      </c>
      <c r="G232" s="4" t="str">
        <f>HYPERLINK("http://141.218.60.56/~jnz1568/getInfo.php?workbook=14_02.xlsx&amp;sheet=U0&amp;row=232&amp;col=7&amp;number=0.00131&amp;sourceID=14","0.00131")</f>
        <v>0.00131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HYPERLINK("http://141.218.60.56/~jnz1568/getInfo.php?workbook=14_02.xlsx&amp;sheet=U0&amp;row=233&amp;col=6&amp;number=3.9&amp;sourceID=14","3.9")</f>
        <v>3.9</v>
      </c>
      <c r="G233" s="4" t="str">
        <f>HYPERLINK("http://141.218.60.56/~jnz1568/getInfo.php?workbook=14_02.xlsx&amp;sheet=U0&amp;row=233&amp;col=7&amp;number=0.00131&amp;sourceID=14","0.00131")</f>
        <v>0.00131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HYPERLINK("http://141.218.60.56/~jnz1568/getInfo.php?workbook=14_02.xlsx&amp;sheet=U0&amp;row=234&amp;col=6&amp;number=4&amp;sourceID=14","4")</f>
        <v>4</v>
      </c>
      <c r="G234" s="4" t="str">
        <f>HYPERLINK("http://141.218.60.56/~jnz1568/getInfo.php?workbook=14_02.xlsx&amp;sheet=U0&amp;row=234&amp;col=7&amp;number=0.00131&amp;sourceID=14","0.00131")</f>
        <v>0.00131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HYPERLINK("http://141.218.60.56/~jnz1568/getInfo.php?workbook=14_02.xlsx&amp;sheet=U0&amp;row=235&amp;col=6&amp;number=4.1&amp;sourceID=14","4.1")</f>
        <v>4.1</v>
      </c>
      <c r="G235" s="4" t="str">
        <f>HYPERLINK("http://141.218.60.56/~jnz1568/getInfo.php?workbook=14_02.xlsx&amp;sheet=U0&amp;row=235&amp;col=7&amp;number=0.00131&amp;sourceID=14","0.00131")</f>
        <v>0.00131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HYPERLINK("http://141.218.60.56/~jnz1568/getInfo.php?workbook=14_02.xlsx&amp;sheet=U0&amp;row=236&amp;col=6&amp;number=4.2&amp;sourceID=14","4.2")</f>
        <v>4.2</v>
      </c>
      <c r="G236" s="4" t="str">
        <f>HYPERLINK("http://141.218.60.56/~jnz1568/getInfo.php?workbook=14_02.xlsx&amp;sheet=U0&amp;row=236&amp;col=7&amp;number=0.00131&amp;sourceID=14","0.00131")</f>
        <v>0.00131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HYPERLINK("http://141.218.60.56/~jnz1568/getInfo.php?workbook=14_02.xlsx&amp;sheet=U0&amp;row=237&amp;col=6&amp;number=4.3&amp;sourceID=14","4.3")</f>
        <v>4.3</v>
      </c>
      <c r="G237" s="4" t="str">
        <f>HYPERLINK("http://141.218.60.56/~jnz1568/getInfo.php?workbook=14_02.xlsx&amp;sheet=U0&amp;row=237&amp;col=7&amp;number=0.00131&amp;sourceID=14","0.00131")</f>
        <v>0.00131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HYPERLINK("http://141.218.60.56/~jnz1568/getInfo.php?workbook=14_02.xlsx&amp;sheet=U0&amp;row=238&amp;col=6&amp;number=4.4&amp;sourceID=14","4.4")</f>
        <v>4.4</v>
      </c>
      <c r="G238" s="4" t="str">
        <f>HYPERLINK("http://141.218.60.56/~jnz1568/getInfo.php?workbook=14_02.xlsx&amp;sheet=U0&amp;row=238&amp;col=7&amp;number=0.00131&amp;sourceID=14","0.00131")</f>
        <v>0.00131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HYPERLINK("http://141.218.60.56/~jnz1568/getInfo.php?workbook=14_02.xlsx&amp;sheet=U0&amp;row=239&amp;col=6&amp;number=4.5&amp;sourceID=14","4.5")</f>
        <v>4.5</v>
      </c>
      <c r="G239" s="4" t="str">
        <f>HYPERLINK("http://141.218.60.56/~jnz1568/getInfo.php?workbook=14_02.xlsx&amp;sheet=U0&amp;row=239&amp;col=7&amp;number=0.00131&amp;sourceID=14","0.00131")</f>
        <v>0.00131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HYPERLINK("http://141.218.60.56/~jnz1568/getInfo.php?workbook=14_02.xlsx&amp;sheet=U0&amp;row=240&amp;col=6&amp;number=4.6&amp;sourceID=14","4.6")</f>
        <v>4.6</v>
      </c>
      <c r="G240" s="4" t="str">
        <f>HYPERLINK("http://141.218.60.56/~jnz1568/getInfo.php?workbook=14_02.xlsx&amp;sheet=U0&amp;row=240&amp;col=7&amp;number=0.00131&amp;sourceID=14","0.00131")</f>
        <v>0.00131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HYPERLINK("http://141.218.60.56/~jnz1568/getInfo.php?workbook=14_02.xlsx&amp;sheet=U0&amp;row=241&amp;col=6&amp;number=4.7&amp;sourceID=14","4.7")</f>
        <v>4.7</v>
      </c>
      <c r="G241" s="4" t="str">
        <f>HYPERLINK("http://141.218.60.56/~jnz1568/getInfo.php?workbook=14_02.xlsx&amp;sheet=U0&amp;row=241&amp;col=7&amp;number=0.00131&amp;sourceID=14","0.00131")</f>
        <v>0.00131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HYPERLINK("http://141.218.60.56/~jnz1568/getInfo.php?workbook=14_02.xlsx&amp;sheet=U0&amp;row=242&amp;col=6&amp;number=4.8&amp;sourceID=14","4.8")</f>
        <v>4.8</v>
      </c>
      <c r="G242" s="4" t="str">
        <f>HYPERLINK("http://141.218.60.56/~jnz1568/getInfo.php?workbook=14_02.xlsx&amp;sheet=U0&amp;row=242&amp;col=7&amp;number=0.00131&amp;sourceID=14","0.00131")</f>
        <v>0.00131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HYPERLINK("http://141.218.60.56/~jnz1568/getInfo.php?workbook=14_02.xlsx&amp;sheet=U0&amp;row=243&amp;col=6&amp;number=4.9&amp;sourceID=14","4.9")</f>
        <v>4.9</v>
      </c>
      <c r="G243" s="4" t="str">
        <f>HYPERLINK("http://141.218.60.56/~jnz1568/getInfo.php?workbook=14_02.xlsx&amp;sheet=U0&amp;row=243&amp;col=7&amp;number=0.00131&amp;sourceID=14","0.00131")</f>
        <v>0.00131</v>
      </c>
    </row>
    <row r="244" spans="1:7">
      <c r="A244" s="3">
        <v>14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HYPERLINK("http://141.218.60.56/~jnz1568/getInfo.php?workbook=14_02.xlsx&amp;sheet=U0&amp;row=244&amp;col=6&amp;number=3&amp;sourceID=14","3")</f>
        <v>3</v>
      </c>
      <c r="G244" s="4" t="str">
        <f>HYPERLINK("http://141.218.60.56/~jnz1568/getInfo.php?workbook=14_02.xlsx&amp;sheet=U0&amp;row=244&amp;col=7&amp;number=8.28e-05&amp;sourceID=14","8.28e-05")</f>
        <v>8.28e-05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HYPERLINK("http://141.218.60.56/~jnz1568/getInfo.php?workbook=14_02.xlsx&amp;sheet=U0&amp;row=245&amp;col=6&amp;number=3.1&amp;sourceID=14","3.1")</f>
        <v>3.1</v>
      </c>
      <c r="G245" s="4" t="str">
        <f>HYPERLINK("http://141.218.60.56/~jnz1568/getInfo.php?workbook=14_02.xlsx&amp;sheet=U0&amp;row=245&amp;col=7&amp;number=8.28e-05&amp;sourceID=14","8.28e-05")</f>
        <v>8.28e-05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HYPERLINK("http://141.218.60.56/~jnz1568/getInfo.php?workbook=14_02.xlsx&amp;sheet=U0&amp;row=246&amp;col=6&amp;number=3.2&amp;sourceID=14","3.2")</f>
        <v>3.2</v>
      </c>
      <c r="G246" s="4" t="str">
        <f>HYPERLINK("http://141.218.60.56/~jnz1568/getInfo.php?workbook=14_02.xlsx&amp;sheet=U0&amp;row=246&amp;col=7&amp;number=8.28e-05&amp;sourceID=14","8.28e-05")</f>
        <v>8.28e-05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HYPERLINK("http://141.218.60.56/~jnz1568/getInfo.php?workbook=14_02.xlsx&amp;sheet=U0&amp;row=247&amp;col=6&amp;number=3.3&amp;sourceID=14","3.3")</f>
        <v>3.3</v>
      </c>
      <c r="G247" s="4" t="str">
        <f>HYPERLINK("http://141.218.60.56/~jnz1568/getInfo.php?workbook=14_02.xlsx&amp;sheet=U0&amp;row=247&amp;col=7&amp;number=8.28e-05&amp;sourceID=14","8.28e-05")</f>
        <v>8.28e-05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HYPERLINK("http://141.218.60.56/~jnz1568/getInfo.php?workbook=14_02.xlsx&amp;sheet=U0&amp;row=248&amp;col=6&amp;number=3.4&amp;sourceID=14","3.4")</f>
        <v>3.4</v>
      </c>
      <c r="G248" s="4" t="str">
        <f>HYPERLINK("http://141.218.60.56/~jnz1568/getInfo.php?workbook=14_02.xlsx&amp;sheet=U0&amp;row=248&amp;col=7&amp;number=8.28e-05&amp;sourceID=14","8.28e-05")</f>
        <v>8.28e-05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HYPERLINK("http://141.218.60.56/~jnz1568/getInfo.php?workbook=14_02.xlsx&amp;sheet=U0&amp;row=249&amp;col=6&amp;number=3.5&amp;sourceID=14","3.5")</f>
        <v>3.5</v>
      </c>
      <c r="G249" s="4" t="str">
        <f>HYPERLINK("http://141.218.60.56/~jnz1568/getInfo.php?workbook=14_02.xlsx&amp;sheet=U0&amp;row=249&amp;col=7&amp;number=8.28e-05&amp;sourceID=14","8.28e-05")</f>
        <v>8.28e-05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HYPERLINK("http://141.218.60.56/~jnz1568/getInfo.php?workbook=14_02.xlsx&amp;sheet=U0&amp;row=250&amp;col=6&amp;number=3.6&amp;sourceID=14","3.6")</f>
        <v>3.6</v>
      </c>
      <c r="G250" s="4" t="str">
        <f>HYPERLINK("http://141.218.60.56/~jnz1568/getInfo.php?workbook=14_02.xlsx&amp;sheet=U0&amp;row=250&amp;col=7&amp;number=8.28e-05&amp;sourceID=14","8.28e-05")</f>
        <v>8.28e-05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HYPERLINK("http://141.218.60.56/~jnz1568/getInfo.php?workbook=14_02.xlsx&amp;sheet=U0&amp;row=251&amp;col=6&amp;number=3.7&amp;sourceID=14","3.7")</f>
        <v>3.7</v>
      </c>
      <c r="G251" s="4" t="str">
        <f>HYPERLINK("http://141.218.60.56/~jnz1568/getInfo.php?workbook=14_02.xlsx&amp;sheet=U0&amp;row=251&amp;col=7&amp;number=8.28e-05&amp;sourceID=14","8.28e-05")</f>
        <v>8.28e-05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HYPERLINK("http://141.218.60.56/~jnz1568/getInfo.php?workbook=14_02.xlsx&amp;sheet=U0&amp;row=252&amp;col=6&amp;number=3.8&amp;sourceID=14","3.8")</f>
        <v>3.8</v>
      </c>
      <c r="G252" s="4" t="str">
        <f>HYPERLINK("http://141.218.60.56/~jnz1568/getInfo.php?workbook=14_02.xlsx&amp;sheet=U0&amp;row=252&amp;col=7&amp;number=8.28e-05&amp;sourceID=14","8.28e-05")</f>
        <v>8.28e-05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HYPERLINK("http://141.218.60.56/~jnz1568/getInfo.php?workbook=14_02.xlsx&amp;sheet=U0&amp;row=253&amp;col=6&amp;number=3.9&amp;sourceID=14","3.9")</f>
        <v>3.9</v>
      </c>
      <c r="G253" s="4" t="str">
        <f>HYPERLINK("http://141.218.60.56/~jnz1568/getInfo.php?workbook=14_02.xlsx&amp;sheet=U0&amp;row=253&amp;col=7&amp;number=8.27e-05&amp;sourceID=14","8.27e-05")</f>
        <v>8.27e-05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HYPERLINK("http://141.218.60.56/~jnz1568/getInfo.php?workbook=14_02.xlsx&amp;sheet=U0&amp;row=254&amp;col=6&amp;number=4&amp;sourceID=14","4")</f>
        <v>4</v>
      </c>
      <c r="G254" s="4" t="str">
        <f>HYPERLINK("http://141.218.60.56/~jnz1568/getInfo.php?workbook=14_02.xlsx&amp;sheet=U0&amp;row=254&amp;col=7&amp;number=8.27e-05&amp;sourceID=14","8.27e-05")</f>
        <v>8.27e-05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HYPERLINK("http://141.218.60.56/~jnz1568/getInfo.php?workbook=14_02.xlsx&amp;sheet=U0&amp;row=255&amp;col=6&amp;number=4.1&amp;sourceID=14","4.1")</f>
        <v>4.1</v>
      </c>
      <c r="G255" s="4" t="str">
        <f>HYPERLINK("http://141.218.60.56/~jnz1568/getInfo.php?workbook=14_02.xlsx&amp;sheet=U0&amp;row=255&amp;col=7&amp;number=8.27e-05&amp;sourceID=14","8.27e-05")</f>
        <v>8.27e-05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HYPERLINK("http://141.218.60.56/~jnz1568/getInfo.php?workbook=14_02.xlsx&amp;sheet=U0&amp;row=256&amp;col=6&amp;number=4.2&amp;sourceID=14","4.2")</f>
        <v>4.2</v>
      </c>
      <c r="G256" s="4" t="str">
        <f>HYPERLINK("http://141.218.60.56/~jnz1568/getInfo.php?workbook=14_02.xlsx&amp;sheet=U0&amp;row=256&amp;col=7&amp;number=8.27e-05&amp;sourceID=14","8.27e-05")</f>
        <v>8.27e-05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HYPERLINK("http://141.218.60.56/~jnz1568/getInfo.php?workbook=14_02.xlsx&amp;sheet=U0&amp;row=257&amp;col=6&amp;number=4.3&amp;sourceID=14","4.3")</f>
        <v>4.3</v>
      </c>
      <c r="G257" s="4" t="str">
        <f>HYPERLINK("http://141.218.60.56/~jnz1568/getInfo.php?workbook=14_02.xlsx&amp;sheet=U0&amp;row=257&amp;col=7&amp;number=8.27e-05&amp;sourceID=14","8.27e-05")</f>
        <v>8.27e-05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HYPERLINK("http://141.218.60.56/~jnz1568/getInfo.php?workbook=14_02.xlsx&amp;sheet=U0&amp;row=258&amp;col=6&amp;number=4.4&amp;sourceID=14","4.4")</f>
        <v>4.4</v>
      </c>
      <c r="G258" s="4" t="str">
        <f>HYPERLINK("http://141.218.60.56/~jnz1568/getInfo.php?workbook=14_02.xlsx&amp;sheet=U0&amp;row=258&amp;col=7&amp;number=8.26e-05&amp;sourceID=14","8.26e-05")</f>
        <v>8.26e-05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HYPERLINK("http://141.218.60.56/~jnz1568/getInfo.php?workbook=14_02.xlsx&amp;sheet=U0&amp;row=259&amp;col=6&amp;number=4.5&amp;sourceID=14","4.5")</f>
        <v>4.5</v>
      </c>
      <c r="G259" s="4" t="str">
        <f>HYPERLINK("http://141.218.60.56/~jnz1568/getInfo.php?workbook=14_02.xlsx&amp;sheet=U0&amp;row=259&amp;col=7&amp;number=8.26e-05&amp;sourceID=14","8.26e-05")</f>
        <v>8.26e-05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HYPERLINK("http://141.218.60.56/~jnz1568/getInfo.php?workbook=14_02.xlsx&amp;sheet=U0&amp;row=260&amp;col=6&amp;number=4.6&amp;sourceID=14","4.6")</f>
        <v>4.6</v>
      </c>
      <c r="G260" s="4" t="str">
        <f>HYPERLINK("http://141.218.60.56/~jnz1568/getInfo.php?workbook=14_02.xlsx&amp;sheet=U0&amp;row=260&amp;col=7&amp;number=8.26e-05&amp;sourceID=14","8.26e-05")</f>
        <v>8.26e-05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HYPERLINK("http://141.218.60.56/~jnz1568/getInfo.php?workbook=14_02.xlsx&amp;sheet=U0&amp;row=261&amp;col=6&amp;number=4.7&amp;sourceID=14","4.7")</f>
        <v>4.7</v>
      </c>
      <c r="G261" s="4" t="str">
        <f>HYPERLINK("http://141.218.60.56/~jnz1568/getInfo.php?workbook=14_02.xlsx&amp;sheet=U0&amp;row=261&amp;col=7&amp;number=8.25e-05&amp;sourceID=14","8.25e-05")</f>
        <v>8.25e-05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HYPERLINK("http://141.218.60.56/~jnz1568/getInfo.php?workbook=14_02.xlsx&amp;sheet=U0&amp;row=262&amp;col=6&amp;number=4.8&amp;sourceID=14","4.8")</f>
        <v>4.8</v>
      </c>
      <c r="G262" s="4" t="str">
        <f>HYPERLINK("http://141.218.60.56/~jnz1568/getInfo.php?workbook=14_02.xlsx&amp;sheet=U0&amp;row=262&amp;col=7&amp;number=8.24e-05&amp;sourceID=14","8.24e-05")</f>
        <v>8.24e-05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HYPERLINK("http://141.218.60.56/~jnz1568/getInfo.php?workbook=14_02.xlsx&amp;sheet=U0&amp;row=263&amp;col=6&amp;number=4.9&amp;sourceID=14","4.9")</f>
        <v>4.9</v>
      </c>
      <c r="G263" s="4" t="str">
        <f>HYPERLINK("http://141.218.60.56/~jnz1568/getInfo.php?workbook=14_02.xlsx&amp;sheet=U0&amp;row=263&amp;col=7&amp;number=8.23e-05&amp;sourceID=14","8.23e-05")</f>
        <v>8.23e-05</v>
      </c>
    </row>
    <row r="264" spans="1:7">
      <c r="A264" s="3">
        <v>14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HYPERLINK("http://141.218.60.56/~jnz1568/getInfo.php?workbook=14_02.xlsx&amp;sheet=U0&amp;row=264&amp;col=6&amp;number=3&amp;sourceID=14","3")</f>
        <v>3</v>
      </c>
      <c r="G264" s="4" t="str">
        <f>HYPERLINK("http://141.218.60.56/~jnz1568/getInfo.php?workbook=14_02.xlsx&amp;sheet=U0&amp;row=264&amp;col=7&amp;number=0.000127&amp;sourceID=14","0.000127")</f>
        <v>0.000127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HYPERLINK("http://141.218.60.56/~jnz1568/getInfo.php?workbook=14_02.xlsx&amp;sheet=U0&amp;row=265&amp;col=6&amp;number=3.1&amp;sourceID=14","3.1")</f>
        <v>3.1</v>
      </c>
      <c r="G265" s="4" t="str">
        <f>HYPERLINK("http://141.218.60.56/~jnz1568/getInfo.php?workbook=14_02.xlsx&amp;sheet=U0&amp;row=265&amp;col=7&amp;number=0.000127&amp;sourceID=14","0.000127")</f>
        <v>0.000127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HYPERLINK("http://141.218.60.56/~jnz1568/getInfo.php?workbook=14_02.xlsx&amp;sheet=U0&amp;row=266&amp;col=6&amp;number=3.2&amp;sourceID=14","3.2")</f>
        <v>3.2</v>
      </c>
      <c r="G266" s="4" t="str">
        <f>HYPERLINK("http://141.218.60.56/~jnz1568/getInfo.php?workbook=14_02.xlsx&amp;sheet=U0&amp;row=266&amp;col=7&amp;number=0.000127&amp;sourceID=14","0.000127")</f>
        <v>0.000127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HYPERLINK("http://141.218.60.56/~jnz1568/getInfo.php?workbook=14_02.xlsx&amp;sheet=U0&amp;row=267&amp;col=6&amp;number=3.3&amp;sourceID=14","3.3")</f>
        <v>3.3</v>
      </c>
      <c r="G267" s="4" t="str">
        <f>HYPERLINK("http://141.218.60.56/~jnz1568/getInfo.php?workbook=14_02.xlsx&amp;sheet=U0&amp;row=267&amp;col=7&amp;number=0.000127&amp;sourceID=14","0.000127")</f>
        <v>0.000127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HYPERLINK("http://141.218.60.56/~jnz1568/getInfo.php?workbook=14_02.xlsx&amp;sheet=U0&amp;row=268&amp;col=6&amp;number=3.4&amp;sourceID=14","3.4")</f>
        <v>3.4</v>
      </c>
      <c r="G268" s="4" t="str">
        <f>HYPERLINK("http://141.218.60.56/~jnz1568/getInfo.php?workbook=14_02.xlsx&amp;sheet=U0&amp;row=268&amp;col=7&amp;number=0.000127&amp;sourceID=14","0.000127")</f>
        <v>0.000127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HYPERLINK("http://141.218.60.56/~jnz1568/getInfo.php?workbook=14_02.xlsx&amp;sheet=U0&amp;row=269&amp;col=6&amp;number=3.5&amp;sourceID=14","3.5")</f>
        <v>3.5</v>
      </c>
      <c r="G269" s="4" t="str">
        <f>HYPERLINK("http://141.218.60.56/~jnz1568/getInfo.php?workbook=14_02.xlsx&amp;sheet=U0&amp;row=269&amp;col=7&amp;number=0.000127&amp;sourceID=14","0.000127")</f>
        <v>0.000127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HYPERLINK("http://141.218.60.56/~jnz1568/getInfo.php?workbook=14_02.xlsx&amp;sheet=U0&amp;row=270&amp;col=6&amp;number=3.6&amp;sourceID=14","3.6")</f>
        <v>3.6</v>
      </c>
      <c r="G270" s="4" t="str">
        <f>HYPERLINK("http://141.218.60.56/~jnz1568/getInfo.php?workbook=14_02.xlsx&amp;sheet=U0&amp;row=270&amp;col=7&amp;number=0.000127&amp;sourceID=14","0.000127")</f>
        <v>0.000127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HYPERLINK("http://141.218.60.56/~jnz1568/getInfo.php?workbook=14_02.xlsx&amp;sheet=U0&amp;row=271&amp;col=6&amp;number=3.7&amp;sourceID=14","3.7")</f>
        <v>3.7</v>
      </c>
      <c r="G271" s="4" t="str">
        <f>HYPERLINK("http://141.218.60.56/~jnz1568/getInfo.php?workbook=14_02.xlsx&amp;sheet=U0&amp;row=271&amp;col=7&amp;number=0.000127&amp;sourceID=14","0.000127")</f>
        <v>0.000127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HYPERLINK("http://141.218.60.56/~jnz1568/getInfo.php?workbook=14_02.xlsx&amp;sheet=U0&amp;row=272&amp;col=6&amp;number=3.8&amp;sourceID=14","3.8")</f>
        <v>3.8</v>
      </c>
      <c r="G272" s="4" t="str">
        <f>HYPERLINK("http://141.218.60.56/~jnz1568/getInfo.php?workbook=14_02.xlsx&amp;sheet=U0&amp;row=272&amp;col=7&amp;number=0.000127&amp;sourceID=14","0.000127")</f>
        <v>0.000127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HYPERLINK("http://141.218.60.56/~jnz1568/getInfo.php?workbook=14_02.xlsx&amp;sheet=U0&amp;row=273&amp;col=6&amp;number=3.9&amp;sourceID=14","3.9")</f>
        <v>3.9</v>
      </c>
      <c r="G273" s="4" t="str">
        <f>HYPERLINK("http://141.218.60.56/~jnz1568/getInfo.php?workbook=14_02.xlsx&amp;sheet=U0&amp;row=273&amp;col=7&amp;number=0.000127&amp;sourceID=14","0.000127")</f>
        <v>0.000127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HYPERLINK("http://141.218.60.56/~jnz1568/getInfo.php?workbook=14_02.xlsx&amp;sheet=U0&amp;row=274&amp;col=6&amp;number=4&amp;sourceID=14","4")</f>
        <v>4</v>
      </c>
      <c r="G274" s="4" t="str">
        <f>HYPERLINK("http://141.218.60.56/~jnz1568/getInfo.php?workbook=14_02.xlsx&amp;sheet=U0&amp;row=274&amp;col=7&amp;number=0.000127&amp;sourceID=14","0.000127")</f>
        <v>0.000127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HYPERLINK("http://141.218.60.56/~jnz1568/getInfo.php?workbook=14_02.xlsx&amp;sheet=U0&amp;row=275&amp;col=6&amp;number=4.1&amp;sourceID=14","4.1")</f>
        <v>4.1</v>
      </c>
      <c r="G275" s="4" t="str">
        <f>HYPERLINK("http://141.218.60.56/~jnz1568/getInfo.php?workbook=14_02.xlsx&amp;sheet=U0&amp;row=275&amp;col=7&amp;number=0.000127&amp;sourceID=14","0.000127")</f>
        <v>0.000127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HYPERLINK("http://141.218.60.56/~jnz1568/getInfo.php?workbook=14_02.xlsx&amp;sheet=U0&amp;row=276&amp;col=6&amp;number=4.2&amp;sourceID=14","4.2")</f>
        <v>4.2</v>
      </c>
      <c r="G276" s="4" t="str">
        <f>HYPERLINK("http://141.218.60.56/~jnz1568/getInfo.php?workbook=14_02.xlsx&amp;sheet=U0&amp;row=276&amp;col=7&amp;number=0.000127&amp;sourceID=14","0.000127")</f>
        <v>0.000127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HYPERLINK("http://141.218.60.56/~jnz1568/getInfo.php?workbook=14_02.xlsx&amp;sheet=U0&amp;row=277&amp;col=6&amp;number=4.3&amp;sourceID=14","4.3")</f>
        <v>4.3</v>
      </c>
      <c r="G277" s="4" t="str">
        <f>HYPERLINK("http://141.218.60.56/~jnz1568/getInfo.php?workbook=14_02.xlsx&amp;sheet=U0&amp;row=277&amp;col=7&amp;number=0.000127&amp;sourceID=14","0.000127")</f>
        <v>0.000127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HYPERLINK("http://141.218.60.56/~jnz1568/getInfo.php?workbook=14_02.xlsx&amp;sheet=U0&amp;row=278&amp;col=6&amp;number=4.4&amp;sourceID=14","4.4")</f>
        <v>4.4</v>
      </c>
      <c r="G278" s="4" t="str">
        <f>HYPERLINK("http://141.218.60.56/~jnz1568/getInfo.php?workbook=14_02.xlsx&amp;sheet=U0&amp;row=278&amp;col=7&amp;number=0.000127&amp;sourceID=14","0.000127")</f>
        <v>0.000127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HYPERLINK("http://141.218.60.56/~jnz1568/getInfo.php?workbook=14_02.xlsx&amp;sheet=U0&amp;row=279&amp;col=6&amp;number=4.5&amp;sourceID=14","4.5")</f>
        <v>4.5</v>
      </c>
      <c r="G279" s="4" t="str">
        <f>HYPERLINK("http://141.218.60.56/~jnz1568/getInfo.php?workbook=14_02.xlsx&amp;sheet=U0&amp;row=279&amp;col=7&amp;number=0.000127&amp;sourceID=14","0.000127")</f>
        <v>0.000127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HYPERLINK("http://141.218.60.56/~jnz1568/getInfo.php?workbook=14_02.xlsx&amp;sheet=U0&amp;row=280&amp;col=6&amp;number=4.6&amp;sourceID=14","4.6")</f>
        <v>4.6</v>
      </c>
      <c r="G280" s="4" t="str">
        <f>HYPERLINK("http://141.218.60.56/~jnz1568/getInfo.php?workbook=14_02.xlsx&amp;sheet=U0&amp;row=280&amp;col=7&amp;number=0.000127&amp;sourceID=14","0.000127")</f>
        <v>0.000127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HYPERLINK("http://141.218.60.56/~jnz1568/getInfo.php?workbook=14_02.xlsx&amp;sheet=U0&amp;row=281&amp;col=6&amp;number=4.7&amp;sourceID=14","4.7")</f>
        <v>4.7</v>
      </c>
      <c r="G281" s="4" t="str">
        <f>HYPERLINK("http://141.218.60.56/~jnz1568/getInfo.php?workbook=14_02.xlsx&amp;sheet=U0&amp;row=281&amp;col=7&amp;number=0.000127&amp;sourceID=14","0.000127")</f>
        <v>0.000127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HYPERLINK("http://141.218.60.56/~jnz1568/getInfo.php?workbook=14_02.xlsx&amp;sheet=U0&amp;row=282&amp;col=6&amp;number=4.8&amp;sourceID=14","4.8")</f>
        <v>4.8</v>
      </c>
      <c r="G282" s="4" t="str">
        <f>HYPERLINK("http://141.218.60.56/~jnz1568/getInfo.php?workbook=14_02.xlsx&amp;sheet=U0&amp;row=282&amp;col=7&amp;number=0.000127&amp;sourceID=14","0.000127")</f>
        <v>0.000127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HYPERLINK("http://141.218.60.56/~jnz1568/getInfo.php?workbook=14_02.xlsx&amp;sheet=U0&amp;row=283&amp;col=6&amp;number=4.9&amp;sourceID=14","4.9")</f>
        <v>4.9</v>
      </c>
      <c r="G283" s="4" t="str">
        <f>HYPERLINK("http://141.218.60.56/~jnz1568/getInfo.php?workbook=14_02.xlsx&amp;sheet=U0&amp;row=283&amp;col=7&amp;number=0.000127&amp;sourceID=14","0.000127")</f>
        <v>0.000127</v>
      </c>
    </row>
    <row r="284" spans="1:7">
      <c r="A284" s="3">
        <v>14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HYPERLINK("http://141.218.60.56/~jnz1568/getInfo.php?workbook=14_02.xlsx&amp;sheet=U0&amp;row=284&amp;col=6&amp;number=3&amp;sourceID=14","3")</f>
        <v>3</v>
      </c>
      <c r="G284" s="4" t="str">
        <f>HYPERLINK("http://141.218.60.56/~jnz1568/getInfo.php?workbook=14_02.xlsx&amp;sheet=U0&amp;row=284&amp;col=7&amp;number=0.000192&amp;sourceID=14","0.000192")</f>
        <v>0.000192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HYPERLINK("http://141.218.60.56/~jnz1568/getInfo.php?workbook=14_02.xlsx&amp;sheet=U0&amp;row=285&amp;col=6&amp;number=3.1&amp;sourceID=14","3.1")</f>
        <v>3.1</v>
      </c>
      <c r="G285" s="4" t="str">
        <f>HYPERLINK("http://141.218.60.56/~jnz1568/getInfo.php?workbook=14_02.xlsx&amp;sheet=U0&amp;row=285&amp;col=7&amp;number=0.000192&amp;sourceID=14","0.000192")</f>
        <v>0.000192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HYPERLINK("http://141.218.60.56/~jnz1568/getInfo.php?workbook=14_02.xlsx&amp;sheet=U0&amp;row=286&amp;col=6&amp;number=3.2&amp;sourceID=14","3.2")</f>
        <v>3.2</v>
      </c>
      <c r="G286" s="4" t="str">
        <f>HYPERLINK("http://141.218.60.56/~jnz1568/getInfo.php?workbook=14_02.xlsx&amp;sheet=U0&amp;row=286&amp;col=7&amp;number=0.000192&amp;sourceID=14","0.000192")</f>
        <v>0.000192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HYPERLINK("http://141.218.60.56/~jnz1568/getInfo.php?workbook=14_02.xlsx&amp;sheet=U0&amp;row=287&amp;col=6&amp;number=3.3&amp;sourceID=14","3.3")</f>
        <v>3.3</v>
      </c>
      <c r="G287" s="4" t="str">
        <f>HYPERLINK("http://141.218.60.56/~jnz1568/getInfo.php?workbook=14_02.xlsx&amp;sheet=U0&amp;row=287&amp;col=7&amp;number=0.000192&amp;sourceID=14","0.000192")</f>
        <v>0.000192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HYPERLINK("http://141.218.60.56/~jnz1568/getInfo.php?workbook=14_02.xlsx&amp;sheet=U0&amp;row=288&amp;col=6&amp;number=3.4&amp;sourceID=14","3.4")</f>
        <v>3.4</v>
      </c>
      <c r="G288" s="4" t="str">
        <f>HYPERLINK("http://141.218.60.56/~jnz1568/getInfo.php?workbook=14_02.xlsx&amp;sheet=U0&amp;row=288&amp;col=7&amp;number=0.000192&amp;sourceID=14","0.000192")</f>
        <v>0.000192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HYPERLINK("http://141.218.60.56/~jnz1568/getInfo.php?workbook=14_02.xlsx&amp;sheet=U0&amp;row=289&amp;col=6&amp;number=3.5&amp;sourceID=14","3.5")</f>
        <v>3.5</v>
      </c>
      <c r="G289" s="4" t="str">
        <f>HYPERLINK("http://141.218.60.56/~jnz1568/getInfo.php?workbook=14_02.xlsx&amp;sheet=U0&amp;row=289&amp;col=7&amp;number=0.000192&amp;sourceID=14","0.000192")</f>
        <v>0.000192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HYPERLINK("http://141.218.60.56/~jnz1568/getInfo.php?workbook=14_02.xlsx&amp;sheet=U0&amp;row=290&amp;col=6&amp;number=3.6&amp;sourceID=14","3.6")</f>
        <v>3.6</v>
      </c>
      <c r="G290" s="4" t="str">
        <f>HYPERLINK("http://141.218.60.56/~jnz1568/getInfo.php?workbook=14_02.xlsx&amp;sheet=U0&amp;row=290&amp;col=7&amp;number=0.000192&amp;sourceID=14","0.000192")</f>
        <v>0.000192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HYPERLINK("http://141.218.60.56/~jnz1568/getInfo.php?workbook=14_02.xlsx&amp;sheet=U0&amp;row=291&amp;col=6&amp;number=3.7&amp;sourceID=14","3.7")</f>
        <v>3.7</v>
      </c>
      <c r="G291" s="4" t="str">
        <f>HYPERLINK("http://141.218.60.56/~jnz1568/getInfo.php?workbook=14_02.xlsx&amp;sheet=U0&amp;row=291&amp;col=7&amp;number=0.000192&amp;sourceID=14","0.000192")</f>
        <v>0.000192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HYPERLINK("http://141.218.60.56/~jnz1568/getInfo.php?workbook=14_02.xlsx&amp;sheet=U0&amp;row=292&amp;col=6&amp;number=3.8&amp;sourceID=14","3.8")</f>
        <v>3.8</v>
      </c>
      <c r="G292" s="4" t="str">
        <f>HYPERLINK("http://141.218.60.56/~jnz1568/getInfo.php?workbook=14_02.xlsx&amp;sheet=U0&amp;row=292&amp;col=7&amp;number=0.000192&amp;sourceID=14","0.000192")</f>
        <v>0.000192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HYPERLINK("http://141.218.60.56/~jnz1568/getInfo.php?workbook=14_02.xlsx&amp;sheet=U0&amp;row=293&amp;col=6&amp;number=3.9&amp;sourceID=14","3.9")</f>
        <v>3.9</v>
      </c>
      <c r="G293" s="4" t="str">
        <f>HYPERLINK("http://141.218.60.56/~jnz1568/getInfo.php?workbook=14_02.xlsx&amp;sheet=U0&amp;row=293&amp;col=7&amp;number=0.000192&amp;sourceID=14","0.000192")</f>
        <v>0.000192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HYPERLINK("http://141.218.60.56/~jnz1568/getInfo.php?workbook=14_02.xlsx&amp;sheet=U0&amp;row=294&amp;col=6&amp;number=4&amp;sourceID=14","4")</f>
        <v>4</v>
      </c>
      <c r="G294" s="4" t="str">
        <f>HYPERLINK("http://141.218.60.56/~jnz1568/getInfo.php?workbook=14_02.xlsx&amp;sheet=U0&amp;row=294&amp;col=7&amp;number=0.000192&amp;sourceID=14","0.000192")</f>
        <v>0.000192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HYPERLINK("http://141.218.60.56/~jnz1568/getInfo.php?workbook=14_02.xlsx&amp;sheet=U0&amp;row=295&amp;col=6&amp;number=4.1&amp;sourceID=14","4.1")</f>
        <v>4.1</v>
      </c>
      <c r="G295" s="4" t="str">
        <f>HYPERLINK("http://141.218.60.56/~jnz1568/getInfo.php?workbook=14_02.xlsx&amp;sheet=U0&amp;row=295&amp;col=7&amp;number=0.000192&amp;sourceID=14","0.000192")</f>
        <v>0.000192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HYPERLINK("http://141.218.60.56/~jnz1568/getInfo.php?workbook=14_02.xlsx&amp;sheet=U0&amp;row=296&amp;col=6&amp;number=4.2&amp;sourceID=14","4.2")</f>
        <v>4.2</v>
      </c>
      <c r="G296" s="4" t="str">
        <f>HYPERLINK("http://141.218.60.56/~jnz1568/getInfo.php?workbook=14_02.xlsx&amp;sheet=U0&amp;row=296&amp;col=7&amp;number=0.000192&amp;sourceID=14","0.000192")</f>
        <v>0.000192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HYPERLINK("http://141.218.60.56/~jnz1568/getInfo.php?workbook=14_02.xlsx&amp;sheet=U0&amp;row=297&amp;col=6&amp;number=4.3&amp;sourceID=14","4.3")</f>
        <v>4.3</v>
      </c>
      <c r="G297" s="4" t="str">
        <f>HYPERLINK("http://141.218.60.56/~jnz1568/getInfo.php?workbook=14_02.xlsx&amp;sheet=U0&amp;row=297&amp;col=7&amp;number=0.000192&amp;sourceID=14","0.000192")</f>
        <v>0.000192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HYPERLINK("http://141.218.60.56/~jnz1568/getInfo.php?workbook=14_02.xlsx&amp;sheet=U0&amp;row=298&amp;col=6&amp;number=4.4&amp;sourceID=14","4.4")</f>
        <v>4.4</v>
      </c>
      <c r="G298" s="4" t="str">
        <f>HYPERLINK("http://141.218.60.56/~jnz1568/getInfo.php?workbook=14_02.xlsx&amp;sheet=U0&amp;row=298&amp;col=7&amp;number=0.000192&amp;sourceID=14","0.000192")</f>
        <v>0.000192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HYPERLINK("http://141.218.60.56/~jnz1568/getInfo.php?workbook=14_02.xlsx&amp;sheet=U0&amp;row=299&amp;col=6&amp;number=4.5&amp;sourceID=14","4.5")</f>
        <v>4.5</v>
      </c>
      <c r="G299" s="4" t="str">
        <f>HYPERLINK("http://141.218.60.56/~jnz1568/getInfo.php?workbook=14_02.xlsx&amp;sheet=U0&amp;row=299&amp;col=7&amp;number=0.000192&amp;sourceID=14","0.000192")</f>
        <v>0.000192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HYPERLINK("http://141.218.60.56/~jnz1568/getInfo.php?workbook=14_02.xlsx&amp;sheet=U0&amp;row=300&amp;col=6&amp;number=4.6&amp;sourceID=14","4.6")</f>
        <v>4.6</v>
      </c>
      <c r="G300" s="4" t="str">
        <f>HYPERLINK("http://141.218.60.56/~jnz1568/getInfo.php?workbook=14_02.xlsx&amp;sheet=U0&amp;row=300&amp;col=7&amp;number=0.000192&amp;sourceID=14","0.000192")</f>
        <v>0.000192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HYPERLINK("http://141.218.60.56/~jnz1568/getInfo.php?workbook=14_02.xlsx&amp;sheet=U0&amp;row=301&amp;col=6&amp;number=4.7&amp;sourceID=14","4.7")</f>
        <v>4.7</v>
      </c>
      <c r="G301" s="4" t="str">
        <f>HYPERLINK("http://141.218.60.56/~jnz1568/getInfo.php?workbook=14_02.xlsx&amp;sheet=U0&amp;row=301&amp;col=7&amp;number=0.000191&amp;sourceID=14","0.000191")</f>
        <v>0.000191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HYPERLINK("http://141.218.60.56/~jnz1568/getInfo.php?workbook=14_02.xlsx&amp;sheet=U0&amp;row=302&amp;col=6&amp;number=4.8&amp;sourceID=14","4.8")</f>
        <v>4.8</v>
      </c>
      <c r="G302" s="4" t="str">
        <f>HYPERLINK("http://141.218.60.56/~jnz1568/getInfo.php?workbook=14_02.xlsx&amp;sheet=U0&amp;row=302&amp;col=7&amp;number=0.000191&amp;sourceID=14","0.000191")</f>
        <v>0.000191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HYPERLINK("http://141.218.60.56/~jnz1568/getInfo.php?workbook=14_02.xlsx&amp;sheet=U0&amp;row=303&amp;col=6&amp;number=4.9&amp;sourceID=14","4.9")</f>
        <v>4.9</v>
      </c>
      <c r="G303" s="4" t="str">
        <f>HYPERLINK("http://141.218.60.56/~jnz1568/getInfo.php?workbook=14_02.xlsx&amp;sheet=U0&amp;row=303&amp;col=7&amp;number=0.000191&amp;sourceID=14","0.000191")</f>
        <v>0.000191</v>
      </c>
    </row>
    <row r="304" spans="1:7">
      <c r="A304" s="3">
        <v>14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HYPERLINK("http://141.218.60.56/~jnz1568/getInfo.php?workbook=14_02.xlsx&amp;sheet=U0&amp;row=304&amp;col=6&amp;number=3&amp;sourceID=14","3")</f>
        <v>3</v>
      </c>
      <c r="G304" s="4" t="str">
        <f>HYPERLINK("http://141.218.60.56/~jnz1568/getInfo.php?workbook=14_02.xlsx&amp;sheet=U0&amp;row=304&amp;col=7&amp;number=6.44e-05&amp;sourceID=14","6.44e-05")</f>
        <v>6.44e-05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HYPERLINK("http://141.218.60.56/~jnz1568/getInfo.php?workbook=14_02.xlsx&amp;sheet=U0&amp;row=305&amp;col=6&amp;number=3.1&amp;sourceID=14","3.1")</f>
        <v>3.1</v>
      </c>
      <c r="G305" s="4" t="str">
        <f>HYPERLINK("http://141.218.60.56/~jnz1568/getInfo.php?workbook=14_02.xlsx&amp;sheet=U0&amp;row=305&amp;col=7&amp;number=6.44e-05&amp;sourceID=14","6.44e-05")</f>
        <v>6.44e-05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HYPERLINK("http://141.218.60.56/~jnz1568/getInfo.php?workbook=14_02.xlsx&amp;sheet=U0&amp;row=306&amp;col=6&amp;number=3.2&amp;sourceID=14","3.2")</f>
        <v>3.2</v>
      </c>
      <c r="G306" s="4" t="str">
        <f>HYPERLINK("http://141.218.60.56/~jnz1568/getInfo.php?workbook=14_02.xlsx&amp;sheet=U0&amp;row=306&amp;col=7&amp;number=6.44e-05&amp;sourceID=14","6.44e-05")</f>
        <v>6.44e-05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HYPERLINK("http://141.218.60.56/~jnz1568/getInfo.php?workbook=14_02.xlsx&amp;sheet=U0&amp;row=307&amp;col=6&amp;number=3.3&amp;sourceID=14","3.3")</f>
        <v>3.3</v>
      </c>
      <c r="G307" s="4" t="str">
        <f>HYPERLINK("http://141.218.60.56/~jnz1568/getInfo.php?workbook=14_02.xlsx&amp;sheet=U0&amp;row=307&amp;col=7&amp;number=6.44e-05&amp;sourceID=14","6.44e-05")</f>
        <v>6.44e-05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HYPERLINK("http://141.218.60.56/~jnz1568/getInfo.php?workbook=14_02.xlsx&amp;sheet=U0&amp;row=308&amp;col=6&amp;number=3.4&amp;sourceID=14","3.4")</f>
        <v>3.4</v>
      </c>
      <c r="G308" s="4" t="str">
        <f>HYPERLINK("http://141.218.60.56/~jnz1568/getInfo.php?workbook=14_02.xlsx&amp;sheet=U0&amp;row=308&amp;col=7&amp;number=6.44e-05&amp;sourceID=14","6.44e-05")</f>
        <v>6.44e-05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HYPERLINK("http://141.218.60.56/~jnz1568/getInfo.php?workbook=14_02.xlsx&amp;sheet=U0&amp;row=309&amp;col=6&amp;number=3.5&amp;sourceID=14","3.5")</f>
        <v>3.5</v>
      </c>
      <c r="G309" s="4" t="str">
        <f>HYPERLINK("http://141.218.60.56/~jnz1568/getInfo.php?workbook=14_02.xlsx&amp;sheet=U0&amp;row=309&amp;col=7&amp;number=6.45e-05&amp;sourceID=14","6.45e-05")</f>
        <v>6.45e-05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HYPERLINK("http://141.218.60.56/~jnz1568/getInfo.php?workbook=14_02.xlsx&amp;sheet=U0&amp;row=310&amp;col=6&amp;number=3.6&amp;sourceID=14","3.6")</f>
        <v>3.6</v>
      </c>
      <c r="G310" s="4" t="str">
        <f>HYPERLINK("http://141.218.60.56/~jnz1568/getInfo.php?workbook=14_02.xlsx&amp;sheet=U0&amp;row=310&amp;col=7&amp;number=6.45e-05&amp;sourceID=14","6.45e-05")</f>
        <v>6.45e-05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HYPERLINK("http://141.218.60.56/~jnz1568/getInfo.php?workbook=14_02.xlsx&amp;sheet=U0&amp;row=311&amp;col=6&amp;number=3.7&amp;sourceID=14","3.7")</f>
        <v>3.7</v>
      </c>
      <c r="G311" s="4" t="str">
        <f>HYPERLINK("http://141.218.60.56/~jnz1568/getInfo.php?workbook=14_02.xlsx&amp;sheet=U0&amp;row=311&amp;col=7&amp;number=6.45e-05&amp;sourceID=14","6.45e-05")</f>
        <v>6.45e-05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HYPERLINK("http://141.218.60.56/~jnz1568/getInfo.php?workbook=14_02.xlsx&amp;sheet=U0&amp;row=312&amp;col=6&amp;number=3.8&amp;sourceID=14","3.8")</f>
        <v>3.8</v>
      </c>
      <c r="G312" s="4" t="str">
        <f>HYPERLINK("http://141.218.60.56/~jnz1568/getInfo.php?workbook=14_02.xlsx&amp;sheet=U0&amp;row=312&amp;col=7&amp;number=6.45e-05&amp;sourceID=14","6.45e-05")</f>
        <v>6.45e-05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HYPERLINK("http://141.218.60.56/~jnz1568/getInfo.php?workbook=14_02.xlsx&amp;sheet=U0&amp;row=313&amp;col=6&amp;number=3.9&amp;sourceID=14","3.9")</f>
        <v>3.9</v>
      </c>
      <c r="G313" s="4" t="str">
        <f>HYPERLINK("http://141.218.60.56/~jnz1568/getInfo.php?workbook=14_02.xlsx&amp;sheet=U0&amp;row=313&amp;col=7&amp;number=6.45e-05&amp;sourceID=14","6.45e-05")</f>
        <v>6.45e-05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HYPERLINK("http://141.218.60.56/~jnz1568/getInfo.php?workbook=14_02.xlsx&amp;sheet=U0&amp;row=314&amp;col=6&amp;number=4&amp;sourceID=14","4")</f>
        <v>4</v>
      </c>
      <c r="G314" s="4" t="str">
        <f>HYPERLINK("http://141.218.60.56/~jnz1568/getInfo.php?workbook=14_02.xlsx&amp;sheet=U0&amp;row=314&amp;col=7&amp;number=6.45e-05&amp;sourceID=14","6.45e-05")</f>
        <v>6.45e-05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HYPERLINK("http://141.218.60.56/~jnz1568/getInfo.php?workbook=14_02.xlsx&amp;sheet=U0&amp;row=315&amp;col=6&amp;number=4.1&amp;sourceID=14","4.1")</f>
        <v>4.1</v>
      </c>
      <c r="G315" s="4" t="str">
        <f>HYPERLINK("http://141.218.60.56/~jnz1568/getInfo.php?workbook=14_02.xlsx&amp;sheet=U0&amp;row=315&amp;col=7&amp;number=6.45e-05&amp;sourceID=14","6.45e-05")</f>
        <v>6.45e-05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HYPERLINK("http://141.218.60.56/~jnz1568/getInfo.php?workbook=14_02.xlsx&amp;sheet=U0&amp;row=316&amp;col=6&amp;number=4.2&amp;sourceID=14","4.2")</f>
        <v>4.2</v>
      </c>
      <c r="G316" s="4" t="str">
        <f>HYPERLINK("http://141.218.60.56/~jnz1568/getInfo.php?workbook=14_02.xlsx&amp;sheet=U0&amp;row=316&amp;col=7&amp;number=6.45e-05&amp;sourceID=14","6.45e-05")</f>
        <v>6.45e-05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HYPERLINK("http://141.218.60.56/~jnz1568/getInfo.php?workbook=14_02.xlsx&amp;sheet=U0&amp;row=317&amp;col=6&amp;number=4.3&amp;sourceID=14","4.3")</f>
        <v>4.3</v>
      </c>
      <c r="G317" s="4" t="str">
        <f>HYPERLINK("http://141.218.60.56/~jnz1568/getInfo.php?workbook=14_02.xlsx&amp;sheet=U0&amp;row=317&amp;col=7&amp;number=6.46e-05&amp;sourceID=14","6.46e-05")</f>
        <v>6.46e-05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HYPERLINK("http://141.218.60.56/~jnz1568/getInfo.php?workbook=14_02.xlsx&amp;sheet=U0&amp;row=318&amp;col=6&amp;number=4.4&amp;sourceID=14","4.4")</f>
        <v>4.4</v>
      </c>
      <c r="G318" s="4" t="str">
        <f>HYPERLINK("http://141.218.60.56/~jnz1568/getInfo.php?workbook=14_02.xlsx&amp;sheet=U0&amp;row=318&amp;col=7&amp;number=6.46e-05&amp;sourceID=14","6.46e-05")</f>
        <v>6.46e-05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HYPERLINK("http://141.218.60.56/~jnz1568/getInfo.php?workbook=14_02.xlsx&amp;sheet=U0&amp;row=319&amp;col=6&amp;number=4.5&amp;sourceID=14","4.5")</f>
        <v>4.5</v>
      </c>
      <c r="G319" s="4" t="str">
        <f>HYPERLINK("http://141.218.60.56/~jnz1568/getInfo.php?workbook=14_02.xlsx&amp;sheet=U0&amp;row=319&amp;col=7&amp;number=6.47e-05&amp;sourceID=14","6.47e-05")</f>
        <v>6.47e-05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HYPERLINK("http://141.218.60.56/~jnz1568/getInfo.php?workbook=14_02.xlsx&amp;sheet=U0&amp;row=320&amp;col=6&amp;number=4.6&amp;sourceID=14","4.6")</f>
        <v>4.6</v>
      </c>
      <c r="G320" s="4" t="str">
        <f>HYPERLINK("http://141.218.60.56/~jnz1568/getInfo.php?workbook=14_02.xlsx&amp;sheet=U0&amp;row=320&amp;col=7&amp;number=6.47e-05&amp;sourceID=14","6.47e-05")</f>
        <v>6.47e-05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HYPERLINK("http://141.218.60.56/~jnz1568/getInfo.php?workbook=14_02.xlsx&amp;sheet=U0&amp;row=321&amp;col=6&amp;number=4.7&amp;sourceID=14","4.7")</f>
        <v>4.7</v>
      </c>
      <c r="G321" s="4" t="str">
        <f>HYPERLINK("http://141.218.60.56/~jnz1568/getInfo.php?workbook=14_02.xlsx&amp;sheet=U0&amp;row=321&amp;col=7&amp;number=6.48e-05&amp;sourceID=14","6.48e-05")</f>
        <v>6.48e-05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HYPERLINK("http://141.218.60.56/~jnz1568/getInfo.php?workbook=14_02.xlsx&amp;sheet=U0&amp;row=322&amp;col=6&amp;number=4.8&amp;sourceID=14","4.8")</f>
        <v>4.8</v>
      </c>
      <c r="G322" s="4" t="str">
        <f>HYPERLINK("http://141.218.60.56/~jnz1568/getInfo.php?workbook=14_02.xlsx&amp;sheet=U0&amp;row=322&amp;col=7&amp;number=6.49e-05&amp;sourceID=14","6.49e-05")</f>
        <v>6.49e-05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HYPERLINK("http://141.218.60.56/~jnz1568/getInfo.php?workbook=14_02.xlsx&amp;sheet=U0&amp;row=323&amp;col=6&amp;number=4.9&amp;sourceID=14","4.9")</f>
        <v>4.9</v>
      </c>
      <c r="G323" s="4" t="str">
        <f>HYPERLINK("http://141.218.60.56/~jnz1568/getInfo.php?workbook=14_02.xlsx&amp;sheet=U0&amp;row=323&amp;col=7&amp;number=6.5e-05&amp;sourceID=14","6.5e-05")</f>
        <v>6.5e-05</v>
      </c>
    </row>
    <row r="324" spans="1:7">
      <c r="A324" s="3">
        <v>14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HYPERLINK("http://141.218.60.56/~jnz1568/getInfo.php?workbook=14_02.xlsx&amp;sheet=U0&amp;row=324&amp;col=6&amp;number=3&amp;sourceID=14","3")</f>
        <v>3</v>
      </c>
      <c r="G324" s="4" t="str">
        <f>HYPERLINK("http://141.218.60.56/~jnz1568/getInfo.php?workbook=14_02.xlsx&amp;sheet=U0&amp;row=324&amp;col=7&amp;number=0.000138&amp;sourceID=14","0.000138")</f>
        <v>0.000138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HYPERLINK("http://141.218.60.56/~jnz1568/getInfo.php?workbook=14_02.xlsx&amp;sheet=U0&amp;row=325&amp;col=6&amp;number=3.1&amp;sourceID=14","3.1")</f>
        <v>3.1</v>
      </c>
      <c r="G325" s="4" t="str">
        <f>HYPERLINK("http://141.218.60.56/~jnz1568/getInfo.php?workbook=14_02.xlsx&amp;sheet=U0&amp;row=325&amp;col=7&amp;number=0.000138&amp;sourceID=14","0.000138")</f>
        <v>0.000138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HYPERLINK("http://141.218.60.56/~jnz1568/getInfo.php?workbook=14_02.xlsx&amp;sheet=U0&amp;row=326&amp;col=6&amp;number=3.2&amp;sourceID=14","3.2")</f>
        <v>3.2</v>
      </c>
      <c r="G326" s="4" t="str">
        <f>HYPERLINK("http://141.218.60.56/~jnz1568/getInfo.php?workbook=14_02.xlsx&amp;sheet=U0&amp;row=326&amp;col=7&amp;number=0.000138&amp;sourceID=14","0.000138")</f>
        <v>0.000138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HYPERLINK("http://141.218.60.56/~jnz1568/getInfo.php?workbook=14_02.xlsx&amp;sheet=U0&amp;row=327&amp;col=6&amp;number=3.3&amp;sourceID=14","3.3")</f>
        <v>3.3</v>
      </c>
      <c r="G327" s="4" t="str">
        <f>HYPERLINK("http://141.218.60.56/~jnz1568/getInfo.php?workbook=14_02.xlsx&amp;sheet=U0&amp;row=327&amp;col=7&amp;number=0.000138&amp;sourceID=14","0.000138")</f>
        <v>0.000138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HYPERLINK("http://141.218.60.56/~jnz1568/getInfo.php?workbook=14_02.xlsx&amp;sheet=U0&amp;row=328&amp;col=6&amp;number=3.4&amp;sourceID=14","3.4")</f>
        <v>3.4</v>
      </c>
      <c r="G328" s="4" t="str">
        <f>HYPERLINK("http://141.218.60.56/~jnz1568/getInfo.php?workbook=14_02.xlsx&amp;sheet=U0&amp;row=328&amp;col=7&amp;number=0.000138&amp;sourceID=14","0.000138")</f>
        <v>0.000138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HYPERLINK("http://141.218.60.56/~jnz1568/getInfo.php?workbook=14_02.xlsx&amp;sheet=U0&amp;row=329&amp;col=6&amp;number=3.5&amp;sourceID=14","3.5")</f>
        <v>3.5</v>
      </c>
      <c r="G329" s="4" t="str">
        <f>HYPERLINK("http://141.218.60.56/~jnz1568/getInfo.php?workbook=14_02.xlsx&amp;sheet=U0&amp;row=329&amp;col=7&amp;number=0.000138&amp;sourceID=14","0.000138")</f>
        <v>0.000138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HYPERLINK("http://141.218.60.56/~jnz1568/getInfo.php?workbook=14_02.xlsx&amp;sheet=U0&amp;row=330&amp;col=6&amp;number=3.6&amp;sourceID=14","3.6")</f>
        <v>3.6</v>
      </c>
      <c r="G330" s="4" t="str">
        <f>HYPERLINK("http://141.218.60.56/~jnz1568/getInfo.php?workbook=14_02.xlsx&amp;sheet=U0&amp;row=330&amp;col=7&amp;number=0.000138&amp;sourceID=14","0.000138")</f>
        <v>0.000138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HYPERLINK("http://141.218.60.56/~jnz1568/getInfo.php?workbook=14_02.xlsx&amp;sheet=U0&amp;row=331&amp;col=6&amp;number=3.7&amp;sourceID=14","3.7")</f>
        <v>3.7</v>
      </c>
      <c r="G331" s="4" t="str">
        <f>HYPERLINK("http://141.218.60.56/~jnz1568/getInfo.php?workbook=14_02.xlsx&amp;sheet=U0&amp;row=331&amp;col=7&amp;number=0.000138&amp;sourceID=14","0.000138")</f>
        <v>0.000138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HYPERLINK("http://141.218.60.56/~jnz1568/getInfo.php?workbook=14_02.xlsx&amp;sheet=U0&amp;row=332&amp;col=6&amp;number=3.8&amp;sourceID=14","3.8")</f>
        <v>3.8</v>
      </c>
      <c r="G332" s="4" t="str">
        <f>HYPERLINK("http://141.218.60.56/~jnz1568/getInfo.php?workbook=14_02.xlsx&amp;sheet=U0&amp;row=332&amp;col=7&amp;number=0.000138&amp;sourceID=14","0.000138")</f>
        <v>0.000138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HYPERLINK("http://141.218.60.56/~jnz1568/getInfo.php?workbook=14_02.xlsx&amp;sheet=U0&amp;row=333&amp;col=6&amp;number=3.9&amp;sourceID=14","3.9")</f>
        <v>3.9</v>
      </c>
      <c r="G333" s="4" t="str">
        <f>HYPERLINK("http://141.218.60.56/~jnz1568/getInfo.php?workbook=14_02.xlsx&amp;sheet=U0&amp;row=333&amp;col=7&amp;number=0.000138&amp;sourceID=14","0.000138")</f>
        <v>0.000138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HYPERLINK("http://141.218.60.56/~jnz1568/getInfo.php?workbook=14_02.xlsx&amp;sheet=U0&amp;row=334&amp;col=6&amp;number=4&amp;sourceID=14","4")</f>
        <v>4</v>
      </c>
      <c r="G334" s="4" t="str">
        <f>HYPERLINK("http://141.218.60.56/~jnz1568/getInfo.php?workbook=14_02.xlsx&amp;sheet=U0&amp;row=334&amp;col=7&amp;number=0.000138&amp;sourceID=14","0.000138")</f>
        <v>0.000138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HYPERLINK("http://141.218.60.56/~jnz1568/getInfo.php?workbook=14_02.xlsx&amp;sheet=U0&amp;row=335&amp;col=6&amp;number=4.1&amp;sourceID=14","4.1")</f>
        <v>4.1</v>
      </c>
      <c r="G335" s="4" t="str">
        <f>HYPERLINK("http://141.218.60.56/~jnz1568/getInfo.php?workbook=14_02.xlsx&amp;sheet=U0&amp;row=335&amp;col=7&amp;number=0.000138&amp;sourceID=14","0.000138")</f>
        <v>0.000138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HYPERLINK("http://141.218.60.56/~jnz1568/getInfo.php?workbook=14_02.xlsx&amp;sheet=U0&amp;row=336&amp;col=6&amp;number=4.2&amp;sourceID=14","4.2")</f>
        <v>4.2</v>
      </c>
      <c r="G336" s="4" t="str">
        <f>HYPERLINK("http://141.218.60.56/~jnz1568/getInfo.php?workbook=14_02.xlsx&amp;sheet=U0&amp;row=336&amp;col=7&amp;number=0.000138&amp;sourceID=14","0.000138")</f>
        <v>0.000138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HYPERLINK("http://141.218.60.56/~jnz1568/getInfo.php?workbook=14_02.xlsx&amp;sheet=U0&amp;row=337&amp;col=6&amp;number=4.3&amp;sourceID=14","4.3")</f>
        <v>4.3</v>
      </c>
      <c r="G337" s="4" t="str">
        <f>HYPERLINK("http://141.218.60.56/~jnz1568/getInfo.php?workbook=14_02.xlsx&amp;sheet=U0&amp;row=337&amp;col=7&amp;number=0.000138&amp;sourceID=14","0.000138")</f>
        <v>0.000138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HYPERLINK("http://141.218.60.56/~jnz1568/getInfo.php?workbook=14_02.xlsx&amp;sheet=U0&amp;row=338&amp;col=6&amp;number=4.4&amp;sourceID=14","4.4")</f>
        <v>4.4</v>
      </c>
      <c r="G338" s="4" t="str">
        <f>HYPERLINK("http://141.218.60.56/~jnz1568/getInfo.php?workbook=14_02.xlsx&amp;sheet=U0&amp;row=338&amp;col=7&amp;number=0.000138&amp;sourceID=14","0.000138")</f>
        <v>0.000138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HYPERLINK("http://141.218.60.56/~jnz1568/getInfo.php?workbook=14_02.xlsx&amp;sheet=U0&amp;row=339&amp;col=6&amp;number=4.5&amp;sourceID=14","4.5")</f>
        <v>4.5</v>
      </c>
      <c r="G339" s="4" t="str">
        <f>HYPERLINK("http://141.218.60.56/~jnz1568/getInfo.php?workbook=14_02.xlsx&amp;sheet=U0&amp;row=339&amp;col=7&amp;number=0.000138&amp;sourceID=14","0.000138")</f>
        <v>0.000138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HYPERLINK("http://141.218.60.56/~jnz1568/getInfo.php?workbook=14_02.xlsx&amp;sheet=U0&amp;row=340&amp;col=6&amp;number=4.6&amp;sourceID=14","4.6")</f>
        <v>4.6</v>
      </c>
      <c r="G340" s="4" t="str">
        <f>HYPERLINK("http://141.218.60.56/~jnz1568/getInfo.php?workbook=14_02.xlsx&amp;sheet=U0&amp;row=340&amp;col=7&amp;number=0.000138&amp;sourceID=14","0.000138")</f>
        <v>0.000138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HYPERLINK("http://141.218.60.56/~jnz1568/getInfo.php?workbook=14_02.xlsx&amp;sheet=U0&amp;row=341&amp;col=6&amp;number=4.7&amp;sourceID=14","4.7")</f>
        <v>4.7</v>
      </c>
      <c r="G341" s="4" t="str">
        <f>HYPERLINK("http://141.218.60.56/~jnz1568/getInfo.php?workbook=14_02.xlsx&amp;sheet=U0&amp;row=341&amp;col=7&amp;number=0.000138&amp;sourceID=14","0.000138")</f>
        <v>0.000138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HYPERLINK("http://141.218.60.56/~jnz1568/getInfo.php?workbook=14_02.xlsx&amp;sheet=U0&amp;row=342&amp;col=6&amp;number=4.8&amp;sourceID=14","4.8")</f>
        <v>4.8</v>
      </c>
      <c r="G342" s="4" t="str">
        <f>HYPERLINK("http://141.218.60.56/~jnz1568/getInfo.php?workbook=14_02.xlsx&amp;sheet=U0&amp;row=342&amp;col=7&amp;number=0.000138&amp;sourceID=14","0.000138")</f>
        <v>0.000138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HYPERLINK("http://141.218.60.56/~jnz1568/getInfo.php?workbook=14_02.xlsx&amp;sheet=U0&amp;row=343&amp;col=6&amp;number=4.9&amp;sourceID=14","4.9")</f>
        <v>4.9</v>
      </c>
      <c r="G343" s="4" t="str">
        <f>HYPERLINK("http://141.218.60.56/~jnz1568/getInfo.php?workbook=14_02.xlsx&amp;sheet=U0&amp;row=343&amp;col=7&amp;number=0.000138&amp;sourceID=14","0.000138")</f>
        <v>0.000138</v>
      </c>
    </row>
    <row r="344" spans="1:7">
      <c r="A344" s="3">
        <v>14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HYPERLINK("http://141.218.60.56/~jnz1568/getInfo.php?workbook=14_02.xlsx&amp;sheet=U0&amp;row=344&amp;col=6&amp;number=3&amp;sourceID=14","3")</f>
        <v>3</v>
      </c>
      <c r="G344" s="4" t="str">
        <f>HYPERLINK("http://141.218.60.56/~jnz1568/getInfo.php?workbook=14_02.xlsx&amp;sheet=U0&amp;row=344&amp;col=7&amp;number=0.000178&amp;sourceID=14","0.000178")</f>
        <v>0.000178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HYPERLINK("http://141.218.60.56/~jnz1568/getInfo.php?workbook=14_02.xlsx&amp;sheet=U0&amp;row=345&amp;col=6&amp;number=3.1&amp;sourceID=14","3.1")</f>
        <v>3.1</v>
      </c>
      <c r="G345" s="4" t="str">
        <f>HYPERLINK("http://141.218.60.56/~jnz1568/getInfo.php?workbook=14_02.xlsx&amp;sheet=U0&amp;row=345&amp;col=7&amp;number=0.000178&amp;sourceID=14","0.000178")</f>
        <v>0.000178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HYPERLINK("http://141.218.60.56/~jnz1568/getInfo.php?workbook=14_02.xlsx&amp;sheet=U0&amp;row=346&amp;col=6&amp;number=3.2&amp;sourceID=14","3.2")</f>
        <v>3.2</v>
      </c>
      <c r="G346" s="4" t="str">
        <f>HYPERLINK("http://141.218.60.56/~jnz1568/getInfo.php?workbook=14_02.xlsx&amp;sheet=U0&amp;row=346&amp;col=7&amp;number=0.000178&amp;sourceID=14","0.000178")</f>
        <v>0.000178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HYPERLINK("http://141.218.60.56/~jnz1568/getInfo.php?workbook=14_02.xlsx&amp;sheet=U0&amp;row=347&amp;col=6&amp;number=3.3&amp;sourceID=14","3.3")</f>
        <v>3.3</v>
      </c>
      <c r="G347" s="4" t="str">
        <f>HYPERLINK("http://141.218.60.56/~jnz1568/getInfo.php?workbook=14_02.xlsx&amp;sheet=U0&amp;row=347&amp;col=7&amp;number=0.000178&amp;sourceID=14","0.000178")</f>
        <v>0.000178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HYPERLINK("http://141.218.60.56/~jnz1568/getInfo.php?workbook=14_02.xlsx&amp;sheet=U0&amp;row=348&amp;col=6&amp;number=3.4&amp;sourceID=14","3.4")</f>
        <v>3.4</v>
      </c>
      <c r="G348" s="4" t="str">
        <f>HYPERLINK("http://141.218.60.56/~jnz1568/getInfo.php?workbook=14_02.xlsx&amp;sheet=U0&amp;row=348&amp;col=7&amp;number=0.000178&amp;sourceID=14","0.000178")</f>
        <v>0.000178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HYPERLINK("http://141.218.60.56/~jnz1568/getInfo.php?workbook=14_02.xlsx&amp;sheet=U0&amp;row=349&amp;col=6&amp;number=3.5&amp;sourceID=14","3.5")</f>
        <v>3.5</v>
      </c>
      <c r="G349" s="4" t="str">
        <f>HYPERLINK("http://141.218.60.56/~jnz1568/getInfo.php?workbook=14_02.xlsx&amp;sheet=U0&amp;row=349&amp;col=7&amp;number=0.000178&amp;sourceID=14","0.000178")</f>
        <v>0.000178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HYPERLINK("http://141.218.60.56/~jnz1568/getInfo.php?workbook=14_02.xlsx&amp;sheet=U0&amp;row=350&amp;col=6&amp;number=3.6&amp;sourceID=14","3.6")</f>
        <v>3.6</v>
      </c>
      <c r="G350" s="4" t="str">
        <f>HYPERLINK("http://141.218.60.56/~jnz1568/getInfo.php?workbook=14_02.xlsx&amp;sheet=U0&amp;row=350&amp;col=7&amp;number=0.000178&amp;sourceID=14","0.000178")</f>
        <v>0.000178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HYPERLINK("http://141.218.60.56/~jnz1568/getInfo.php?workbook=14_02.xlsx&amp;sheet=U0&amp;row=351&amp;col=6&amp;number=3.7&amp;sourceID=14","3.7")</f>
        <v>3.7</v>
      </c>
      <c r="G351" s="4" t="str">
        <f>HYPERLINK("http://141.218.60.56/~jnz1568/getInfo.php?workbook=14_02.xlsx&amp;sheet=U0&amp;row=351&amp;col=7&amp;number=0.000178&amp;sourceID=14","0.000178")</f>
        <v>0.000178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HYPERLINK("http://141.218.60.56/~jnz1568/getInfo.php?workbook=14_02.xlsx&amp;sheet=U0&amp;row=352&amp;col=6&amp;number=3.8&amp;sourceID=14","3.8")</f>
        <v>3.8</v>
      </c>
      <c r="G352" s="4" t="str">
        <f>HYPERLINK("http://141.218.60.56/~jnz1568/getInfo.php?workbook=14_02.xlsx&amp;sheet=U0&amp;row=352&amp;col=7&amp;number=0.000178&amp;sourceID=14","0.000178")</f>
        <v>0.000178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HYPERLINK("http://141.218.60.56/~jnz1568/getInfo.php?workbook=14_02.xlsx&amp;sheet=U0&amp;row=353&amp;col=6&amp;number=3.9&amp;sourceID=14","3.9")</f>
        <v>3.9</v>
      </c>
      <c r="G353" s="4" t="str">
        <f>HYPERLINK("http://141.218.60.56/~jnz1568/getInfo.php?workbook=14_02.xlsx&amp;sheet=U0&amp;row=353&amp;col=7&amp;number=0.000178&amp;sourceID=14","0.000178")</f>
        <v>0.000178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HYPERLINK("http://141.218.60.56/~jnz1568/getInfo.php?workbook=14_02.xlsx&amp;sheet=U0&amp;row=354&amp;col=6&amp;number=4&amp;sourceID=14","4")</f>
        <v>4</v>
      </c>
      <c r="G354" s="4" t="str">
        <f>HYPERLINK("http://141.218.60.56/~jnz1568/getInfo.php?workbook=14_02.xlsx&amp;sheet=U0&amp;row=354&amp;col=7&amp;number=0.000178&amp;sourceID=14","0.000178")</f>
        <v>0.000178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HYPERLINK("http://141.218.60.56/~jnz1568/getInfo.php?workbook=14_02.xlsx&amp;sheet=U0&amp;row=355&amp;col=6&amp;number=4.1&amp;sourceID=14","4.1")</f>
        <v>4.1</v>
      </c>
      <c r="G355" s="4" t="str">
        <f>HYPERLINK("http://141.218.60.56/~jnz1568/getInfo.php?workbook=14_02.xlsx&amp;sheet=U0&amp;row=355&amp;col=7&amp;number=0.000178&amp;sourceID=14","0.000178")</f>
        <v>0.000178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HYPERLINK("http://141.218.60.56/~jnz1568/getInfo.php?workbook=14_02.xlsx&amp;sheet=U0&amp;row=356&amp;col=6&amp;number=4.2&amp;sourceID=14","4.2")</f>
        <v>4.2</v>
      </c>
      <c r="G356" s="4" t="str">
        <f>HYPERLINK("http://141.218.60.56/~jnz1568/getInfo.php?workbook=14_02.xlsx&amp;sheet=U0&amp;row=356&amp;col=7&amp;number=0.000178&amp;sourceID=14","0.000178")</f>
        <v>0.000178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HYPERLINK("http://141.218.60.56/~jnz1568/getInfo.php?workbook=14_02.xlsx&amp;sheet=U0&amp;row=357&amp;col=6&amp;number=4.3&amp;sourceID=14","4.3")</f>
        <v>4.3</v>
      </c>
      <c r="G357" s="4" t="str">
        <f>HYPERLINK("http://141.218.60.56/~jnz1568/getInfo.php?workbook=14_02.xlsx&amp;sheet=U0&amp;row=357&amp;col=7&amp;number=0.000178&amp;sourceID=14","0.000178")</f>
        <v>0.000178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HYPERLINK("http://141.218.60.56/~jnz1568/getInfo.php?workbook=14_02.xlsx&amp;sheet=U0&amp;row=358&amp;col=6&amp;number=4.4&amp;sourceID=14","4.4")</f>
        <v>4.4</v>
      </c>
      <c r="G358" s="4" t="str">
        <f>HYPERLINK("http://141.218.60.56/~jnz1568/getInfo.php?workbook=14_02.xlsx&amp;sheet=U0&amp;row=358&amp;col=7&amp;number=0.000178&amp;sourceID=14","0.000178")</f>
        <v>0.000178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HYPERLINK("http://141.218.60.56/~jnz1568/getInfo.php?workbook=14_02.xlsx&amp;sheet=U0&amp;row=359&amp;col=6&amp;number=4.5&amp;sourceID=14","4.5")</f>
        <v>4.5</v>
      </c>
      <c r="G359" s="4" t="str">
        <f>HYPERLINK("http://141.218.60.56/~jnz1568/getInfo.php?workbook=14_02.xlsx&amp;sheet=U0&amp;row=359&amp;col=7&amp;number=0.000178&amp;sourceID=14","0.000178")</f>
        <v>0.000178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HYPERLINK("http://141.218.60.56/~jnz1568/getInfo.php?workbook=14_02.xlsx&amp;sheet=U0&amp;row=360&amp;col=6&amp;number=4.6&amp;sourceID=14","4.6")</f>
        <v>4.6</v>
      </c>
      <c r="G360" s="4" t="str">
        <f>HYPERLINK("http://141.218.60.56/~jnz1568/getInfo.php?workbook=14_02.xlsx&amp;sheet=U0&amp;row=360&amp;col=7&amp;number=0.000178&amp;sourceID=14","0.000178")</f>
        <v>0.000178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HYPERLINK("http://141.218.60.56/~jnz1568/getInfo.php?workbook=14_02.xlsx&amp;sheet=U0&amp;row=361&amp;col=6&amp;number=4.7&amp;sourceID=14","4.7")</f>
        <v>4.7</v>
      </c>
      <c r="G361" s="4" t="str">
        <f>HYPERLINK("http://141.218.60.56/~jnz1568/getInfo.php?workbook=14_02.xlsx&amp;sheet=U0&amp;row=361&amp;col=7&amp;number=0.000178&amp;sourceID=14","0.000178")</f>
        <v>0.000178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HYPERLINK("http://141.218.60.56/~jnz1568/getInfo.php?workbook=14_02.xlsx&amp;sheet=U0&amp;row=362&amp;col=6&amp;number=4.8&amp;sourceID=14","4.8")</f>
        <v>4.8</v>
      </c>
      <c r="G362" s="4" t="str">
        <f>HYPERLINK("http://141.218.60.56/~jnz1568/getInfo.php?workbook=14_02.xlsx&amp;sheet=U0&amp;row=362&amp;col=7&amp;number=0.000178&amp;sourceID=14","0.000178")</f>
        <v>0.000178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HYPERLINK("http://141.218.60.56/~jnz1568/getInfo.php?workbook=14_02.xlsx&amp;sheet=U0&amp;row=363&amp;col=6&amp;number=4.9&amp;sourceID=14","4.9")</f>
        <v>4.9</v>
      </c>
      <c r="G363" s="4" t="str">
        <f>HYPERLINK("http://141.218.60.56/~jnz1568/getInfo.php?workbook=14_02.xlsx&amp;sheet=U0&amp;row=363&amp;col=7&amp;number=0.000178&amp;sourceID=14","0.000178")</f>
        <v>0.000178</v>
      </c>
    </row>
    <row r="364" spans="1:7">
      <c r="A364" s="3">
        <v>14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HYPERLINK("http://141.218.60.56/~jnz1568/getInfo.php?workbook=14_02.xlsx&amp;sheet=U0&amp;row=364&amp;col=6&amp;number=3&amp;sourceID=14","3")</f>
        <v>3</v>
      </c>
      <c r="G364" s="4" t="str">
        <f>HYPERLINK("http://141.218.60.56/~jnz1568/getInfo.php?workbook=14_02.xlsx&amp;sheet=U0&amp;row=364&amp;col=7&amp;number=8.36e-05&amp;sourceID=14","8.36e-05")</f>
        <v>8.36e-05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HYPERLINK("http://141.218.60.56/~jnz1568/getInfo.php?workbook=14_02.xlsx&amp;sheet=U0&amp;row=365&amp;col=6&amp;number=3.1&amp;sourceID=14","3.1")</f>
        <v>3.1</v>
      </c>
      <c r="G365" s="4" t="str">
        <f>HYPERLINK("http://141.218.60.56/~jnz1568/getInfo.php?workbook=14_02.xlsx&amp;sheet=U0&amp;row=365&amp;col=7&amp;number=8.36e-05&amp;sourceID=14","8.36e-05")</f>
        <v>8.36e-05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HYPERLINK("http://141.218.60.56/~jnz1568/getInfo.php?workbook=14_02.xlsx&amp;sheet=U0&amp;row=366&amp;col=6&amp;number=3.2&amp;sourceID=14","3.2")</f>
        <v>3.2</v>
      </c>
      <c r="G366" s="4" t="str">
        <f>HYPERLINK("http://141.218.60.56/~jnz1568/getInfo.php?workbook=14_02.xlsx&amp;sheet=U0&amp;row=366&amp;col=7&amp;number=8.36e-05&amp;sourceID=14","8.36e-05")</f>
        <v>8.36e-05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HYPERLINK("http://141.218.60.56/~jnz1568/getInfo.php?workbook=14_02.xlsx&amp;sheet=U0&amp;row=367&amp;col=6&amp;number=3.3&amp;sourceID=14","3.3")</f>
        <v>3.3</v>
      </c>
      <c r="G367" s="4" t="str">
        <f>HYPERLINK("http://141.218.60.56/~jnz1568/getInfo.php?workbook=14_02.xlsx&amp;sheet=U0&amp;row=367&amp;col=7&amp;number=8.36e-05&amp;sourceID=14","8.36e-05")</f>
        <v>8.36e-05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HYPERLINK("http://141.218.60.56/~jnz1568/getInfo.php?workbook=14_02.xlsx&amp;sheet=U0&amp;row=368&amp;col=6&amp;number=3.4&amp;sourceID=14","3.4")</f>
        <v>3.4</v>
      </c>
      <c r="G368" s="4" t="str">
        <f>HYPERLINK("http://141.218.60.56/~jnz1568/getInfo.php?workbook=14_02.xlsx&amp;sheet=U0&amp;row=368&amp;col=7&amp;number=8.36e-05&amp;sourceID=14","8.36e-05")</f>
        <v>8.36e-05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HYPERLINK("http://141.218.60.56/~jnz1568/getInfo.php?workbook=14_02.xlsx&amp;sheet=U0&amp;row=369&amp;col=6&amp;number=3.5&amp;sourceID=14","3.5")</f>
        <v>3.5</v>
      </c>
      <c r="G369" s="4" t="str">
        <f>HYPERLINK("http://141.218.60.56/~jnz1568/getInfo.php?workbook=14_02.xlsx&amp;sheet=U0&amp;row=369&amp;col=7&amp;number=8.36e-05&amp;sourceID=14","8.36e-05")</f>
        <v>8.36e-05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HYPERLINK("http://141.218.60.56/~jnz1568/getInfo.php?workbook=14_02.xlsx&amp;sheet=U0&amp;row=370&amp;col=6&amp;number=3.6&amp;sourceID=14","3.6")</f>
        <v>3.6</v>
      </c>
      <c r="G370" s="4" t="str">
        <f>HYPERLINK("http://141.218.60.56/~jnz1568/getInfo.php?workbook=14_02.xlsx&amp;sheet=U0&amp;row=370&amp;col=7&amp;number=8.36e-05&amp;sourceID=14","8.36e-05")</f>
        <v>8.36e-05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HYPERLINK("http://141.218.60.56/~jnz1568/getInfo.php?workbook=14_02.xlsx&amp;sheet=U0&amp;row=371&amp;col=6&amp;number=3.7&amp;sourceID=14","3.7")</f>
        <v>3.7</v>
      </c>
      <c r="G371" s="4" t="str">
        <f>HYPERLINK("http://141.218.60.56/~jnz1568/getInfo.php?workbook=14_02.xlsx&amp;sheet=U0&amp;row=371&amp;col=7&amp;number=8.36e-05&amp;sourceID=14","8.36e-05")</f>
        <v>8.36e-05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HYPERLINK("http://141.218.60.56/~jnz1568/getInfo.php?workbook=14_02.xlsx&amp;sheet=U0&amp;row=372&amp;col=6&amp;number=3.8&amp;sourceID=14","3.8")</f>
        <v>3.8</v>
      </c>
      <c r="G372" s="4" t="str">
        <f>HYPERLINK("http://141.218.60.56/~jnz1568/getInfo.php?workbook=14_02.xlsx&amp;sheet=U0&amp;row=372&amp;col=7&amp;number=8.36e-05&amp;sourceID=14","8.36e-05")</f>
        <v>8.36e-05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HYPERLINK("http://141.218.60.56/~jnz1568/getInfo.php?workbook=14_02.xlsx&amp;sheet=U0&amp;row=373&amp;col=6&amp;number=3.9&amp;sourceID=14","3.9")</f>
        <v>3.9</v>
      </c>
      <c r="G373" s="4" t="str">
        <f>HYPERLINK("http://141.218.60.56/~jnz1568/getInfo.php?workbook=14_02.xlsx&amp;sheet=U0&amp;row=373&amp;col=7&amp;number=8.36e-05&amp;sourceID=14","8.36e-05")</f>
        <v>8.36e-05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HYPERLINK("http://141.218.60.56/~jnz1568/getInfo.php?workbook=14_02.xlsx&amp;sheet=U0&amp;row=374&amp;col=6&amp;number=4&amp;sourceID=14","4")</f>
        <v>4</v>
      </c>
      <c r="G374" s="4" t="str">
        <f>HYPERLINK("http://141.218.60.56/~jnz1568/getInfo.php?workbook=14_02.xlsx&amp;sheet=U0&amp;row=374&amp;col=7&amp;number=8.36e-05&amp;sourceID=14","8.36e-05")</f>
        <v>8.36e-05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HYPERLINK("http://141.218.60.56/~jnz1568/getInfo.php?workbook=14_02.xlsx&amp;sheet=U0&amp;row=375&amp;col=6&amp;number=4.1&amp;sourceID=14","4.1")</f>
        <v>4.1</v>
      </c>
      <c r="G375" s="4" t="str">
        <f>HYPERLINK("http://141.218.60.56/~jnz1568/getInfo.php?workbook=14_02.xlsx&amp;sheet=U0&amp;row=375&amp;col=7&amp;number=8.36e-05&amp;sourceID=14","8.36e-05")</f>
        <v>8.36e-05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HYPERLINK("http://141.218.60.56/~jnz1568/getInfo.php?workbook=14_02.xlsx&amp;sheet=U0&amp;row=376&amp;col=6&amp;number=4.2&amp;sourceID=14","4.2")</f>
        <v>4.2</v>
      </c>
      <c r="G376" s="4" t="str">
        <f>HYPERLINK("http://141.218.60.56/~jnz1568/getInfo.php?workbook=14_02.xlsx&amp;sheet=U0&amp;row=376&amp;col=7&amp;number=8.36e-05&amp;sourceID=14","8.36e-05")</f>
        <v>8.36e-05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HYPERLINK("http://141.218.60.56/~jnz1568/getInfo.php?workbook=14_02.xlsx&amp;sheet=U0&amp;row=377&amp;col=6&amp;number=4.3&amp;sourceID=14","4.3")</f>
        <v>4.3</v>
      </c>
      <c r="G377" s="4" t="str">
        <f>HYPERLINK("http://141.218.60.56/~jnz1568/getInfo.php?workbook=14_02.xlsx&amp;sheet=U0&amp;row=377&amp;col=7&amp;number=8.36e-05&amp;sourceID=14","8.36e-05")</f>
        <v>8.36e-05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HYPERLINK("http://141.218.60.56/~jnz1568/getInfo.php?workbook=14_02.xlsx&amp;sheet=U0&amp;row=378&amp;col=6&amp;number=4.4&amp;sourceID=14","4.4")</f>
        <v>4.4</v>
      </c>
      <c r="G378" s="4" t="str">
        <f>HYPERLINK("http://141.218.60.56/~jnz1568/getInfo.php?workbook=14_02.xlsx&amp;sheet=U0&amp;row=378&amp;col=7&amp;number=8.35e-05&amp;sourceID=14","8.35e-05")</f>
        <v>8.35e-05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HYPERLINK("http://141.218.60.56/~jnz1568/getInfo.php?workbook=14_02.xlsx&amp;sheet=U0&amp;row=379&amp;col=6&amp;number=4.5&amp;sourceID=14","4.5")</f>
        <v>4.5</v>
      </c>
      <c r="G379" s="4" t="str">
        <f>HYPERLINK("http://141.218.60.56/~jnz1568/getInfo.php?workbook=14_02.xlsx&amp;sheet=U0&amp;row=379&amp;col=7&amp;number=8.35e-05&amp;sourceID=14","8.35e-05")</f>
        <v>8.35e-05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HYPERLINK("http://141.218.60.56/~jnz1568/getInfo.php?workbook=14_02.xlsx&amp;sheet=U0&amp;row=380&amp;col=6&amp;number=4.6&amp;sourceID=14","4.6")</f>
        <v>4.6</v>
      </c>
      <c r="G380" s="4" t="str">
        <f>HYPERLINK("http://141.218.60.56/~jnz1568/getInfo.php?workbook=14_02.xlsx&amp;sheet=U0&amp;row=380&amp;col=7&amp;number=8.35e-05&amp;sourceID=14","8.35e-05")</f>
        <v>8.35e-05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HYPERLINK("http://141.218.60.56/~jnz1568/getInfo.php?workbook=14_02.xlsx&amp;sheet=U0&amp;row=381&amp;col=6&amp;number=4.7&amp;sourceID=14","4.7")</f>
        <v>4.7</v>
      </c>
      <c r="G381" s="4" t="str">
        <f>HYPERLINK("http://141.218.60.56/~jnz1568/getInfo.php?workbook=14_02.xlsx&amp;sheet=U0&amp;row=381&amp;col=7&amp;number=8.34e-05&amp;sourceID=14","8.34e-05")</f>
        <v>8.34e-05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HYPERLINK("http://141.218.60.56/~jnz1568/getInfo.php?workbook=14_02.xlsx&amp;sheet=U0&amp;row=382&amp;col=6&amp;number=4.8&amp;sourceID=14","4.8")</f>
        <v>4.8</v>
      </c>
      <c r="G382" s="4" t="str">
        <f>HYPERLINK("http://141.218.60.56/~jnz1568/getInfo.php?workbook=14_02.xlsx&amp;sheet=U0&amp;row=382&amp;col=7&amp;number=8.34e-05&amp;sourceID=14","8.34e-05")</f>
        <v>8.34e-05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HYPERLINK("http://141.218.60.56/~jnz1568/getInfo.php?workbook=14_02.xlsx&amp;sheet=U0&amp;row=383&amp;col=6&amp;number=4.9&amp;sourceID=14","4.9")</f>
        <v>4.9</v>
      </c>
      <c r="G383" s="4" t="str">
        <f>HYPERLINK("http://141.218.60.56/~jnz1568/getInfo.php?workbook=14_02.xlsx&amp;sheet=U0&amp;row=383&amp;col=7&amp;number=8.33e-05&amp;sourceID=14","8.33e-05")</f>
        <v>8.33e-05</v>
      </c>
    </row>
    <row r="384" spans="1:7">
      <c r="A384" s="3">
        <v>14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HYPERLINK("http://141.218.60.56/~jnz1568/getInfo.php?workbook=14_02.xlsx&amp;sheet=U0&amp;row=384&amp;col=6&amp;number=3&amp;sourceID=14","3")</f>
        <v>3</v>
      </c>
      <c r="G384" s="4" t="str">
        <f>HYPERLINK("http://141.218.60.56/~jnz1568/getInfo.php?workbook=14_02.xlsx&amp;sheet=U0&amp;row=384&amp;col=7&amp;number=0.000253&amp;sourceID=14","0.000253")</f>
        <v>0.000253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HYPERLINK("http://141.218.60.56/~jnz1568/getInfo.php?workbook=14_02.xlsx&amp;sheet=U0&amp;row=385&amp;col=6&amp;number=3.1&amp;sourceID=14","3.1")</f>
        <v>3.1</v>
      </c>
      <c r="G385" s="4" t="str">
        <f>HYPERLINK("http://141.218.60.56/~jnz1568/getInfo.php?workbook=14_02.xlsx&amp;sheet=U0&amp;row=385&amp;col=7&amp;number=0.000253&amp;sourceID=14","0.000253")</f>
        <v>0.000253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HYPERLINK("http://141.218.60.56/~jnz1568/getInfo.php?workbook=14_02.xlsx&amp;sheet=U0&amp;row=386&amp;col=6&amp;number=3.2&amp;sourceID=14","3.2")</f>
        <v>3.2</v>
      </c>
      <c r="G386" s="4" t="str">
        <f>HYPERLINK("http://141.218.60.56/~jnz1568/getInfo.php?workbook=14_02.xlsx&amp;sheet=U0&amp;row=386&amp;col=7&amp;number=0.000253&amp;sourceID=14","0.000253")</f>
        <v>0.000253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HYPERLINK("http://141.218.60.56/~jnz1568/getInfo.php?workbook=14_02.xlsx&amp;sheet=U0&amp;row=387&amp;col=6&amp;number=3.3&amp;sourceID=14","3.3")</f>
        <v>3.3</v>
      </c>
      <c r="G387" s="4" t="str">
        <f>HYPERLINK("http://141.218.60.56/~jnz1568/getInfo.php?workbook=14_02.xlsx&amp;sheet=U0&amp;row=387&amp;col=7&amp;number=0.000253&amp;sourceID=14","0.000253")</f>
        <v>0.000253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HYPERLINK("http://141.218.60.56/~jnz1568/getInfo.php?workbook=14_02.xlsx&amp;sheet=U0&amp;row=388&amp;col=6&amp;number=3.4&amp;sourceID=14","3.4")</f>
        <v>3.4</v>
      </c>
      <c r="G388" s="4" t="str">
        <f>HYPERLINK("http://141.218.60.56/~jnz1568/getInfo.php?workbook=14_02.xlsx&amp;sheet=U0&amp;row=388&amp;col=7&amp;number=0.000253&amp;sourceID=14","0.000253")</f>
        <v>0.000253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HYPERLINK("http://141.218.60.56/~jnz1568/getInfo.php?workbook=14_02.xlsx&amp;sheet=U0&amp;row=389&amp;col=6&amp;number=3.5&amp;sourceID=14","3.5")</f>
        <v>3.5</v>
      </c>
      <c r="G389" s="4" t="str">
        <f>HYPERLINK("http://141.218.60.56/~jnz1568/getInfo.php?workbook=14_02.xlsx&amp;sheet=U0&amp;row=389&amp;col=7&amp;number=0.000253&amp;sourceID=14","0.000253")</f>
        <v>0.000253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HYPERLINK("http://141.218.60.56/~jnz1568/getInfo.php?workbook=14_02.xlsx&amp;sheet=U0&amp;row=390&amp;col=6&amp;number=3.6&amp;sourceID=14","3.6")</f>
        <v>3.6</v>
      </c>
      <c r="G390" s="4" t="str">
        <f>HYPERLINK("http://141.218.60.56/~jnz1568/getInfo.php?workbook=14_02.xlsx&amp;sheet=U0&amp;row=390&amp;col=7&amp;number=0.000253&amp;sourceID=14","0.000253")</f>
        <v>0.000253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HYPERLINK("http://141.218.60.56/~jnz1568/getInfo.php?workbook=14_02.xlsx&amp;sheet=U0&amp;row=391&amp;col=6&amp;number=3.7&amp;sourceID=14","3.7")</f>
        <v>3.7</v>
      </c>
      <c r="G391" s="4" t="str">
        <f>HYPERLINK("http://141.218.60.56/~jnz1568/getInfo.php?workbook=14_02.xlsx&amp;sheet=U0&amp;row=391&amp;col=7&amp;number=0.000253&amp;sourceID=14","0.000253")</f>
        <v>0.000253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HYPERLINK("http://141.218.60.56/~jnz1568/getInfo.php?workbook=14_02.xlsx&amp;sheet=U0&amp;row=392&amp;col=6&amp;number=3.8&amp;sourceID=14","3.8")</f>
        <v>3.8</v>
      </c>
      <c r="G392" s="4" t="str">
        <f>HYPERLINK("http://141.218.60.56/~jnz1568/getInfo.php?workbook=14_02.xlsx&amp;sheet=U0&amp;row=392&amp;col=7&amp;number=0.000253&amp;sourceID=14","0.000253")</f>
        <v>0.000253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HYPERLINK("http://141.218.60.56/~jnz1568/getInfo.php?workbook=14_02.xlsx&amp;sheet=U0&amp;row=393&amp;col=6&amp;number=3.9&amp;sourceID=14","3.9")</f>
        <v>3.9</v>
      </c>
      <c r="G393" s="4" t="str">
        <f>HYPERLINK("http://141.218.60.56/~jnz1568/getInfo.php?workbook=14_02.xlsx&amp;sheet=U0&amp;row=393&amp;col=7&amp;number=0.000252&amp;sourceID=14","0.000252")</f>
        <v>0.000252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HYPERLINK("http://141.218.60.56/~jnz1568/getInfo.php?workbook=14_02.xlsx&amp;sheet=U0&amp;row=394&amp;col=6&amp;number=4&amp;sourceID=14","4")</f>
        <v>4</v>
      </c>
      <c r="G394" s="4" t="str">
        <f>HYPERLINK("http://141.218.60.56/~jnz1568/getInfo.php?workbook=14_02.xlsx&amp;sheet=U0&amp;row=394&amp;col=7&amp;number=0.000252&amp;sourceID=14","0.000252")</f>
        <v>0.000252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HYPERLINK("http://141.218.60.56/~jnz1568/getInfo.php?workbook=14_02.xlsx&amp;sheet=U0&amp;row=395&amp;col=6&amp;number=4.1&amp;sourceID=14","4.1")</f>
        <v>4.1</v>
      </c>
      <c r="G395" s="4" t="str">
        <f>HYPERLINK("http://141.218.60.56/~jnz1568/getInfo.php?workbook=14_02.xlsx&amp;sheet=U0&amp;row=395&amp;col=7&amp;number=0.000252&amp;sourceID=14","0.000252")</f>
        <v>0.000252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HYPERLINK("http://141.218.60.56/~jnz1568/getInfo.php?workbook=14_02.xlsx&amp;sheet=U0&amp;row=396&amp;col=6&amp;number=4.2&amp;sourceID=14","4.2")</f>
        <v>4.2</v>
      </c>
      <c r="G396" s="4" t="str">
        <f>HYPERLINK("http://141.218.60.56/~jnz1568/getInfo.php?workbook=14_02.xlsx&amp;sheet=U0&amp;row=396&amp;col=7&amp;number=0.000252&amp;sourceID=14","0.000252")</f>
        <v>0.000252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HYPERLINK("http://141.218.60.56/~jnz1568/getInfo.php?workbook=14_02.xlsx&amp;sheet=U0&amp;row=397&amp;col=6&amp;number=4.3&amp;sourceID=14","4.3")</f>
        <v>4.3</v>
      </c>
      <c r="G397" s="4" t="str">
        <f>HYPERLINK("http://141.218.60.56/~jnz1568/getInfo.php?workbook=14_02.xlsx&amp;sheet=U0&amp;row=397&amp;col=7&amp;number=0.000252&amp;sourceID=14","0.000252")</f>
        <v>0.000252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HYPERLINK("http://141.218.60.56/~jnz1568/getInfo.php?workbook=14_02.xlsx&amp;sheet=U0&amp;row=398&amp;col=6&amp;number=4.4&amp;sourceID=14","4.4")</f>
        <v>4.4</v>
      </c>
      <c r="G398" s="4" t="str">
        <f>HYPERLINK("http://141.218.60.56/~jnz1568/getInfo.php?workbook=14_02.xlsx&amp;sheet=U0&amp;row=398&amp;col=7&amp;number=0.000252&amp;sourceID=14","0.000252")</f>
        <v>0.000252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HYPERLINK("http://141.218.60.56/~jnz1568/getInfo.php?workbook=14_02.xlsx&amp;sheet=U0&amp;row=399&amp;col=6&amp;number=4.5&amp;sourceID=14","4.5")</f>
        <v>4.5</v>
      </c>
      <c r="G399" s="4" t="str">
        <f>HYPERLINK("http://141.218.60.56/~jnz1568/getInfo.php?workbook=14_02.xlsx&amp;sheet=U0&amp;row=399&amp;col=7&amp;number=0.000252&amp;sourceID=14","0.000252")</f>
        <v>0.000252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HYPERLINK("http://141.218.60.56/~jnz1568/getInfo.php?workbook=14_02.xlsx&amp;sheet=U0&amp;row=400&amp;col=6&amp;number=4.6&amp;sourceID=14","4.6")</f>
        <v>4.6</v>
      </c>
      <c r="G400" s="4" t="str">
        <f>HYPERLINK("http://141.218.60.56/~jnz1568/getInfo.php?workbook=14_02.xlsx&amp;sheet=U0&amp;row=400&amp;col=7&amp;number=0.000252&amp;sourceID=14","0.000252")</f>
        <v>0.000252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HYPERLINK("http://141.218.60.56/~jnz1568/getInfo.php?workbook=14_02.xlsx&amp;sheet=U0&amp;row=401&amp;col=6&amp;number=4.7&amp;sourceID=14","4.7")</f>
        <v>4.7</v>
      </c>
      <c r="G401" s="4" t="str">
        <f>HYPERLINK("http://141.218.60.56/~jnz1568/getInfo.php?workbook=14_02.xlsx&amp;sheet=U0&amp;row=401&amp;col=7&amp;number=0.000252&amp;sourceID=14","0.000252")</f>
        <v>0.000252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HYPERLINK("http://141.218.60.56/~jnz1568/getInfo.php?workbook=14_02.xlsx&amp;sheet=U0&amp;row=402&amp;col=6&amp;number=4.8&amp;sourceID=14","4.8")</f>
        <v>4.8</v>
      </c>
      <c r="G402" s="4" t="str">
        <f>HYPERLINK("http://141.218.60.56/~jnz1568/getInfo.php?workbook=14_02.xlsx&amp;sheet=U0&amp;row=402&amp;col=7&amp;number=0.000252&amp;sourceID=14","0.000252")</f>
        <v>0.000252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HYPERLINK("http://141.218.60.56/~jnz1568/getInfo.php?workbook=14_02.xlsx&amp;sheet=U0&amp;row=403&amp;col=6&amp;number=4.9&amp;sourceID=14","4.9")</f>
        <v>4.9</v>
      </c>
      <c r="G403" s="4" t="str">
        <f>HYPERLINK("http://141.218.60.56/~jnz1568/getInfo.php?workbook=14_02.xlsx&amp;sheet=U0&amp;row=403&amp;col=7&amp;number=0.000252&amp;sourceID=14","0.000252")</f>
        <v>0.000252</v>
      </c>
    </row>
    <row r="404" spans="1:7">
      <c r="A404" s="3">
        <v>14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HYPERLINK("http://141.218.60.56/~jnz1568/getInfo.php?workbook=14_02.xlsx&amp;sheet=U0&amp;row=404&amp;col=6&amp;number=3&amp;sourceID=14","3")</f>
        <v>3</v>
      </c>
      <c r="G404" s="4" t="str">
        <f>HYPERLINK("http://141.218.60.56/~jnz1568/getInfo.php?workbook=14_02.xlsx&amp;sheet=U0&amp;row=404&amp;col=7&amp;number=0.000586&amp;sourceID=14","0.000586")</f>
        <v>0.000586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HYPERLINK("http://141.218.60.56/~jnz1568/getInfo.php?workbook=14_02.xlsx&amp;sheet=U0&amp;row=405&amp;col=6&amp;number=3.1&amp;sourceID=14","3.1")</f>
        <v>3.1</v>
      </c>
      <c r="G405" s="4" t="str">
        <f>HYPERLINK("http://141.218.60.56/~jnz1568/getInfo.php?workbook=14_02.xlsx&amp;sheet=U0&amp;row=405&amp;col=7&amp;number=0.000586&amp;sourceID=14","0.000586")</f>
        <v>0.000586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HYPERLINK("http://141.218.60.56/~jnz1568/getInfo.php?workbook=14_02.xlsx&amp;sheet=U0&amp;row=406&amp;col=6&amp;number=3.2&amp;sourceID=14","3.2")</f>
        <v>3.2</v>
      </c>
      <c r="G406" s="4" t="str">
        <f>HYPERLINK("http://141.218.60.56/~jnz1568/getInfo.php?workbook=14_02.xlsx&amp;sheet=U0&amp;row=406&amp;col=7&amp;number=0.000586&amp;sourceID=14","0.000586")</f>
        <v>0.000586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HYPERLINK("http://141.218.60.56/~jnz1568/getInfo.php?workbook=14_02.xlsx&amp;sheet=U0&amp;row=407&amp;col=6&amp;number=3.3&amp;sourceID=14","3.3")</f>
        <v>3.3</v>
      </c>
      <c r="G407" s="4" t="str">
        <f>HYPERLINK("http://141.218.60.56/~jnz1568/getInfo.php?workbook=14_02.xlsx&amp;sheet=U0&amp;row=407&amp;col=7&amp;number=0.000586&amp;sourceID=14","0.000586")</f>
        <v>0.000586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HYPERLINK("http://141.218.60.56/~jnz1568/getInfo.php?workbook=14_02.xlsx&amp;sheet=U0&amp;row=408&amp;col=6&amp;number=3.4&amp;sourceID=14","3.4")</f>
        <v>3.4</v>
      </c>
      <c r="G408" s="4" t="str">
        <f>HYPERLINK("http://141.218.60.56/~jnz1568/getInfo.php?workbook=14_02.xlsx&amp;sheet=U0&amp;row=408&amp;col=7&amp;number=0.000586&amp;sourceID=14","0.000586")</f>
        <v>0.000586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HYPERLINK("http://141.218.60.56/~jnz1568/getInfo.php?workbook=14_02.xlsx&amp;sheet=U0&amp;row=409&amp;col=6&amp;number=3.5&amp;sourceID=14","3.5")</f>
        <v>3.5</v>
      </c>
      <c r="G409" s="4" t="str">
        <f>HYPERLINK("http://141.218.60.56/~jnz1568/getInfo.php?workbook=14_02.xlsx&amp;sheet=U0&amp;row=409&amp;col=7&amp;number=0.000586&amp;sourceID=14","0.000586")</f>
        <v>0.000586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HYPERLINK("http://141.218.60.56/~jnz1568/getInfo.php?workbook=14_02.xlsx&amp;sheet=U0&amp;row=410&amp;col=6&amp;number=3.6&amp;sourceID=14","3.6")</f>
        <v>3.6</v>
      </c>
      <c r="G410" s="4" t="str">
        <f>HYPERLINK("http://141.218.60.56/~jnz1568/getInfo.php?workbook=14_02.xlsx&amp;sheet=U0&amp;row=410&amp;col=7&amp;number=0.000586&amp;sourceID=14","0.000586")</f>
        <v>0.000586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HYPERLINK("http://141.218.60.56/~jnz1568/getInfo.php?workbook=14_02.xlsx&amp;sheet=U0&amp;row=411&amp;col=6&amp;number=3.7&amp;sourceID=14","3.7")</f>
        <v>3.7</v>
      </c>
      <c r="G411" s="4" t="str">
        <f>HYPERLINK("http://141.218.60.56/~jnz1568/getInfo.php?workbook=14_02.xlsx&amp;sheet=U0&amp;row=411&amp;col=7&amp;number=0.000586&amp;sourceID=14","0.000586")</f>
        <v>0.000586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HYPERLINK("http://141.218.60.56/~jnz1568/getInfo.php?workbook=14_02.xlsx&amp;sheet=U0&amp;row=412&amp;col=6&amp;number=3.8&amp;sourceID=14","3.8")</f>
        <v>3.8</v>
      </c>
      <c r="G412" s="4" t="str">
        <f>HYPERLINK("http://141.218.60.56/~jnz1568/getInfo.php?workbook=14_02.xlsx&amp;sheet=U0&amp;row=412&amp;col=7&amp;number=0.000586&amp;sourceID=14","0.000586")</f>
        <v>0.000586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HYPERLINK("http://141.218.60.56/~jnz1568/getInfo.php?workbook=14_02.xlsx&amp;sheet=U0&amp;row=413&amp;col=6&amp;number=3.9&amp;sourceID=14","3.9")</f>
        <v>3.9</v>
      </c>
      <c r="G413" s="4" t="str">
        <f>HYPERLINK("http://141.218.60.56/~jnz1568/getInfo.php?workbook=14_02.xlsx&amp;sheet=U0&amp;row=413&amp;col=7&amp;number=0.000585&amp;sourceID=14","0.000585")</f>
        <v>0.000585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HYPERLINK("http://141.218.60.56/~jnz1568/getInfo.php?workbook=14_02.xlsx&amp;sheet=U0&amp;row=414&amp;col=6&amp;number=4&amp;sourceID=14","4")</f>
        <v>4</v>
      </c>
      <c r="G414" s="4" t="str">
        <f>HYPERLINK("http://141.218.60.56/~jnz1568/getInfo.php?workbook=14_02.xlsx&amp;sheet=U0&amp;row=414&amp;col=7&amp;number=0.000585&amp;sourceID=14","0.000585")</f>
        <v>0.000585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HYPERLINK("http://141.218.60.56/~jnz1568/getInfo.php?workbook=14_02.xlsx&amp;sheet=U0&amp;row=415&amp;col=6&amp;number=4.1&amp;sourceID=14","4.1")</f>
        <v>4.1</v>
      </c>
      <c r="G415" s="4" t="str">
        <f>HYPERLINK("http://141.218.60.56/~jnz1568/getInfo.php?workbook=14_02.xlsx&amp;sheet=U0&amp;row=415&amp;col=7&amp;number=0.000585&amp;sourceID=14","0.000585")</f>
        <v>0.000585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HYPERLINK("http://141.218.60.56/~jnz1568/getInfo.php?workbook=14_02.xlsx&amp;sheet=U0&amp;row=416&amp;col=6&amp;number=4.2&amp;sourceID=14","4.2")</f>
        <v>4.2</v>
      </c>
      <c r="G416" s="4" t="str">
        <f>HYPERLINK("http://141.218.60.56/~jnz1568/getInfo.php?workbook=14_02.xlsx&amp;sheet=U0&amp;row=416&amp;col=7&amp;number=0.000585&amp;sourceID=14","0.000585")</f>
        <v>0.000585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HYPERLINK("http://141.218.60.56/~jnz1568/getInfo.php?workbook=14_02.xlsx&amp;sheet=U0&amp;row=417&amp;col=6&amp;number=4.3&amp;sourceID=14","4.3")</f>
        <v>4.3</v>
      </c>
      <c r="G417" s="4" t="str">
        <f>HYPERLINK("http://141.218.60.56/~jnz1568/getInfo.php?workbook=14_02.xlsx&amp;sheet=U0&amp;row=417&amp;col=7&amp;number=0.000585&amp;sourceID=14","0.000585")</f>
        <v>0.000585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HYPERLINK("http://141.218.60.56/~jnz1568/getInfo.php?workbook=14_02.xlsx&amp;sheet=U0&amp;row=418&amp;col=6&amp;number=4.4&amp;sourceID=14","4.4")</f>
        <v>4.4</v>
      </c>
      <c r="G418" s="4" t="str">
        <f>HYPERLINK("http://141.218.60.56/~jnz1568/getInfo.php?workbook=14_02.xlsx&amp;sheet=U0&amp;row=418&amp;col=7&amp;number=0.000585&amp;sourceID=14","0.000585")</f>
        <v>0.000585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HYPERLINK("http://141.218.60.56/~jnz1568/getInfo.php?workbook=14_02.xlsx&amp;sheet=U0&amp;row=419&amp;col=6&amp;number=4.5&amp;sourceID=14","4.5")</f>
        <v>4.5</v>
      </c>
      <c r="G419" s="4" t="str">
        <f>HYPERLINK("http://141.218.60.56/~jnz1568/getInfo.php?workbook=14_02.xlsx&amp;sheet=U0&amp;row=419&amp;col=7&amp;number=0.000585&amp;sourceID=14","0.000585")</f>
        <v>0.000585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HYPERLINK("http://141.218.60.56/~jnz1568/getInfo.php?workbook=14_02.xlsx&amp;sheet=U0&amp;row=420&amp;col=6&amp;number=4.6&amp;sourceID=14","4.6")</f>
        <v>4.6</v>
      </c>
      <c r="G420" s="4" t="str">
        <f>HYPERLINK("http://141.218.60.56/~jnz1568/getInfo.php?workbook=14_02.xlsx&amp;sheet=U0&amp;row=420&amp;col=7&amp;number=0.000585&amp;sourceID=14","0.000585")</f>
        <v>0.000585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HYPERLINK("http://141.218.60.56/~jnz1568/getInfo.php?workbook=14_02.xlsx&amp;sheet=U0&amp;row=421&amp;col=6&amp;number=4.7&amp;sourceID=14","4.7")</f>
        <v>4.7</v>
      </c>
      <c r="G421" s="4" t="str">
        <f>HYPERLINK("http://141.218.60.56/~jnz1568/getInfo.php?workbook=14_02.xlsx&amp;sheet=U0&amp;row=421&amp;col=7&amp;number=0.000584&amp;sourceID=14","0.000584")</f>
        <v>0.000584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HYPERLINK("http://141.218.60.56/~jnz1568/getInfo.php?workbook=14_02.xlsx&amp;sheet=U0&amp;row=422&amp;col=6&amp;number=4.8&amp;sourceID=14","4.8")</f>
        <v>4.8</v>
      </c>
      <c r="G422" s="4" t="str">
        <f>HYPERLINK("http://141.218.60.56/~jnz1568/getInfo.php?workbook=14_02.xlsx&amp;sheet=U0&amp;row=422&amp;col=7&amp;number=0.000584&amp;sourceID=14","0.000584")</f>
        <v>0.000584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HYPERLINK("http://141.218.60.56/~jnz1568/getInfo.php?workbook=14_02.xlsx&amp;sheet=U0&amp;row=423&amp;col=6&amp;number=4.9&amp;sourceID=14","4.9")</f>
        <v>4.9</v>
      </c>
      <c r="G423" s="4" t="str">
        <f>HYPERLINK("http://141.218.60.56/~jnz1568/getInfo.php?workbook=14_02.xlsx&amp;sheet=U0&amp;row=423&amp;col=7&amp;number=0.000583&amp;sourceID=14","0.000583")</f>
        <v>0.000583</v>
      </c>
    </row>
    <row r="424" spans="1:7">
      <c r="A424" s="3">
        <v>14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HYPERLINK("http://141.218.60.56/~jnz1568/getInfo.php?workbook=14_02.xlsx&amp;sheet=U0&amp;row=424&amp;col=6&amp;number=3&amp;sourceID=14","3")</f>
        <v>3</v>
      </c>
      <c r="G424" s="4" t="str">
        <f>HYPERLINK("http://141.218.60.56/~jnz1568/getInfo.php?workbook=14_02.xlsx&amp;sheet=U0&amp;row=424&amp;col=7&amp;number=0.000455&amp;sourceID=14","0.000455")</f>
        <v>0.000455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HYPERLINK("http://141.218.60.56/~jnz1568/getInfo.php?workbook=14_02.xlsx&amp;sheet=U0&amp;row=425&amp;col=6&amp;number=3.1&amp;sourceID=14","3.1")</f>
        <v>3.1</v>
      </c>
      <c r="G425" s="4" t="str">
        <f>HYPERLINK("http://141.218.60.56/~jnz1568/getInfo.php?workbook=14_02.xlsx&amp;sheet=U0&amp;row=425&amp;col=7&amp;number=0.000455&amp;sourceID=14","0.000455")</f>
        <v>0.000455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HYPERLINK("http://141.218.60.56/~jnz1568/getInfo.php?workbook=14_02.xlsx&amp;sheet=U0&amp;row=426&amp;col=6&amp;number=3.2&amp;sourceID=14","3.2")</f>
        <v>3.2</v>
      </c>
      <c r="G426" s="4" t="str">
        <f>HYPERLINK("http://141.218.60.56/~jnz1568/getInfo.php?workbook=14_02.xlsx&amp;sheet=U0&amp;row=426&amp;col=7&amp;number=0.000455&amp;sourceID=14","0.000455")</f>
        <v>0.000455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HYPERLINK("http://141.218.60.56/~jnz1568/getInfo.php?workbook=14_02.xlsx&amp;sheet=U0&amp;row=427&amp;col=6&amp;number=3.3&amp;sourceID=14","3.3")</f>
        <v>3.3</v>
      </c>
      <c r="G427" s="4" t="str">
        <f>HYPERLINK("http://141.218.60.56/~jnz1568/getInfo.php?workbook=14_02.xlsx&amp;sheet=U0&amp;row=427&amp;col=7&amp;number=0.000455&amp;sourceID=14","0.000455")</f>
        <v>0.000455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HYPERLINK("http://141.218.60.56/~jnz1568/getInfo.php?workbook=14_02.xlsx&amp;sheet=U0&amp;row=428&amp;col=6&amp;number=3.4&amp;sourceID=14","3.4")</f>
        <v>3.4</v>
      </c>
      <c r="G428" s="4" t="str">
        <f>HYPERLINK("http://141.218.60.56/~jnz1568/getInfo.php?workbook=14_02.xlsx&amp;sheet=U0&amp;row=428&amp;col=7&amp;number=0.000455&amp;sourceID=14","0.000455")</f>
        <v>0.000455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HYPERLINK("http://141.218.60.56/~jnz1568/getInfo.php?workbook=14_02.xlsx&amp;sheet=U0&amp;row=429&amp;col=6&amp;number=3.5&amp;sourceID=14","3.5")</f>
        <v>3.5</v>
      </c>
      <c r="G429" s="4" t="str">
        <f>HYPERLINK("http://141.218.60.56/~jnz1568/getInfo.php?workbook=14_02.xlsx&amp;sheet=U0&amp;row=429&amp;col=7&amp;number=0.000455&amp;sourceID=14","0.000455")</f>
        <v>0.000455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HYPERLINK("http://141.218.60.56/~jnz1568/getInfo.php?workbook=14_02.xlsx&amp;sheet=U0&amp;row=430&amp;col=6&amp;number=3.6&amp;sourceID=14","3.6")</f>
        <v>3.6</v>
      </c>
      <c r="G430" s="4" t="str">
        <f>HYPERLINK("http://141.218.60.56/~jnz1568/getInfo.php?workbook=14_02.xlsx&amp;sheet=U0&amp;row=430&amp;col=7&amp;number=0.000455&amp;sourceID=14","0.000455")</f>
        <v>0.000455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HYPERLINK("http://141.218.60.56/~jnz1568/getInfo.php?workbook=14_02.xlsx&amp;sheet=U0&amp;row=431&amp;col=6&amp;number=3.7&amp;sourceID=14","3.7")</f>
        <v>3.7</v>
      </c>
      <c r="G431" s="4" t="str">
        <f>HYPERLINK("http://141.218.60.56/~jnz1568/getInfo.php?workbook=14_02.xlsx&amp;sheet=U0&amp;row=431&amp;col=7&amp;number=0.000455&amp;sourceID=14","0.000455")</f>
        <v>0.000455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HYPERLINK("http://141.218.60.56/~jnz1568/getInfo.php?workbook=14_02.xlsx&amp;sheet=U0&amp;row=432&amp;col=6&amp;number=3.8&amp;sourceID=14","3.8")</f>
        <v>3.8</v>
      </c>
      <c r="G432" s="4" t="str">
        <f>HYPERLINK("http://141.218.60.56/~jnz1568/getInfo.php?workbook=14_02.xlsx&amp;sheet=U0&amp;row=432&amp;col=7&amp;number=0.000455&amp;sourceID=14","0.000455")</f>
        <v>0.000455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HYPERLINK("http://141.218.60.56/~jnz1568/getInfo.php?workbook=14_02.xlsx&amp;sheet=U0&amp;row=433&amp;col=6&amp;number=3.9&amp;sourceID=14","3.9")</f>
        <v>3.9</v>
      </c>
      <c r="G433" s="4" t="str">
        <f>HYPERLINK("http://141.218.60.56/~jnz1568/getInfo.php?workbook=14_02.xlsx&amp;sheet=U0&amp;row=433&amp;col=7&amp;number=0.000455&amp;sourceID=14","0.000455")</f>
        <v>0.000455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HYPERLINK("http://141.218.60.56/~jnz1568/getInfo.php?workbook=14_02.xlsx&amp;sheet=U0&amp;row=434&amp;col=6&amp;number=4&amp;sourceID=14","4")</f>
        <v>4</v>
      </c>
      <c r="G434" s="4" t="str">
        <f>HYPERLINK("http://141.218.60.56/~jnz1568/getInfo.php?workbook=14_02.xlsx&amp;sheet=U0&amp;row=434&amp;col=7&amp;number=0.000455&amp;sourceID=14","0.000455")</f>
        <v>0.000455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HYPERLINK("http://141.218.60.56/~jnz1568/getInfo.php?workbook=14_02.xlsx&amp;sheet=U0&amp;row=435&amp;col=6&amp;number=4.1&amp;sourceID=14","4.1")</f>
        <v>4.1</v>
      </c>
      <c r="G435" s="4" t="str">
        <f>HYPERLINK("http://141.218.60.56/~jnz1568/getInfo.php?workbook=14_02.xlsx&amp;sheet=U0&amp;row=435&amp;col=7&amp;number=0.000455&amp;sourceID=14","0.000455")</f>
        <v>0.000455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HYPERLINK("http://141.218.60.56/~jnz1568/getInfo.php?workbook=14_02.xlsx&amp;sheet=U0&amp;row=436&amp;col=6&amp;number=4.2&amp;sourceID=14","4.2")</f>
        <v>4.2</v>
      </c>
      <c r="G436" s="4" t="str">
        <f>HYPERLINK("http://141.218.60.56/~jnz1568/getInfo.php?workbook=14_02.xlsx&amp;sheet=U0&amp;row=436&amp;col=7&amp;number=0.000455&amp;sourceID=14","0.000455")</f>
        <v>0.000455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HYPERLINK("http://141.218.60.56/~jnz1568/getInfo.php?workbook=14_02.xlsx&amp;sheet=U0&amp;row=437&amp;col=6&amp;number=4.3&amp;sourceID=14","4.3")</f>
        <v>4.3</v>
      </c>
      <c r="G437" s="4" t="str">
        <f>HYPERLINK("http://141.218.60.56/~jnz1568/getInfo.php?workbook=14_02.xlsx&amp;sheet=U0&amp;row=437&amp;col=7&amp;number=0.000456&amp;sourceID=14","0.000456")</f>
        <v>0.000456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HYPERLINK("http://141.218.60.56/~jnz1568/getInfo.php?workbook=14_02.xlsx&amp;sheet=U0&amp;row=438&amp;col=6&amp;number=4.4&amp;sourceID=14","4.4")</f>
        <v>4.4</v>
      </c>
      <c r="G438" s="4" t="str">
        <f>HYPERLINK("http://141.218.60.56/~jnz1568/getInfo.php?workbook=14_02.xlsx&amp;sheet=U0&amp;row=438&amp;col=7&amp;number=0.000456&amp;sourceID=14","0.000456")</f>
        <v>0.000456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HYPERLINK("http://141.218.60.56/~jnz1568/getInfo.php?workbook=14_02.xlsx&amp;sheet=U0&amp;row=439&amp;col=6&amp;number=4.5&amp;sourceID=14","4.5")</f>
        <v>4.5</v>
      </c>
      <c r="G439" s="4" t="str">
        <f>HYPERLINK("http://141.218.60.56/~jnz1568/getInfo.php?workbook=14_02.xlsx&amp;sheet=U0&amp;row=439&amp;col=7&amp;number=0.000456&amp;sourceID=14","0.000456")</f>
        <v>0.000456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HYPERLINK("http://141.218.60.56/~jnz1568/getInfo.php?workbook=14_02.xlsx&amp;sheet=U0&amp;row=440&amp;col=6&amp;number=4.6&amp;sourceID=14","4.6")</f>
        <v>4.6</v>
      </c>
      <c r="G440" s="4" t="str">
        <f>HYPERLINK("http://141.218.60.56/~jnz1568/getInfo.php?workbook=14_02.xlsx&amp;sheet=U0&amp;row=440&amp;col=7&amp;number=0.000456&amp;sourceID=14","0.000456")</f>
        <v>0.000456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HYPERLINK("http://141.218.60.56/~jnz1568/getInfo.php?workbook=14_02.xlsx&amp;sheet=U0&amp;row=441&amp;col=6&amp;number=4.7&amp;sourceID=14","4.7")</f>
        <v>4.7</v>
      </c>
      <c r="G441" s="4" t="str">
        <f>HYPERLINK("http://141.218.60.56/~jnz1568/getInfo.php?workbook=14_02.xlsx&amp;sheet=U0&amp;row=441&amp;col=7&amp;number=0.000457&amp;sourceID=14","0.000457")</f>
        <v>0.000457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HYPERLINK("http://141.218.60.56/~jnz1568/getInfo.php?workbook=14_02.xlsx&amp;sheet=U0&amp;row=442&amp;col=6&amp;number=4.8&amp;sourceID=14","4.8")</f>
        <v>4.8</v>
      </c>
      <c r="G442" s="4" t="str">
        <f>HYPERLINK("http://141.218.60.56/~jnz1568/getInfo.php?workbook=14_02.xlsx&amp;sheet=U0&amp;row=442&amp;col=7&amp;number=0.000457&amp;sourceID=14","0.000457")</f>
        <v>0.000457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HYPERLINK("http://141.218.60.56/~jnz1568/getInfo.php?workbook=14_02.xlsx&amp;sheet=U0&amp;row=443&amp;col=6&amp;number=4.9&amp;sourceID=14","4.9")</f>
        <v>4.9</v>
      </c>
      <c r="G443" s="4" t="str">
        <f>HYPERLINK("http://141.218.60.56/~jnz1568/getInfo.php?workbook=14_02.xlsx&amp;sheet=U0&amp;row=443&amp;col=7&amp;number=0.000458&amp;sourceID=14","0.000458")</f>
        <v>0.000458</v>
      </c>
    </row>
    <row r="444" spans="1:7">
      <c r="A444" s="3">
        <v>14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HYPERLINK("http://141.218.60.56/~jnz1568/getInfo.php?workbook=14_02.xlsx&amp;sheet=U0&amp;row=444&amp;col=6&amp;number=3&amp;sourceID=14","3")</f>
        <v>3</v>
      </c>
      <c r="G444" s="4" t="str">
        <f>HYPERLINK("http://141.218.60.56/~jnz1568/getInfo.php?workbook=14_02.xlsx&amp;sheet=U0&amp;row=444&amp;col=7&amp;number=4.41e-05&amp;sourceID=14","4.41e-05")</f>
        <v>4.41e-05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HYPERLINK("http://141.218.60.56/~jnz1568/getInfo.php?workbook=14_02.xlsx&amp;sheet=U0&amp;row=445&amp;col=6&amp;number=3.1&amp;sourceID=14","3.1")</f>
        <v>3.1</v>
      </c>
      <c r="G445" s="4" t="str">
        <f>HYPERLINK("http://141.218.60.56/~jnz1568/getInfo.php?workbook=14_02.xlsx&amp;sheet=U0&amp;row=445&amp;col=7&amp;number=4.41e-05&amp;sourceID=14","4.41e-05")</f>
        <v>4.41e-05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HYPERLINK("http://141.218.60.56/~jnz1568/getInfo.php?workbook=14_02.xlsx&amp;sheet=U0&amp;row=446&amp;col=6&amp;number=3.2&amp;sourceID=14","3.2")</f>
        <v>3.2</v>
      </c>
      <c r="G446" s="4" t="str">
        <f>HYPERLINK("http://141.218.60.56/~jnz1568/getInfo.php?workbook=14_02.xlsx&amp;sheet=U0&amp;row=446&amp;col=7&amp;number=4.41e-05&amp;sourceID=14","4.41e-05")</f>
        <v>4.41e-05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HYPERLINK("http://141.218.60.56/~jnz1568/getInfo.php?workbook=14_02.xlsx&amp;sheet=U0&amp;row=447&amp;col=6&amp;number=3.3&amp;sourceID=14","3.3")</f>
        <v>3.3</v>
      </c>
      <c r="G447" s="4" t="str">
        <f>HYPERLINK("http://141.218.60.56/~jnz1568/getInfo.php?workbook=14_02.xlsx&amp;sheet=U0&amp;row=447&amp;col=7&amp;number=4.41e-05&amp;sourceID=14","4.41e-05")</f>
        <v>4.41e-05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HYPERLINK("http://141.218.60.56/~jnz1568/getInfo.php?workbook=14_02.xlsx&amp;sheet=U0&amp;row=448&amp;col=6&amp;number=3.4&amp;sourceID=14","3.4")</f>
        <v>3.4</v>
      </c>
      <c r="G448" s="4" t="str">
        <f>HYPERLINK("http://141.218.60.56/~jnz1568/getInfo.php?workbook=14_02.xlsx&amp;sheet=U0&amp;row=448&amp;col=7&amp;number=4.41e-05&amp;sourceID=14","4.41e-05")</f>
        <v>4.41e-05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HYPERLINK("http://141.218.60.56/~jnz1568/getInfo.php?workbook=14_02.xlsx&amp;sheet=U0&amp;row=449&amp;col=6&amp;number=3.5&amp;sourceID=14","3.5")</f>
        <v>3.5</v>
      </c>
      <c r="G449" s="4" t="str">
        <f>HYPERLINK("http://141.218.60.56/~jnz1568/getInfo.php?workbook=14_02.xlsx&amp;sheet=U0&amp;row=449&amp;col=7&amp;number=4.41e-05&amp;sourceID=14","4.41e-05")</f>
        <v>4.41e-05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HYPERLINK("http://141.218.60.56/~jnz1568/getInfo.php?workbook=14_02.xlsx&amp;sheet=U0&amp;row=450&amp;col=6&amp;number=3.6&amp;sourceID=14","3.6")</f>
        <v>3.6</v>
      </c>
      <c r="G450" s="4" t="str">
        <f>HYPERLINK("http://141.218.60.56/~jnz1568/getInfo.php?workbook=14_02.xlsx&amp;sheet=U0&amp;row=450&amp;col=7&amp;number=4.41e-05&amp;sourceID=14","4.41e-05")</f>
        <v>4.41e-05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HYPERLINK("http://141.218.60.56/~jnz1568/getInfo.php?workbook=14_02.xlsx&amp;sheet=U0&amp;row=451&amp;col=6&amp;number=3.7&amp;sourceID=14","3.7")</f>
        <v>3.7</v>
      </c>
      <c r="G451" s="4" t="str">
        <f>HYPERLINK("http://141.218.60.56/~jnz1568/getInfo.php?workbook=14_02.xlsx&amp;sheet=U0&amp;row=451&amp;col=7&amp;number=4.41e-05&amp;sourceID=14","4.41e-05")</f>
        <v>4.41e-05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HYPERLINK("http://141.218.60.56/~jnz1568/getInfo.php?workbook=14_02.xlsx&amp;sheet=U0&amp;row=452&amp;col=6&amp;number=3.8&amp;sourceID=14","3.8")</f>
        <v>3.8</v>
      </c>
      <c r="G452" s="4" t="str">
        <f>HYPERLINK("http://141.218.60.56/~jnz1568/getInfo.php?workbook=14_02.xlsx&amp;sheet=U0&amp;row=452&amp;col=7&amp;number=4.41e-05&amp;sourceID=14","4.41e-05")</f>
        <v>4.41e-05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HYPERLINK("http://141.218.60.56/~jnz1568/getInfo.php?workbook=14_02.xlsx&amp;sheet=U0&amp;row=453&amp;col=6&amp;number=3.9&amp;sourceID=14","3.9")</f>
        <v>3.9</v>
      </c>
      <c r="G453" s="4" t="str">
        <f>HYPERLINK("http://141.218.60.56/~jnz1568/getInfo.php?workbook=14_02.xlsx&amp;sheet=U0&amp;row=453&amp;col=7&amp;number=4.41e-05&amp;sourceID=14","4.41e-05")</f>
        <v>4.41e-05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HYPERLINK("http://141.218.60.56/~jnz1568/getInfo.php?workbook=14_02.xlsx&amp;sheet=U0&amp;row=454&amp;col=6&amp;number=4&amp;sourceID=14","4")</f>
        <v>4</v>
      </c>
      <c r="G454" s="4" t="str">
        <f>HYPERLINK("http://141.218.60.56/~jnz1568/getInfo.php?workbook=14_02.xlsx&amp;sheet=U0&amp;row=454&amp;col=7&amp;number=4.41e-05&amp;sourceID=14","4.41e-05")</f>
        <v>4.41e-05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HYPERLINK("http://141.218.60.56/~jnz1568/getInfo.php?workbook=14_02.xlsx&amp;sheet=U0&amp;row=455&amp;col=6&amp;number=4.1&amp;sourceID=14","4.1")</f>
        <v>4.1</v>
      </c>
      <c r="G455" s="4" t="str">
        <f>HYPERLINK("http://141.218.60.56/~jnz1568/getInfo.php?workbook=14_02.xlsx&amp;sheet=U0&amp;row=455&amp;col=7&amp;number=4.4e-05&amp;sourceID=14","4.4e-05")</f>
        <v>4.4e-05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HYPERLINK("http://141.218.60.56/~jnz1568/getInfo.php?workbook=14_02.xlsx&amp;sheet=U0&amp;row=456&amp;col=6&amp;number=4.2&amp;sourceID=14","4.2")</f>
        <v>4.2</v>
      </c>
      <c r="G456" s="4" t="str">
        <f>HYPERLINK("http://141.218.60.56/~jnz1568/getInfo.php?workbook=14_02.xlsx&amp;sheet=U0&amp;row=456&amp;col=7&amp;number=4.4e-05&amp;sourceID=14","4.4e-05")</f>
        <v>4.4e-05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HYPERLINK("http://141.218.60.56/~jnz1568/getInfo.php?workbook=14_02.xlsx&amp;sheet=U0&amp;row=457&amp;col=6&amp;number=4.3&amp;sourceID=14","4.3")</f>
        <v>4.3</v>
      </c>
      <c r="G457" s="4" t="str">
        <f>HYPERLINK("http://141.218.60.56/~jnz1568/getInfo.php?workbook=14_02.xlsx&amp;sheet=U0&amp;row=457&amp;col=7&amp;number=4.4e-05&amp;sourceID=14","4.4e-05")</f>
        <v>4.4e-05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HYPERLINK("http://141.218.60.56/~jnz1568/getInfo.php?workbook=14_02.xlsx&amp;sheet=U0&amp;row=458&amp;col=6&amp;number=4.4&amp;sourceID=14","4.4")</f>
        <v>4.4</v>
      </c>
      <c r="G458" s="4" t="str">
        <f>HYPERLINK("http://141.218.60.56/~jnz1568/getInfo.php?workbook=14_02.xlsx&amp;sheet=U0&amp;row=458&amp;col=7&amp;number=4.4e-05&amp;sourceID=14","4.4e-05")</f>
        <v>4.4e-05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HYPERLINK("http://141.218.60.56/~jnz1568/getInfo.php?workbook=14_02.xlsx&amp;sheet=U0&amp;row=459&amp;col=6&amp;number=4.5&amp;sourceID=14","4.5")</f>
        <v>4.5</v>
      </c>
      <c r="G459" s="4" t="str">
        <f>HYPERLINK("http://141.218.60.56/~jnz1568/getInfo.php?workbook=14_02.xlsx&amp;sheet=U0&amp;row=459&amp;col=7&amp;number=4.4e-05&amp;sourceID=14","4.4e-05")</f>
        <v>4.4e-05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HYPERLINK("http://141.218.60.56/~jnz1568/getInfo.php?workbook=14_02.xlsx&amp;sheet=U0&amp;row=460&amp;col=6&amp;number=4.6&amp;sourceID=14","4.6")</f>
        <v>4.6</v>
      </c>
      <c r="G460" s="4" t="str">
        <f>HYPERLINK("http://141.218.60.56/~jnz1568/getInfo.php?workbook=14_02.xlsx&amp;sheet=U0&amp;row=460&amp;col=7&amp;number=4.4e-05&amp;sourceID=14","4.4e-05")</f>
        <v>4.4e-05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HYPERLINK("http://141.218.60.56/~jnz1568/getInfo.php?workbook=14_02.xlsx&amp;sheet=U0&amp;row=461&amp;col=6&amp;number=4.7&amp;sourceID=14","4.7")</f>
        <v>4.7</v>
      </c>
      <c r="G461" s="4" t="str">
        <f>HYPERLINK("http://141.218.60.56/~jnz1568/getInfo.php?workbook=14_02.xlsx&amp;sheet=U0&amp;row=461&amp;col=7&amp;number=4.39e-05&amp;sourceID=14","4.39e-05")</f>
        <v>4.39e-05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HYPERLINK("http://141.218.60.56/~jnz1568/getInfo.php?workbook=14_02.xlsx&amp;sheet=U0&amp;row=462&amp;col=6&amp;number=4.8&amp;sourceID=14","4.8")</f>
        <v>4.8</v>
      </c>
      <c r="G462" s="4" t="str">
        <f>HYPERLINK("http://141.218.60.56/~jnz1568/getInfo.php?workbook=14_02.xlsx&amp;sheet=U0&amp;row=462&amp;col=7&amp;number=4.39e-05&amp;sourceID=14","4.39e-05")</f>
        <v>4.39e-05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HYPERLINK("http://141.218.60.56/~jnz1568/getInfo.php?workbook=14_02.xlsx&amp;sheet=U0&amp;row=463&amp;col=6&amp;number=4.9&amp;sourceID=14","4.9")</f>
        <v>4.9</v>
      </c>
      <c r="G463" s="4" t="str">
        <f>HYPERLINK("http://141.218.60.56/~jnz1568/getInfo.php?workbook=14_02.xlsx&amp;sheet=U0&amp;row=463&amp;col=7&amp;number=4.39e-05&amp;sourceID=14","4.39e-05")</f>
        <v>4.39e-05</v>
      </c>
    </row>
    <row r="464" spans="1:7">
      <c r="A464" s="3">
        <v>14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HYPERLINK("http://141.218.60.56/~jnz1568/getInfo.php?workbook=14_02.xlsx&amp;sheet=U0&amp;row=464&amp;col=6&amp;number=3&amp;sourceID=14","3")</f>
        <v>3</v>
      </c>
      <c r="G464" s="4" t="str">
        <f>HYPERLINK("http://141.218.60.56/~jnz1568/getInfo.php?workbook=14_02.xlsx&amp;sheet=U0&amp;row=464&amp;col=7&amp;number=6.98e-05&amp;sourceID=14","6.98e-05")</f>
        <v>6.98e-05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HYPERLINK("http://141.218.60.56/~jnz1568/getInfo.php?workbook=14_02.xlsx&amp;sheet=U0&amp;row=465&amp;col=6&amp;number=3.1&amp;sourceID=14","3.1")</f>
        <v>3.1</v>
      </c>
      <c r="G465" s="4" t="str">
        <f>HYPERLINK("http://141.218.60.56/~jnz1568/getInfo.php?workbook=14_02.xlsx&amp;sheet=U0&amp;row=465&amp;col=7&amp;number=6.98e-05&amp;sourceID=14","6.98e-05")</f>
        <v>6.98e-05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HYPERLINK("http://141.218.60.56/~jnz1568/getInfo.php?workbook=14_02.xlsx&amp;sheet=U0&amp;row=466&amp;col=6&amp;number=3.2&amp;sourceID=14","3.2")</f>
        <v>3.2</v>
      </c>
      <c r="G466" s="4" t="str">
        <f>HYPERLINK("http://141.218.60.56/~jnz1568/getInfo.php?workbook=14_02.xlsx&amp;sheet=U0&amp;row=466&amp;col=7&amp;number=6.98e-05&amp;sourceID=14","6.98e-05")</f>
        <v>6.98e-05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HYPERLINK("http://141.218.60.56/~jnz1568/getInfo.php?workbook=14_02.xlsx&amp;sheet=U0&amp;row=467&amp;col=6&amp;number=3.3&amp;sourceID=14","3.3")</f>
        <v>3.3</v>
      </c>
      <c r="G467" s="4" t="str">
        <f>HYPERLINK("http://141.218.60.56/~jnz1568/getInfo.php?workbook=14_02.xlsx&amp;sheet=U0&amp;row=467&amp;col=7&amp;number=6.98e-05&amp;sourceID=14","6.98e-05")</f>
        <v>6.98e-05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HYPERLINK("http://141.218.60.56/~jnz1568/getInfo.php?workbook=14_02.xlsx&amp;sheet=U0&amp;row=468&amp;col=6&amp;number=3.4&amp;sourceID=14","3.4")</f>
        <v>3.4</v>
      </c>
      <c r="G468" s="4" t="str">
        <f>HYPERLINK("http://141.218.60.56/~jnz1568/getInfo.php?workbook=14_02.xlsx&amp;sheet=U0&amp;row=468&amp;col=7&amp;number=6.98e-05&amp;sourceID=14","6.98e-05")</f>
        <v>6.98e-05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HYPERLINK("http://141.218.60.56/~jnz1568/getInfo.php?workbook=14_02.xlsx&amp;sheet=U0&amp;row=469&amp;col=6&amp;number=3.5&amp;sourceID=14","3.5")</f>
        <v>3.5</v>
      </c>
      <c r="G469" s="4" t="str">
        <f>HYPERLINK("http://141.218.60.56/~jnz1568/getInfo.php?workbook=14_02.xlsx&amp;sheet=U0&amp;row=469&amp;col=7&amp;number=6.98e-05&amp;sourceID=14","6.98e-05")</f>
        <v>6.98e-05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HYPERLINK("http://141.218.60.56/~jnz1568/getInfo.php?workbook=14_02.xlsx&amp;sheet=U0&amp;row=470&amp;col=6&amp;number=3.6&amp;sourceID=14","3.6")</f>
        <v>3.6</v>
      </c>
      <c r="G470" s="4" t="str">
        <f>HYPERLINK("http://141.218.60.56/~jnz1568/getInfo.php?workbook=14_02.xlsx&amp;sheet=U0&amp;row=470&amp;col=7&amp;number=6.98e-05&amp;sourceID=14","6.98e-05")</f>
        <v>6.98e-05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HYPERLINK("http://141.218.60.56/~jnz1568/getInfo.php?workbook=14_02.xlsx&amp;sheet=U0&amp;row=471&amp;col=6&amp;number=3.7&amp;sourceID=14","3.7")</f>
        <v>3.7</v>
      </c>
      <c r="G471" s="4" t="str">
        <f>HYPERLINK("http://141.218.60.56/~jnz1568/getInfo.php?workbook=14_02.xlsx&amp;sheet=U0&amp;row=471&amp;col=7&amp;number=6.98e-05&amp;sourceID=14","6.98e-05")</f>
        <v>6.98e-05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HYPERLINK("http://141.218.60.56/~jnz1568/getInfo.php?workbook=14_02.xlsx&amp;sheet=U0&amp;row=472&amp;col=6&amp;number=3.8&amp;sourceID=14","3.8")</f>
        <v>3.8</v>
      </c>
      <c r="G472" s="4" t="str">
        <f>HYPERLINK("http://141.218.60.56/~jnz1568/getInfo.php?workbook=14_02.xlsx&amp;sheet=U0&amp;row=472&amp;col=7&amp;number=6.98e-05&amp;sourceID=14","6.98e-05")</f>
        <v>6.98e-05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HYPERLINK("http://141.218.60.56/~jnz1568/getInfo.php?workbook=14_02.xlsx&amp;sheet=U0&amp;row=473&amp;col=6&amp;number=3.9&amp;sourceID=14","3.9")</f>
        <v>3.9</v>
      </c>
      <c r="G473" s="4" t="str">
        <f>HYPERLINK("http://141.218.60.56/~jnz1568/getInfo.php?workbook=14_02.xlsx&amp;sheet=U0&amp;row=473&amp;col=7&amp;number=6.98e-05&amp;sourceID=14","6.98e-05")</f>
        <v>6.98e-05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HYPERLINK("http://141.218.60.56/~jnz1568/getInfo.php?workbook=14_02.xlsx&amp;sheet=U0&amp;row=474&amp;col=6&amp;number=4&amp;sourceID=14","4")</f>
        <v>4</v>
      </c>
      <c r="G474" s="4" t="str">
        <f>HYPERLINK("http://141.218.60.56/~jnz1568/getInfo.php?workbook=14_02.xlsx&amp;sheet=U0&amp;row=474&amp;col=7&amp;number=6.98e-05&amp;sourceID=14","6.98e-05")</f>
        <v>6.98e-05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HYPERLINK("http://141.218.60.56/~jnz1568/getInfo.php?workbook=14_02.xlsx&amp;sheet=U0&amp;row=475&amp;col=6&amp;number=4.1&amp;sourceID=14","4.1")</f>
        <v>4.1</v>
      </c>
      <c r="G475" s="4" t="str">
        <f>HYPERLINK("http://141.218.60.56/~jnz1568/getInfo.php?workbook=14_02.xlsx&amp;sheet=U0&amp;row=475&amp;col=7&amp;number=6.98e-05&amp;sourceID=14","6.98e-05")</f>
        <v>6.98e-05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HYPERLINK("http://141.218.60.56/~jnz1568/getInfo.php?workbook=14_02.xlsx&amp;sheet=U0&amp;row=476&amp;col=6&amp;number=4.2&amp;sourceID=14","4.2")</f>
        <v>4.2</v>
      </c>
      <c r="G476" s="4" t="str">
        <f>HYPERLINK("http://141.218.60.56/~jnz1568/getInfo.php?workbook=14_02.xlsx&amp;sheet=U0&amp;row=476&amp;col=7&amp;number=6.97e-05&amp;sourceID=14","6.97e-05")</f>
        <v>6.97e-05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HYPERLINK("http://141.218.60.56/~jnz1568/getInfo.php?workbook=14_02.xlsx&amp;sheet=U0&amp;row=477&amp;col=6&amp;number=4.3&amp;sourceID=14","4.3")</f>
        <v>4.3</v>
      </c>
      <c r="G477" s="4" t="str">
        <f>HYPERLINK("http://141.218.60.56/~jnz1568/getInfo.php?workbook=14_02.xlsx&amp;sheet=U0&amp;row=477&amp;col=7&amp;number=6.97e-05&amp;sourceID=14","6.97e-05")</f>
        <v>6.97e-05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HYPERLINK("http://141.218.60.56/~jnz1568/getInfo.php?workbook=14_02.xlsx&amp;sheet=U0&amp;row=478&amp;col=6&amp;number=4.4&amp;sourceID=14","4.4")</f>
        <v>4.4</v>
      </c>
      <c r="G478" s="4" t="str">
        <f>HYPERLINK("http://141.218.60.56/~jnz1568/getInfo.php?workbook=14_02.xlsx&amp;sheet=U0&amp;row=478&amp;col=7&amp;number=6.97e-05&amp;sourceID=14","6.97e-05")</f>
        <v>6.97e-05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HYPERLINK("http://141.218.60.56/~jnz1568/getInfo.php?workbook=14_02.xlsx&amp;sheet=U0&amp;row=479&amp;col=6&amp;number=4.5&amp;sourceID=14","4.5")</f>
        <v>4.5</v>
      </c>
      <c r="G479" s="4" t="str">
        <f>HYPERLINK("http://141.218.60.56/~jnz1568/getInfo.php?workbook=14_02.xlsx&amp;sheet=U0&amp;row=479&amp;col=7&amp;number=6.97e-05&amp;sourceID=14","6.97e-05")</f>
        <v>6.97e-05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HYPERLINK("http://141.218.60.56/~jnz1568/getInfo.php?workbook=14_02.xlsx&amp;sheet=U0&amp;row=480&amp;col=6&amp;number=4.6&amp;sourceID=14","4.6")</f>
        <v>4.6</v>
      </c>
      <c r="G480" s="4" t="str">
        <f>HYPERLINK("http://141.218.60.56/~jnz1568/getInfo.php?workbook=14_02.xlsx&amp;sheet=U0&amp;row=480&amp;col=7&amp;number=6.97e-05&amp;sourceID=14","6.97e-05")</f>
        <v>6.97e-05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HYPERLINK("http://141.218.60.56/~jnz1568/getInfo.php?workbook=14_02.xlsx&amp;sheet=U0&amp;row=481&amp;col=6&amp;number=4.7&amp;sourceID=14","4.7")</f>
        <v>4.7</v>
      </c>
      <c r="G481" s="4" t="str">
        <f>HYPERLINK("http://141.218.60.56/~jnz1568/getInfo.php?workbook=14_02.xlsx&amp;sheet=U0&amp;row=481&amp;col=7&amp;number=6.96e-05&amp;sourceID=14","6.96e-05")</f>
        <v>6.96e-05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HYPERLINK("http://141.218.60.56/~jnz1568/getInfo.php?workbook=14_02.xlsx&amp;sheet=U0&amp;row=482&amp;col=6&amp;number=4.8&amp;sourceID=14","4.8")</f>
        <v>4.8</v>
      </c>
      <c r="G482" s="4" t="str">
        <f>HYPERLINK("http://141.218.60.56/~jnz1568/getInfo.php?workbook=14_02.xlsx&amp;sheet=U0&amp;row=482&amp;col=7&amp;number=6.96e-05&amp;sourceID=14","6.96e-05")</f>
        <v>6.96e-05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HYPERLINK("http://141.218.60.56/~jnz1568/getInfo.php?workbook=14_02.xlsx&amp;sheet=U0&amp;row=483&amp;col=6&amp;number=4.9&amp;sourceID=14","4.9")</f>
        <v>4.9</v>
      </c>
      <c r="G483" s="4" t="str">
        <f>HYPERLINK("http://141.218.60.56/~jnz1568/getInfo.php?workbook=14_02.xlsx&amp;sheet=U0&amp;row=483&amp;col=7&amp;number=6.95e-05&amp;sourceID=14","6.95e-05")</f>
        <v>6.95e-05</v>
      </c>
    </row>
    <row r="484" spans="1:7">
      <c r="A484" s="3">
        <v>14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HYPERLINK("http://141.218.60.56/~jnz1568/getInfo.php?workbook=14_02.xlsx&amp;sheet=U0&amp;row=484&amp;col=6&amp;number=3&amp;sourceID=14","3")</f>
        <v>3</v>
      </c>
      <c r="G484" s="4" t="str">
        <f>HYPERLINK("http://141.218.60.56/~jnz1568/getInfo.php?workbook=14_02.xlsx&amp;sheet=U0&amp;row=484&amp;col=7&amp;number=0.000103&amp;sourceID=14","0.000103")</f>
        <v>0.000103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HYPERLINK("http://141.218.60.56/~jnz1568/getInfo.php?workbook=14_02.xlsx&amp;sheet=U0&amp;row=485&amp;col=6&amp;number=3.1&amp;sourceID=14","3.1")</f>
        <v>3.1</v>
      </c>
      <c r="G485" s="4" t="str">
        <f>HYPERLINK("http://141.218.60.56/~jnz1568/getInfo.php?workbook=14_02.xlsx&amp;sheet=U0&amp;row=485&amp;col=7&amp;number=0.000103&amp;sourceID=14","0.000103")</f>
        <v>0.000103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HYPERLINK("http://141.218.60.56/~jnz1568/getInfo.php?workbook=14_02.xlsx&amp;sheet=U0&amp;row=486&amp;col=6&amp;number=3.2&amp;sourceID=14","3.2")</f>
        <v>3.2</v>
      </c>
      <c r="G486" s="4" t="str">
        <f>HYPERLINK("http://141.218.60.56/~jnz1568/getInfo.php?workbook=14_02.xlsx&amp;sheet=U0&amp;row=486&amp;col=7&amp;number=0.000103&amp;sourceID=14","0.000103")</f>
        <v>0.000103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HYPERLINK("http://141.218.60.56/~jnz1568/getInfo.php?workbook=14_02.xlsx&amp;sheet=U0&amp;row=487&amp;col=6&amp;number=3.3&amp;sourceID=14","3.3")</f>
        <v>3.3</v>
      </c>
      <c r="G487" s="4" t="str">
        <f>HYPERLINK("http://141.218.60.56/~jnz1568/getInfo.php?workbook=14_02.xlsx&amp;sheet=U0&amp;row=487&amp;col=7&amp;number=0.000103&amp;sourceID=14","0.000103")</f>
        <v>0.000103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HYPERLINK("http://141.218.60.56/~jnz1568/getInfo.php?workbook=14_02.xlsx&amp;sheet=U0&amp;row=488&amp;col=6&amp;number=3.4&amp;sourceID=14","3.4")</f>
        <v>3.4</v>
      </c>
      <c r="G488" s="4" t="str">
        <f>HYPERLINK("http://141.218.60.56/~jnz1568/getInfo.php?workbook=14_02.xlsx&amp;sheet=U0&amp;row=488&amp;col=7&amp;number=0.000103&amp;sourceID=14","0.000103")</f>
        <v>0.000103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HYPERLINK("http://141.218.60.56/~jnz1568/getInfo.php?workbook=14_02.xlsx&amp;sheet=U0&amp;row=489&amp;col=6&amp;number=3.5&amp;sourceID=14","3.5")</f>
        <v>3.5</v>
      </c>
      <c r="G489" s="4" t="str">
        <f>HYPERLINK("http://141.218.60.56/~jnz1568/getInfo.php?workbook=14_02.xlsx&amp;sheet=U0&amp;row=489&amp;col=7&amp;number=0.000103&amp;sourceID=14","0.000103")</f>
        <v>0.000103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HYPERLINK("http://141.218.60.56/~jnz1568/getInfo.php?workbook=14_02.xlsx&amp;sheet=U0&amp;row=490&amp;col=6&amp;number=3.6&amp;sourceID=14","3.6")</f>
        <v>3.6</v>
      </c>
      <c r="G490" s="4" t="str">
        <f>HYPERLINK("http://141.218.60.56/~jnz1568/getInfo.php?workbook=14_02.xlsx&amp;sheet=U0&amp;row=490&amp;col=7&amp;number=0.000103&amp;sourceID=14","0.000103")</f>
        <v>0.000103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HYPERLINK("http://141.218.60.56/~jnz1568/getInfo.php?workbook=14_02.xlsx&amp;sheet=U0&amp;row=491&amp;col=6&amp;number=3.7&amp;sourceID=14","3.7")</f>
        <v>3.7</v>
      </c>
      <c r="G491" s="4" t="str">
        <f>HYPERLINK("http://141.218.60.56/~jnz1568/getInfo.php?workbook=14_02.xlsx&amp;sheet=U0&amp;row=491&amp;col=7&amp;number=0.000103&amp;sourceID=14","0.000103")</f>
        <v>0.000103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HYPERLINK("http://141.218.60.56/~jnz1568/getInfo.php?workbook=14_02.xlsx&amp;sheet=U0&amp;row=492&amp;col=6&amp;number=3.8&amp;sourceID=14","3.8")</f>
        <v>3.8</v>
      </c>
      <c r="G492" s="4" t="str">
        <f>HYPERLINK("http://141.218.60.56/~jnz1568/getInfo.php?workbook=14_02.xlsx&amp;sheet=U0&amp;row=492&amp;col=7&amp;number=0.000103&amp;sourceID=14","0.000103")</f>
        <v>0.000103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HYPERLINK("http://141.218.60.56/~jnz1568/getInfo.php?workbook=14_02.xlsx&amp;sheet=U0&amp;row=493&amp;col=6&amp;number=3.9&amp;sourceID=14","3.9")</f>
        <v>3.9</v>
      </c>
      <c r="G493" s="4" t="str">
        <f>HYPERLINK("http://141.218.60.56/~jnz1568/getInfo.php?workbook=14_02.xlsx&amp;sheet=U0&amp;row=493&amp;col=7&amp;number=0.000103&amp;sourceID=14","0.000103")</f>
        <v>0.000103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HYPERLINK("http://141.218.60.56/~jnz1568/getInfo.php?workbook=14_02.xlsx&amp;sheet=U0&amp;row=494&amp;col=6&amp;number=4&amp;sourceID=14","4")</f>
        <v>4</v>
      </c>
      <c r="G494" s="4" t="str">
        <f>HYPERLINK("http://141.218.60.56/~jnz1568/getInfo.php?workbook=14_02.xlsx&amp;sheet=U0&amp;row=494&amp;col=7&amp;number=0.000103&amp;sourceID=14","0.000103")</f>
        <v>0.000103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HYPERLINK("http://141.218.60.56/~jnz1568/getInfo.php?workbook=14_02.xlsx&amp;sheet=U0&amp;row=495&amp;col=6&amp;number=4.1&amp;sourceID=14","4.1")</f>
        <v>4.1</v>
      </c>
      <c r="G495" s="4" t="str">
        <f>HYPERLINK("http://141.218.60.56/~jnz1568/getInfo.php?workbook=14_02.xlsx&amp;sheet=U0&amp;row=495&amp;col=7&amp;number=0.000103&amp;sourceID=14","0.000103")</f>
        <v>0.000103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HYPERLINK("http://141.218.60.56/~jnz1568/getInfo.php?workbook=14_02.xlsx&amp;sheet=U0&amp;row=496&amp;col=6&amp;number=4.2&amp;sourceID=14","4.2")</f>
        <v>4.2</v>
      </c>
      <c r="G496" s="4" t="str">
        <f>HYPERLINK("http://141.218.60.56/~jnz1568/getInfo.php?workbook=14_02.xlsx&amp;sheet=U0&amp;row=496&amp;col=7&amp;number=0.000103&amp;sourceID=14","0.000103")</f>
        <v>0.000103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HYPERLINK("http://141.218.60.56/~jnz1568/getInfo.php?workbook=14_02.xlsx&amp;sheet=U0&amp;row=497&amp;col=6&amp;number=4.3&amp;sourceID=14","4.3")</f>
        <v>4.3</v>
      </c>
      <c r="G497" s="4" t="str">
        <f>HYPERLINK("http://141.218.60.56/~jnz1568/getInfo.php?workbook=14_02.xlsx&amp;sheet=U0&amp;row=497&amp;col=7&amp;number=0.000103&amp;sourceID=14","0.000103")</f>
        <v>0.000103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HYPERLINK("http://141.218.60.56/~jnz1568/getInfo.php?workbook=14_02.xlsx&amp;sheet=U0&amp;row=498&amp;col=6&amp;number=4.4&amp;sourceID=14","4.4")</f>
        <v>4.4</v>
      </c>
      <c r="G498" s="4" t="str">
        <f>HYPERLINK("http://141.218.60.56/~jnz1568/getInfo.php?workbook=14_02.xlsx&amp;sheet=U0&amp;row=498&amp;col=7&amp;number=0.000103&amp;sourceID=14","0.000103")</f>
        <v>0.000103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HYPERLINK("http://141.218.60.56/~jnz1568/getInfo.php?workbook=14_02.xlsx&amp;sheet=U0&amp;row=499&amp;col=6&amp;number=4.5&amp;sourceID=14","4.5")</f>
        <v>4.5</v>
      </c>
      <c r="G499" s="4" t="str">
        <f>HYPERLINK("http://141.218.60.56/~jnz1568/getInfo.php?workbook=14_02.xlsx&amp;sheet=U0&amp;row=499&amp;col=7&amp;number=0.000103&amp;sourceID=14","0.000103")</f>
        <v>0.000103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HYPERLINK("http://141.218.60.56/~jnz1568/getInfo.php?workbook=14_02.xlsx&amp;sheet=U0&amp;row=500&amp;col=6&amp;number=4.6&amp;sourceID=14","4.6")</f>
        <v>4.6</v>
      </c>
      <c r="G500" s="4" t="str">
        <f>HYPERLINK("http://141.218.60.56/~jnz1568/getInfo.php?workbook=14_02.xlsx&amp;sheet=U0&amp;row=500&amp;col=7&amp;number=0.000103&amp;sourceID=14","0.000103")</f>
        <v>0.000103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HYPERLINK("http://141.218.60.56/~jnz1568/getInfo.php?workbook=14_02.xlsx&amp;sheet=U0&amp;row=501&amp;col=6&amp;number=4.7&amp;sourceID=14","4.7")</f>
        <v>4.7</v>
      </c>
      <c r="G501" s="4" t="str">
        <f>HYPERLINK("http://141.218.60.56/~jnz1568/getInfo.php?workbook=14_02.xlsx&amp;sheet=U0&amp;row=501&amp;col=7&amp;number=0.000103&amp;sourceID=14","0.000103")</f>
        <v>0.000103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HYPERLINK("http://141.218.60.56/~jnz1568/getInfo.php?workbook=14_02.xlsx&amp;sheet=U0&amp;row=502&amp;col=6&amp;number=4.8&amp;sourceID=14","4.8")</f>
        <v>4.8</v>
      </c>
      <c r="G502" s="4" t="str">
        <f>HYPERLINK("http://141.218.60.56/~jnz1568/getInfo.php?workbook=14_02.xlsx&amp;sheet=U0&amp;row=502&amp;col=7&amp;number=0.000102&amp;sourceID=14","0.000102")</f>
        <v>0.000102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HYPERLINK("http://141.218.60.56/~jnz1568/getInfo.php?workbook=14_02.xlsx&amp;sheet=U0&amp;row=503&amp;col=6&amp;number=4.9&amp;sourceID=14","4.9")</f>
        <v>4.9</v>
      </c>
      <c r="G503" s="4" t="str">
        <f>HYPERLINK("http://141.218.60.56/~jnz1568/getInfo.php?workbook=14_02.xlsx&amp;sheet=U0&amp;row=503&amp;col=7&amp;number=0.000102&amp;sourceID=14","0.000102")</f>
        <v>0.000102</v>
      </c>
    </row>
    <row r="504" spans="1:7">
      <c r="A504" s="3">
        <v>14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HYPERLINK("http://141.218.60.56/~jnz1568/getInfo.php?workbook=14_02.xlsx&amp;sheet=U0&amp;row=504&amp;col=6&amp;number=3&amp;sourceID=14","3")</f>
        <v>3</v>
      </c>
      <c r="G504" s="4" t="str">
        <f>HYPERLINK("http://141.218.60.56/~jnz1568/getInfo.php?workbook=14_02.xlsx&amp;sheet=U0&amp;row=504&amp;col=7&amp;number=3.58e-05&amp;sourceID=14","3.58e-05")</f>
        <v>3.58e-05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HYPERLINK("http://141.218.60.56/~jnz1568/getInfo.php?workbook=14_02.xlsx&amp;sheet=U0&amp;row=505&amp;col=6&amp;number=3.1&amp;sourceID=14","3.1")</f>
        <v>3.1</v>
      </c>
      <c r="G505" s="4" t="str">
        <f>HYPERLINK("http://141.218.60.56/~jnz1568/getInfo.php?workbook=14_02.xlsx&amp;sheet=U0&amp;row=505&amp;col=7&amp;number=3.58e-05&amp;sourceID=14","3.58e-05")</f>
        <v>3.58e-05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HYPERLINK("http://141.218.60.56/~jnz1568/getInfo.php?workbook=14_02.xlsx&amp;sheet=U0&amp;row=506&amp;col=6&amp;number=3.2&amp;sourceID=14","3.2")</f>
        <v>3.2</v>
      </c>
      <c r="G506" s="4" t="str">
        <f>HYPERLINK("http://141.218.60.56/~jnz1568/getInfo.php?workbook=14_02.xlsx&amp;sheet=U0&amp;row=506&amp;col=7&amp;number=3.58e-05&amp;sourceID=14","3.58e-05")</f>
        <v>3.58e-05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HYPERLINK("http://141.218.60.56/~jnz1568/getInfo.php?workbook=14_02.xlsx&amp;sheet=U0&amp;row=507&amp;col=6&amp;number=3.3&amp;sourceID=14","3.3")</f>
        <v>3.3</v>
      </c>
      <c r="G507" s="4" t="str">
        <f>HYPERLINK("http://141.218.60.56/~jnz1568/getInfo.php?workbook=14_02.xlsx&amp;sheet=U0&amp;row=507&amp;col=7&amp;number=3.58e-05&amp;sourceID=14","3.58e-05")</f>
        <v>3.58e-05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HYPERLINK("http://141.218.60.56/~jnz1568/getInfo.php?workbook=14_02.xlsx&amp;sheet=U0&amp;row=508&amp;col=6&amp;number=3.4&amp;sourceID=14","3.4")</f>
        <v>3.4</v>
      </c>
      <c r="G508" s="4" t="str">
        <f>HYPERLINK("http://141.218.60.56/~jnz1568/getInfo.php?workbook=14_02.xlsx&amp;sheet=U0&amp;row=508&amp;col=7&amp;number=3.58e-05&amp;sourceID=14","3.58e-05")</f>
        <v>3.58e-05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HYPERLINK("http://141.218.60.56/~jnz1568/getInfo.php?workbook=14_02.xlsx&amp;sheet=U0&amp;row=509&amp;col=6&amp;number=3.5&amp;sourceID=14","3.5")</f>
        <v>3.5</v>
      </c>
      <c r="G509" s="4" t="str">
        <f>HYPERLINK("http://141.218.60.56/~jnz1568/getInfo.php?workbook=14_02.xlsx&amp;sheet=U0&amp;row=509&amp;col=7&amp;number=3.58e-05&amp;sourceID=14","3.58e-05")</f>
        <v>3.58e-05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HYPERLINK("http://141.218.60.56/~jnz1568/getInfo.php?workbook=14_02.xlsx&amp;sheet=U0&amp;row=510&amp;col=6&amp;number=3.6&amp;sourceID=14","3.6")</f>
        <v>3.6</v>
      </c>
      <c r="G510" s="4" t="str">
        <f>HYPERLINK("http://141.218.60.56/~jnz1568/getInfo.php?workbook=14_02.xlsx&amp;sheet=U0&amp;row=510&amp;col=7&amp;number=3.58e-05&amp;sourceID=14","3.58e-05")</f>
        <v>3.58e-05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HYPERLINK("http://141.218.60.56/~jnz1568/getInfo.php?workbook=14_02.xlsx&amp;sheet=U0&amp;row=511&amp;col=6&amp;number=3.7&amp;sourceID=14","3.7")</f>
        <v>3.7</v>
      </c>
      <c r="G511" s="4" t="str">
        <f>HYPERLINK("http://141.218.60.56/~jnz1568/getInfo.php?workbook=14_02.xlsx&amp;sheet=U0&amp;row=511&amp;col=7&amp;number=3.58e-05&amp;sourceID=14","3.58e-05")</f>
        <v>3.58e-05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HYPERLINK("http://141.218.60.56/~jnz1568/getInfo.php?workbook=14_02.xlsx&amp;sheet=U0&amp;row=512&amp;col=6&amp;number=3.8&amp;sourceID=14","3.8")</f>
        <v>3.8</v>
      </c>
      <c r="G512" s="4" t="str">
        <f>HYPERLINK("http://141.218.60.56/~jnz1568/getInfo.php?workbook=14_02.xlsx&amp;sheet=U0&amp;row=512&amp;col=7&amp;number=3.58e-05&amp;sourceID=14","3.58e-05")</f>
        <v>3.58e-05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HYPERLINK("http://141.218.60.56/~jnz1568/getInfo.php?workbook=14_02.xlsx&amp;sheet=U0&amp;row=513&amp;col=6&amp;number=3.9&amp;sourceID=14","3.9")</f>
        <v>3.9</v>
      </c>
      <c r="G513" s="4" t="str">
        <f>HYPERLINK("http://141.218.60.56/~jnz1568/getInfo.php?workbook=14_02.xlsx&amp;sheet=U0&amp;row=513&amp;col=7&amp;number=3.58e-05&amp;sourceID=14","3.58e-05")</f>
        <v>3.58e-05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HYPERLINK("http://141.218.60.56/~jnz1568/getInfo.php?workbook=14_02.xlsx&amp;sheet=U0&amp;row=514&amp;col=6&amp;number=4&amp;sourceID=14","4")</f>
        <v>4</v>
      </c>
      <c r="G514" s="4" t="str">
        <f>HYPERLINK("http://141.218.60.56/~jnz1568/getInfo.php?workbook=14_02.xlsx&amp;sheet=U0&amp;row=514&amp;col=7&amp;number=3.58e-05&amp;sourceID=14","3.58e-05")</f>
        <v>3.58e-05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HYPERLINK("http://141.218.60.56/~jnz1568/getInfo.php?workbook=14_02.xlsx&amp;sheet=U0&amp;row=515&amp;col=6&amp;number=4.1&amp;sourceID=14","4.1")</f>
        <v>4.1</v>
      </c>
      <c r="G515" s="4" t="str">
        <f>HYPERLINK("http://141.218.60.56/~jnz1568/getInfo.php?workbook=14_02.xlsx&amp;sheet=U0&amp;row=515&amp;col=7&amp;number=3.58e-05&amp;sourceID=14","3.58e-05")</f>
        <v>3.58e-05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HYPERLINK("http://141.218.60.56/~jnz1568/getInfo.php?workbook=14_02.xlsx&amp;sheet=U0&amp;row=516&amp;col=6&amp;number=4.2&amp;sourceID=14","4.2")</f>
        <v>4.2</v>
      </c>
      <c r="G516" s="4" t="str">
        <f>HYPERLINK("http://141.218.60.56/~jnz1568/getInfo.php?workbook=14_02.xlsx&amp;sheet=U0&amp;row=516&amp;col=7&amp;number=3.58e-05&amp;sourceID=14","3.58e-05")</f>
        <v>3.58e-05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HYPERLINK("http://141.218.60.56/~jnz1568/getInfo.php?workbook=14_02.xlsx&amp;sheet=U0&amp;row=517&amp;col=6&amp;number=4.3&amp;sourceID=14","4.3")</f>
        <v>4.3</v>
      </c>
      <c r="G517" s="4" t="str">
        <f>HYPERLINK("http://141.218.60.56/~jnz1568/getInfo.php?workbook=14_02.xlsx&amp;sheet=U0&amp;row=517&amp;col=7&amp;number=3.59e-05&amp;sourceID=14","3.59e-05")</f>
        <v>3.59e-05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HYPERLINK("http://141.218.60.56/~jnz1568/getInfo.php?workbook=14_02.xlsx&amp;sheet=U0&amp;row=518&amp;col=6&amp;number=4.4&amp;sourceID=14","4.4")</f>
        <v>4.4</v>
      </c>
      <c r="G518" s="4" t="str">
        <f>HYPERLINK("http://141.218.60.56/~jnz1568/getInfo.php?workbook=14_02.xlsx&amp;sheet=U0&amp;row=518&amp;col=7&amp;number=3.59e-05&amp;sourceID=14","3.59e-05")</f>
        <v>3.59e-05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HYPERLINK("http://141.218.60.56/~jnz1568/getInfo.php?workbook=14_02.xlsx&amp;sheet=U0&amp;row=519&amp;col=6&amp;number=4.5&amp;sourceID=14","4.5")</f>
        <v>4.5</v>
      </c>
      <c r="G519" s="4" t="str">
        <f>HYPERLINK("http://141.218.60.56/~jnz1568/getInfo.php?workbook=14_02.xlsx&amp;sheet=U0&amp;row=519&amp;col=7&amp;number=3.59e-05&amp;sourceID=14","3.59e-05")</f>
        <v>3.59e-05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HYPERLINK("http://141.218.60.56/~jnz1568/getInfo.php?workbook=14_02.xlsx&amp;sheet=U0&amp;row=520&amp;col=6&amp;number=4.6&amp;sourceID=14","4.6")</f>
        <v>4.6</v>
      </c>
      <c r="G520" s="4" t="str">
        <f>HYPERLINK("http://141.218.60.56/~jnz1568/getInfo.php?workbook=14_02.xlsx&amp;sheet=U0&amp;row=520&amp;col=7&amp;number=3.59e-05&amp;sourceID=14","3.59e-05")</f>
        <v>3.59e-05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HYPERLINK("http://141.218.60.56/~jnz1568/getInfo.php?workbook=14_02.xlsx&amp;sheet=U0&amp;row=521&amp;col=6&amp;number=4.7&amp;sourceID=14","4.7")</f>
        <v>4.7</v>
      </c>
      <c r="G521" s="4" t="str">
        <f>HYPERLINK("http://141.218.60.56/~jnz1568/getInfo.php?workbook=14_02.xlsx&amp;sheet=U0&amp;row=521&amp;col=7&amp;number=3.6e-05&amp;sourceID=14","3.6e-05")</f>
        <v>3.6e-05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HYPERLINK("http://141.218.60.56/~jnz1568/getInfo.php?workbook=14_02.xlsx&amp;sheet=U0&amp;row=522&amp;col=6&amp;number=4.8&amp;sourceID=14","4.8")</f>
        <v>4.8</v>
      </c>
      <c r="G522" s="4" t="str">
        <f>HYPERLINK("http://141.218.60.56/~jnz1568/getInfo.php?workbook=14_02.xlsx&amp;sheet=U0&amp;row=522&amp;col=7&amp;number=3.6e-05&amp;sourceID=14","3.6e-05")</f>
        <v>3.6e-05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HYPERLINK("http://141.218.60.56/~jnz1568/getInfo.php?workbook=14_02.xlsx&amp;sheet=U0&amp;row=523&amp;col=6&amp;number=4.9&amp;sourceID=14","4.9")</f>
        <v>4.9</v>
      </c>
      <c r="G523" s="4" t="str">
        <f>HYPERLINK("http://141.218.60.56/~jnz1568/getInfo.php?workbook=14_02.xlsx&amp;sheet=U0&amp;row=523&amp;col=7&amp;number=3.61e-05&amp;sourceID=14","3.61e-05")</f>
        <v>3.61e-05</v>
      </c>
    </row>
    <row r="524" spans="1:7">
      <c r="A524" s="3">
        <v>14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HYPERLINK("http://141.218.60.56/~jnz1568/getInfo.php?workbook=14_02.xlsx&amp;sheet=U0&amp;row=524&amp;col=6&amp;number=3&amp;sourceID=14","3")</f>
        <v>3</v>
      </c>
      <c r="G524" s="4" t="str">
        <f>HYPERLINK("http://141.218.60.56/~jnz1568/getInfo.php?workbook=14_02.xlsx&amp;sheet=U0&amp;row=524&amp;col=7&amp;number=3.5e-06&amp;sourceID=14","3.5e-06")</f>
        <v>3.5e-06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HYPERLINK("http://141.218.60.56/~jnz1568/getInfo.php?workbook=14_02.xlsx&amp;sheet=U0&amp;row=525&amp;col=6&amp;number=3.1&amp;sourceID=14","3.1")</f>
        <v>3.1</v>
      </c>
      <c r="G525" s="4" t="str">
        <f>HYPERLINK("http://141.218.60.56/~jnz1568/getInfo.php?workbook=14_02.xlsx&amp;sheet=U0&amp;row=525&amp;col=7&amp;number=3.5e-06&amp;sourceID=14","3.5e-06")</f>
        <v>3.5e-06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HYPERLINK("http://141.218.60.56/~jnz1568/getInfo.php?workbook=14_02.xlsx&amp;sheet=U0&amp;row=526&amp;col=6&amp;number=3.2&amp;sourceID=14","3.2")</f>
        <v>3.2</v>
      </c>
      <c r="G526" s="4" t="str">
        <f>HYPERLINK("http://141.218.60.56/~jnz1568/getInfo.php?workbook=14_02.xlsx&amp;sheet=U0&amp;row=526&amp;col=7&amp;number=3.5e-06&amp;sourceID=14","3.5e-06")</f>
        <v>3.5e-06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HYPERLINK("http://141.218.60.56/~jnz1568/getInfo.php?workbook=14_02.xlsx&amp;sheet=U0&amp;row=527&amp;col=6&amp;number=3.3&amp;sourceID=14","3.3")</f>
        <v>3.3</v>
      </c>
      <c r="G527" s="4" t="str">
        <f>HYPERLINK("http://141.218.60.56/~jnz1568/getInfo.php?workbook=14_02.xlsx&amp;sheet=U0&amp;row=527&amp;col=7&amp;number=3.5e-06&amp;sourceID=14","3.5e-06")</f>
        <v>3.5e-06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HYPERLINK("http://141.218.60.56/~jnz1568/getInfo.php?workbook=14_02.xlsx&amp;sheet=U0&amp;row=528&amp;col=6&amp;number=3.4&amp;sourceID=14","3.4")</f>
        <v>3.4</v>
      </c>
      <c r="G528" s="4" t="str">
        <f>HYPERLINK("http://141.218.60.56/~jnz1568/getInfo.php?workbook=14_02.xlsx&amp;sheet=U0&amp;row=528&amp;col=7&amp;number=3.5e-06&amp;sourceID=14","3.5e-06")</f>
        <v>3.5e-06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HYPERLINK("http://141.218.60.56/~jnz1568/getInfo.php?workbook=14_02.xlsx&amp;sheet=U0&amp;row=529&amp;col=6&amp;number=3.5&amp;sourceID=14","3.5")</f>
        <v>3.5</v>
      </c>
      <c r="G529" s="4" t="str">
        <f>HYPERLINK("http://141.218.60.56/~jnz1568/getInfo.php?workbook=14_02.xlsx&amp;sheet=U0&amp;row=529&amp;col=7&amp;number=3.5e-06&amp;sourceID=14","3.5e-06")</f>
        <v>3.5e-06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HYPERLINK("http://141.218.60.56/~jnz1568/getInfo.php?workbook=14_02.xlsx&amp;sheet=U0&amp;row=530&amp;col=6&amp;number=3.6&amp;sourceID=14","3.6")</f>
        <v>3.6</v>
      </c>
      <c r="G530" s="4" t="str">
        <f>HYPERLINK("http://141.218.60.56/~jnz1568/getInfo.php?workbook=14_02.xlsx&amp;sheet=U0&amp;row=530&amp;col=7&amp;number=3.5e-06&amp;sourceID=14","3.5e-06")</f>
        <v>3.5e-06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HYPERLINK("http://141.218.60.56/~jnz1568/getInfo.php?workbook=14_02.xlsx&amp;sheet=U0&amp;row=531&amp;col=6&amp;number=3.7&amp;sourceID=14","3.7")</f>
        <v>3.7</v>
      </c>
      <c r="G531" s="4" t="str">
        <f>HYPERLINK("http://141.218.60.56/~jnz1568/getInfo.php?workbook=14_02.xlsx&amp;sheet=U0&amp;row=531&amp;col=7&amp;number=3.5e-06&amp;sourceID=14","3.5e-06")</f>
        <v>3.5e-06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HYPERLINK("http://141.218.60.56/~jnz1568/getInfo.php?workbook=14_02.xlsx&amp;sheet=U0&amp;row=532&amp;col=6&amp;number=3.8&amp;sourceID=14","3.8")</f>
        <v>3.8</v>
      </c>
      <c r="G532" s="4" t="str">
        <f>HYPERLINK("http://141.218.60.56/~jnz1568/getInfo.php?workbook=14_02.xlsx&amp;sheet=U0&amp;row=532&amp;col=7&amp;number=3.5e-06&amp;sourceID=14","3.5e-06")</f>
        <v>3.5e-06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HYPERLINK("http://141.218.60.56/~jnz1568/getInfo.php?workbook=14_02.xlsx&amp;sheet=U0&amp;row=533&amp;col=6&amp;number=3.9&amp;sourceID=14","3.9")</f>
        <v>3.9</v>
      </c>
      <c r="G533" s="4" t="str">
        <f>HYPERLINK("http://141.218.60.56/~jnz1568/getInfo.php?workbook=14_02.xlsx&amp;sheet=U0&amp;row=533&amp;col=7&amp;number=3.5e-06&amp;sourceID=14","3.5e-06")</f>
        <v>3.5e-06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HYPERLINK("http://141.218.60.56/~jnz1568/getInfo.php?workbook=14_02.xlsx&amp;sheet=U0&amp;row=534&amp;col=6&amp;number=4&amp;sourceID=14","4")</f>
        <v>4</v>
      </c>
      <c r="G534" s="4" t="str">
        <f>HYPERLINK("http://141.218.60.56/~jnz1568/getInfo.php?workbook=14_02.xlsx&amp;sheet=U0&amp;row=534&amp;col=7&amp;number=3.5e-06&amp;sourceID=14","3.5e-06")</f>
        <v>3.5e-06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HYPERLINK("http://141.218.60.56/~jnz1568/getInfo.php?workbook=14_02.xlsx&amp;sheet=U0&amp;row=535&amp;col=6&amp;number=4.1&amp;sourceID=14","4.1")</f>
        <v>4.1</v>
      </c>
      <c r="G535" s="4" t="str">
        <f>HYPERLINK("http://141.218.60.56/~jnz1568/getInfo.php?workbook=14_02.xlsx&amp;sheet=U0&amp;row=535&amp;col=7&amp;number=3.5e-06&amp;sourceID=14","3.5e-06")</f>
        <v>3.5e-06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HYPERLINK("http://141.218.60.56/~jnz1568/getInfo.php?workbook=14_02.xlsx&amp;sheet=U0&amp;row=536&amp;col=6&amp;number=4.2&amp;sourceID=14","4.2")</f>
        <v>4.2</v>
      </c>
      <c r="G536" s="4" t="str">
        <f>HYPERLINK("http://141.218.60.56/~jnz1568/getInfo.php?workbook=14_02.xlsx&amp;sheet=U0&amp;row=536&amp;col=7&amp;number=3.5e-06&amp;sourceID=14","3.5e-06")</f>
        <v>3.5e-06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HYPERLINK("http://141.218.60.56/~jnz1568/getInfo.php?workbook=14_02.xlsx&amp;sheet=U0&amp;row=537&amp;col=6&amp;number=4.3&amp;sourceID=14","4.3")</f>
        <v>4.3</v>
      </c>
      <c r="G537" s="4" t="str">
        <f>HYPERLINK("http://141.218.60.56/~jnz1568/getInfo.php?workbook=14_02.xlsx&amp;sheet=U0&amp;row=537&amp;col=7&amp;number=3.5e-06&amp;sourceID=14","3.5e-06")</f>
        <v>3.5e-06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HYPERLINK("http://141.218.60.56/~jnz1568/getInfo.php?workbook=14_02.xlsx&amp;sheet=U0&amp;row=538&amp;col=6&amp;number=4.4&amp;sourceID=14","4.4")</f>
        <v>4.4</v>
      </c>
      <c r="G538" s="4" t="str">
        <f>HYPERLINK("http://141.218.60.56/~jnz1568/getInfo.php?workbook=14_02.xlsx&amp;sheet=U0&amp;row=538&amp;col=7&amp;number=3.5e-06&amp;sourceID=14","3.5e-06")</f>
        <v>3.5e-06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HYPERLINK("http://141.218.60.56/~jnz1568/getInfo.php?workbook=14_02.xlsx&amp;sheet=U0&amp;row=539&amp;col=6&amp;number=4.5&amp;sourceID=14","4.5")</f>
        <v>4.5</v>
      </c>
      <c r="G539" s="4" t="str">
        <f>HYPERLINK("http://141.218.60.56/~jnz1568/getInfo.php?workbook=14_02.xlsx&amp;sheet=U0&amp;row=539&amp;col=7&amp;number=3.49e-06&amp;sourceID=14","3.49e-06")</f>
        <v>3.49e-06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HYPERLINK("http://141.218.60.56/~jnz1568/getInfo.php?workbook=14_02.xlsx&amp;sheet=U0&amp;row=540&amp;col=6&amp;number=4.6&amp;sourceID=14","4.6")</f>
        <v>4.6</v>
      </c>
      <c r="G540" s="4" t="str">
        <f>HYPERLINK("http://141.218.60.56/~jnz1568/getInfo.php?workbook=14_02.xlsx&amp;sheet=U0&amp;row=540&amp;col=7&amp;number=3.49e-06&amp;sourceID=14","3.49e-06")</f>
        <v>3.49e-06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HYPERLINK("http://141.218.60.56/~jnz1568/getInfo.php?workbook=14_02.xlsx&amp;sheet=U0&amp;row=541&amp;col=6&amp;number=4.7&amp;sourceID=14","4.7")</f>
        <v>4.7</v>
      </c>
      <c r="G541" s="4" t="str">
        <f>HYPERLINK("http://141.218.60.56/~jnz1568/getInfo.php?workbook=14_02.xlsx&amp;sheet=U0&amp;row=541&amp;col=7&amp;number=3.49e-06&amp;sourceID=14","3.49e-06")</f>
        <v>3.49e-06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HYPERLINK("http://141.218.60.56/~jnz1568/getInfo.php?workbook=14_02.xlsx&amp;sheet=U0&amp;row=542&amp;col=6&amp;number=4.8&amp;sourceID=14","4.8")</f>
        <v>4.8</v>
      </c>
      <c r="G542" s="4" t="str">
        <f>HYPERLINK("http://141.218.60.56/~jnz1568/getInfo.php?workbook=14_02.xlsx&amp;sheet=U0&amp;row=542&amp;col=7&amp;number=3.48e-06&amp;sourceID=14","3.48e-06")</f>
        <v>3.48e-06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HYPERLINK("http://141.218.60.56/~jnz1568/getInfo.php?workbook=14_02.xlsx&amp;sheet=U0&amp;row=543&amp;col=6&amp;number=4.9&amp;sourceID=14","4.9")</f>
        <v>4.9</v>
      </c>
      <c r="G543" s="4" t="str">
        <f>HYPERLINK("http://141.218.60.56/~jnz1568/getInfo.php?workbook=14_02.xlsx&amp;sheet=U0&amp;row=543&amp;col=7&amp;number=3.48e-06&amp;sourceID=14","3.48e-06")</f>
        <v>3.48e-06</v>
      </c>
    </row>
    <row r="544" spans="1:7">
      <c r="A544" s="3">
        <v>14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HYPERLINK("http://141.218.60.56/~jnz1568/getInfo.php?workbook=14_02.xlsx&amp;sheet=U0&amp;row=544&amp;col=6&amp;number=3&amp;sourceID=14","3")</f>
        <v>3</v>
      </c>
      <c r="G544" s="4" t="str">
        <f>HYPERLINK("http://141.218.60.56/~jnz1568/getInfo.php?workbook=14_02.xlsx&amp;sheet=U0&amp;row=544&amp;col=7&amp;number=4e-06&amp;sourceID=14","4e-06")</f>
        <v>4e-06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HYPERLINK("http://141.218.60.56/~jnz1568/getInfo.php?workbook=14_02.xlsx&amp;sheet=U0&amp;row=545&amp;col=6&amp;number=3.1&amp;sourceID=14","3.1")</f>
        <v>3.1</v>
      </c>
      <c r="G545" s="4" t="str">
        <f>HYPERLINK("http://141.218.60.56/~jnz1568/getInfo.php?workbook=14_02.xlsx&amp;sheet=U0&amp;row=545&amp;col=7&amp;number=4e-06&amp;sourceID=14","4e-06")</f>
        <v>4e-06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HYPERLINK("http://141.218.60.56/~jnz1568/getInfo.php?workbook=14_02.xlsx&amp;sheet=U0&amp;row=546&amp;col=6&amp;number=3.2&amp;sourceID=14","3.2")</f>
        <v>3.2</v>
      </c>
      <c r="G546" s="4" t="str">
        <f>HYPERLINK("http://141.218.60.56/~jnz1568/getInfo.php?workbook=14_02.xlsx&amp;sheet=U0&amp;row=546&amp;col=7&amp;number=4e-06&amp;sourceID=14","4e-06")</f>
        <v>4e-06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HYPERLINK("http://141.218.60.56/~jnz1568/getInfo.php?workbook=14_02.xlsx&amp;sheet=U0&amp;row=547&amp;col=6&amp;number=3.3&amp;sourceID=14","3.3")</f>
        <v>3.3</v>
      </c>
      <c r="G547" s="4" t="str">
        <f>HYPERLINK("http://141.218.60.56/~jnz1568/getInfo.php?workbook=14_02.xlsx&amp;sheet=U0&amp;row=547&amp;col=7&amp;number=4e-06&amp;sourceID=14","4e-06")</f>
        <v>4e-06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HYPERLINK("http://141.218.60.56/~jnz1568/getInfo.php?workbook=14_02.xlsx&amp;sheet=U0&amp;row=548&amp;col=6&amp;number=3.4&amp;sourceID=14","3.4")</f>
        <v>3.4</v>
      </c>
      <c r="G548" s="4" t="str">
        <f>HYPERLINK("http://141.218.60.56/~jnz1568/getInfo.php?workbook=14_02.xlsx&amp;sheet=U0&amp;row=548&amp;col=7&amp;number=4e-06&amp;sourceID=14","4e-06")</f>
        <v>4e-06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HYPERLINK("http://141.218.60.56/~jnz1568/getInfo.php?workbook=14_02.xlsx&amp;sheet=U0&amp;row=549&amp;col=6&amp;number=3.5&amp;sourceID=14","3.5")</f>
        <v>3.5</v>
      </c>
      <c r="G549" s="4" t="str">
        <f>HYPERLINK("http://141.218.60.56/~jnz1568/getInfo.php?workbook=14_02.xlsx&amp;sheet=U0&amp;row=549&amp;col=7&amp;number=4e-06&amp;sourceID=14","4e-06")</f>
        <v>4e-06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HYPERLINK("http://141.218.60.56/~jnz1568/getInfo.php?workbook=14_02.xlsx&amp;sheet=U0&amp;row=550&amp;col=6&amp;number=3.6&amp;sourceID=14","3.6")</f>
        <v>3.6</v>
      </c>
      <c r="G550" s="4" t="str">
        <f>HYPERLINK("http://141.218.60.56/~jnz1568/getInfo.php?workbook=14_02.xlsx&amp;sheet=U0&amp;row=550&amp;col=7&amp;number=4e-06&amp;sourceID=14","4e-06")</f>
        <v>4e-06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HYPERLINK("http://141.218.60.56/~jnz1568/getInfo.php?workbook=14_02.xlsx&amp;sheet=U0&amp;row=551&amp;col=6&amp;number=3.7&amp;sourceID=14","3.7")</f>
        <v>3.7</v>
      </c>
      <c r="G551" s="4" t="str">
        <f>HYPERLINK("http://141.218.60.56/~jnz1568/getInfo.php?workbook=14_02.xlsx&amp;sheet=U0&amp;row=551&amp;col=7&amp;number=4e-06&amp;sourceID=14","4e-06")</f>
        <v>4e-06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HYPERLINK("http://141.218.60.56/~jnz1568/getInfo.php?workbook=14_02.xlsx&amp;sheet=U0&amp;row=552&amp;col=6&amp;number=3.8&amp;sourceID=14","3.8")</f>
        <v>3.8</v>
      </c>
      <c r="G552" s="4" t="str">
        <f>HYPERLINK("http://141.218.60.56/~jnz1568/getInfo.php?workbook=14_02.xlsx&amp;sheet=U0&amp;row=552&amp;col=7&amp;number=4e-06&amp;sourceID=14","4e-06")</f>
        <v>4e-06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HYPERLINK("http://141.218.60.56/~jnz1568/getInfo.php?workbook=14_02.xlsx&amp;sheet=U0&amp;row=553&amp;col=6&amp;number=3.9&amp;sourceID=14","3.9")</f>
        <v>3.9</v>
      </c>
      <c r="G553" s="4" t="str">
        <f>HYPERLINK("http://141.218.60.56/~jnz1568/getInfo.php?workbook=14_02.xlsx&amp;sheet=U0&amp;row=553&amp;col=7&amp;number=4e-06&amp;sourceID=14","4e-06")</f>
        <v>4e-06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HYPERLINK("http://141.218.60.56/~jnz1568/getInfo.php?workbook=14_02.xlsx&amp;sheet=U0&amp;row=554&amp;col=6&amp;number=4&amp;sourceID=14","4")</f>
        <v>4</v>
      </c>
      <c r="G554" s="4" t="str">
        <f>HYPERLINK("http://141.218.60.56/~jnz1568/getInfo.php?workbook=14_02.xlsx&amp;sheet=U0&amp;row=554&amp;col=7&amp;number=4e-06&amp;sourceID=14","4e-06")</f>
        <v>4e-06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HYPERLINK("http://141.218.60.56/~jnz1568/getInfo.php?workbook=14_02.xlsx&amp;sheet=U0&amp;row=555&amp;col=6&amp;number=4.1&amp;sourceID=14","4.1")</f>
        <v>4.1</v>
      </c>
      <c r="G555" s="4" t="str">
        <f>HYPERLINK("http://141.218.60.56/~jnz1568/getInfo.php?workbook=14_02.xlsx&amp;sheet=U0&amp;row=555&amp;col=7&amp;number=4e-06&amp;sourceID=14","4e-06")</f>
        <v>4e-06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HYPERLINK("http://141.218.60.56/~jnz1568/getInfo.php?workbook=14_02.xlsx&amp;sheet=U0&amp;row=556&amp;col=6&amp;number=4.2&amp;sourceID=14","4.2")</f>
        <v>4.2</v>
      </c>
      <c r="G556" s="4" t="str">
        <f>HYPERLINK("http://141.218.60.56/~jnz1568/getInfo.php?workbook=14_02.xlsx&amp;sheet=U0&amp;row=556&amp;col=7&amp;number=4e-06&amp;sourceID=14","4e-06")</f>
        <v>4e-06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HYPERLINK("http://141.218.60.56/~jnz1568/getInfo.php?workbook=14_02.xlsx&amp;sheet=U0&amp;row=557&amp;col=6&amp;number=4.3&amp;sourceID=14","4.3")</f>
        <v>4.3</v>
      </c>
      <c r="G557" s="4" t="str">
        <f>HYPERLINK("http://141.218.60.56/~jnz1568/getInfo.php?workbook=14_02.xlsx&amp;sheet=U0&amp;row=557&amp;col=7&amp;number=4e-06&amp;sourceID=14","4e-06")</f>
        <v>4e-06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HYPERLINK("http://141.218.60.56/~jnz1568/getInfo.php?workbook=14_02.xlsx&amp;sheet=U0&amp;row=558&amp;col=6&amp;number=4.4&amp;sourceID=14","4.4")</f>
        <v>4.4</v>
      </c>
      <c r="G558" s="4" t="str">
        <f>HYPERLINK("http://141.218.60.56/~jnz1568/getInfo.php?workbook=14_02.xlsx&amp;sheet=U0&amp;row=558&amp;col=7&amp;number=4e-06&amp;sourceID=14","4e-06")</f>
        <v>4e-06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HYPERLINK("http://141.218.60.56/~jnz1568/getInfo.php?workbook=14_02.xlsx&amp;sheet=U0&amp;row=559&amp;col=6&amp;number=4.5&amp;sourceID=14","4.5")</f>
        <v>4.5</v>
      </c>
      <c r="G559" s="4" t="str">
        <f>HYPERLINK("http://141.218.60.56/~jnz1568/getInfo.php?workbook=14_02.xlsx&amp;sheet=U0&amp;row=559&amp;col=7&amp;number=4e-06&amp;sourceID=14","4e-06")</f>
        <v>4e-06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HYPERLINK("http://141.218.60.56/~jnz1568/getInfo.php?workbook=14_02.xlsx&amp;sheet=U0&amp;row=560&amp;col=6&amp;number=4.6&amp;sourceID=14","4.6")</f>
        <v>4.6</v>
      </c>
      <c r="G560" s="4" t="str">
        <f>HYPERLINK("http://141.218.60.56/~jnz1568/getInfo.php?workbook=14_02.xlsx&amp;sheet=U0&amp;row=560&amp;col=7&amp;number=4e-06&amp;sourceID=14","4e-06")</f>
        <v>4e-06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HYPERLINK("http://141.218.60.56/~jnz1568/getInfo.php?workbook=14_02.xlsx&amp;sheet=U0&amp;row=561&amp;col=6&amp;number=4.7&amp;sourceID=14","4.7")</f>
        <v>4.7</v>
      </c>
      <c r="G561" s="4" t="str">
        <f>HYPERLINK("http://141.218.60.56/~jnz1568/getInfo.php?workbook=14_02.xlsx&amp;sheet=U0&amp;row=561&amp;col=7&amp;number=3.99e-06&amp;sourceID=14","3.99e-06")</f>
        <v>3.99e-06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HYPERLINK("http://141.218.60.56/~jnz1568/getInfo.php?workbook=14_02.xlsx&amp;sheet=U0&amp;row=562&amp;col=6&amp;number=4.8&amp;sourceID=14","4.8")</f>
        <v>4.8</v>
      </c>
      <c r="G562" s="4" t="str">
        <f>HYPERLINK("http://141.218.60.56/~jnz1568/getInfo.php?workbook=14_02.xlsx&amp;sheet=U0&amp;row=562&amp;col=7&amp;number=3.99e-06&amp;sourceID=14","3.99e-06")</f>
        <v>3.99e-06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HYPERLINK("http://141.218.60.56/~jnz1568/getInfo.php?workbook=14_02.xlsx&amp;sheet=U0&amp;row=563&amp;col=6&amp;number=4.9&amp;sourceID=14","4.9")</f>
        <v>4.9</v>
      </c>
      <c r="G563" s="4" t="str">
        <f>HYPERLINK("http://141.218.60.56/~jnz1568/getInfo.php?workbook=14_02.xlsx&amp;sheet=U0&amp;row=563&amp;col=7&amp;number=3.99e-06&amp;sourceID=14","3.99e-06")</f>
        <v>3.99e-06</v>
      </c>
    </row>
    <row r="564" spans="1:7">
      <c r="A564" s="3">
        <v>14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HYPERLINK("http://141.218.60.56/~jnz1568/getInfo.php?workbook=14_02.xlsx&amp;sheet=U0&amp;row=564&amp;col=6&amp;number=3&amp;sourceID=14","3")</f>
        <v>3</v>
      </c>
      <c r="G564" s="4" t="str">
        <f>HYPERLINK("http://141.218.60.56/~jnz1568/getInfo.php?workbook=14_02.xlsx&amp;sheet=U0&amp;row=564&amp;col=7&amp;number=6.31e-06&amp;sourceID=14","6.31e-06")</f>
        <v>6.31e-06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HYPERLINK("http://141.218.60.56/~jnz1568/getInfo.php?workbook=14_02.xlsx&amp;sheet=U0&amp;row=565&amp;col=6&amp;number=3.1&amp;sourceID=14","3.1")</f>
        <v>3.1</v>
      </c>
      <c r="G565" s="4" t="str">
        <f>HYPERLINK("http://141.218.60.56/~jnz1568/getInfo.php?workbook=14_02.xlsx&amp;sheet=U0&amp;row=565&amp;col=7&amp;number=6.31e-06&amp;sourceID=14","6.31e-06")</f>
        <v>6.31e-06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HYPERLINK("http://141.218.60.56/~jnz1568/getInfo.php?workbook=14_02.xlsx&amp;sheet=U0&amp;row=566&amp;col=6&amp;number=3.2&amp;sourceID=14","3.2")</f>
        <v>3.2</v>
      </c>
      <c r="G566" s="4" t="str">
        <f>HYPERLINK("http://141.218.60.56/~jnz1568/getInfo.php?workbook=14_02.xlsx&amp;sheet=U0&amp;row=566&amp;col=7&amp;number=6.31e-06&amp;sourceID=14","6.31e-06")</f>
        <v>6.31e-06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HYPERLINK("http://141.218.60.56/~jnz1568/getInfo.php?workbook=14_02.xlsx&amp;sheet=U0&amp;row=567&amp;col=6&amp;number=3.3&amp;sourceID=14","3.3")</f>
        <v>3.3</v>
      </c>
      <c r="G567" s="4" t="str">
        <f>HYPERLINK("http://141.218.60.56/~jnz1568/getInfo.php?workbook=14_02.xlsx&amp;sheet=U0&amp;row=567&amp;col=7&amp;number=6.3e-06&amp;sourceID=14","6.3e-06")</f>
        <v>6.3e-06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HYPERLINK("http://141.218.60.56/~jnz1568/getInfo.php?workbook=14_02.xlsx&amp;sheet=U0&amp;row=568&amp;col=6&amp;number=3.4&amp;sourceID=14","3.4")</f>
        <v>3.4</v>
      </c>
      <c r="G568" s="4" t="str">
        <f>HYPERLINK("http://141.218.60.56/~jnz1568/getInfo.php?workbook=14_02.xlsx&amp;sheet=U0&amp;row=568&amp;col=7&amp;number=6.3e-06&amp;sourceID=14","6.3e-06")</f>
        <v>6.3e-06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HYPERLINK("http://141.218.60.56/~jnz1568/getInfo.php?workbook=14_02.xlsx&amp;sheet=U0&amp;row=569&amp;col=6&amp;number=3.5&amp;sourceID=14","3.5")</f>
        <v>3.5</v>
      </c>
      <c r="G569" s="4" t="str">
        <f>HYPERLINK("http://141.218.60.56/~jnz1568/getInfo.php?workbook=14_02.xlsx&amp;sheet=U0&amp;row=569&amp;col=7&amp;number=6.3e-06&amp;sourceID=14","6.3e-06")</f>
        <v>6.3e-06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HYPERLINK("http://141.218.60.56/~jnz1568/getInfo.php?workbook=14_02.xlsx&amp;sheet=U0&amp;row=570&amp;col=6&amp;number=3.6&amp;sourceID=14","3.6")</f>
        <v>3.6</v>
      </c>
      <c r="G570" s="4" t="str">
        <f>HYPERLINK("http://141.218.60.56/~jnz1568/getInfo.php?workbook=14_02.xlsx&amp;sheet=U0&amp;row=570&amp;col=7&amp;number=6.3e-06&amp;sourceID=14","6.3e-06")</f>
        <v>6.3e-06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HYPERLINK("http://141.218.60.56/~jnz1568/getInfo.php?workbook=14_02.xlsx&amp;sheet=U0&amp;row=571&amp;col=6&amp;number=3.7&amp;sourceID=14","3.7")</f>
        <v>3.7</v>
      </c>
      <c r="G571" s="4" t="str">
        <f>HYPERLINK("http://141.218.60.56/~jnz1568/getInfo.php?workbook=14_02.xlsx&amp;sheet=U0&amp;row=571&amp;col=7&amp;number=6.3e-06&amp;sourceID=14","6.3e-06")</f>
        <v>6.3e-06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HYPERLINK("http://141.218.60.56/~jnz1568/getInfo.php?workbook=14_02.xlsx&amp;sheet=U0&amp;row=572&amp;col=6&amp;number=3.8&amp;sourceID=14","3.8")</f>
        <v>3.8</v>
      </c>
      <c r="G572" s="4" t="str">
        <f>HYPERLINK("http://141.218.60.56/~jnz1568/getInfo.php?workbook=14_02.xlsx&amp;sheet=U0&amp;row=572&amp;col=7&amp;number=6.3e-06&amp;sourceID=14","6.3e-06")</f>
        <v>6.3e-06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HYPERLINK("http://141.218.60.56/~jnz1568/getInfo.php?workbook=14_02.xlsx&amp;sheet=U0&amp;row=573&amp;col=6&amp;number=3.9&amp;sourceID=14","3.9")</f>
        <v>3.9</v>
      </c>
      <c r="G573" s="4" t="str">
        <f>HYPERLINK("http://141.218.60.56/~jnz1568/getInfo.php?workbook=14_02.xlsx&amp;sheet=U0&amp;row=573&amp;col=7&amp;number=6.3e-06&amp;sourceID=14","6.3e-06")</f>
        <v>6.3e-06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HYPERLINK("http://141.218.60.56/~jnz1568/getInfo.php?workbook=14_02.xlsx&amp;sheet=U0&amp;row=574&amp;col=6&amp;number=4&amp;sourceID=14","4")</f>
        <v>4</v>
      </c>
      <c r="G574" s="4" t="str">
        <f>HYPERLINK("http://141.218.60.56/~jnz1568/getInfo.php?workbook=14_02.xlsx&amp;sheet=U0&amp;row=574&amp;col=7&amp;number=6.3e-06&amp;sourceID=14","6.3e-06")</f>
        <v>6.3e-06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HYPERLINK("http://141.218.60.56/~jnz1568/getInfo.php?workbook=14_02.xlsx&amp;sheet=U0&amp;row=575&amp;col=6&amp;number=4.1&amp;sourceID=14","4.1")</f>
        <v>4.1</v>
      </c>
      <c r="G575" s="4" t="str">
        <f>HYPERLINK("http://141.218.60.56/~jnz1568/getInfo.php?workbook=14_02.xlsx&amp;sheet=U0&amp;row=575&amp;col=7&amp;number=6.3e-06&amp;sourceID=14","6.3e-06")</f>
        <v>6.3e-06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HYPERLINK("http://141.218.60.56/~jnz1568/getInfo.php?workbook=14_02.xlsx&amp;sheet=U0&amp;row=576&amp;col=6&amp;number=4.2&amp;sourceID=14","4.2")</f>
        <v>4.2</v>
      </c>
      <c r="G576" s="4" t="str">
        <f>HYPERLINK("http://141.218.60.56/~jnz1568/getInfo.php?workbook=14_02.xlsx&amp;sheet=U0&amp;row=576&amp;col=7&amp;number=6.3e-06&amp;sourceID=14","6.3e-06")</f>
        <v>6.3e-06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HYPERLINK("http://141.218.60.56/~jnz1568/getInfo.php?workbook=14_02.xlsx&amp;sheet=U0&amp;row=577&amp;col=6&amp;number=4.3&amp;sourceID=14","4.3")</f>
        <v>4.3</v>
      </c>
      <c r="G577" s="4" t="str">
        <f>HYPERLINK("http://141.218.60.56/~jnz1568/getInfo.php?workbook=14_02.xlsx&amp;sheet=U0&amp;row=577&amp;col=7&amp;number=6.3e-06&amp;sourceID=14","6.3e-06")</f>
        <v>6.3e-06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HYPERLINK("http://141.218.60.56/~jnz1568/getInfo.php?workbook=14_02.xlsx&amp;sheet=U0&amp;row=578&amp;col=6&amp;number=4.4&amp;sourceID=14","4.4")</f>
        <v>4.4</v>
      </c>
      <c r="G578" s="4" t="str">
        <f>HYPERLINK("http://141.218.60.56/~jnz1568/getInfo.php?workbook=14_02.xlsx&amp;sheet=U0&amp;row=578&amp;col=7&amp;number=6.29e-06&amp;sourceID=14","6.29e-06")</f>
        <v>6.29e-06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HYPERLINK("http://141.218.60.56/~jnz1568/getInfo.php?workbook=14_02.xlsx&amp;sheet=U0&amp;row=579&amp;col=6&amp;number=4.5&amp;sourceID=14","4.5")</f>
        <v>4.5</v>
      </c>
      <c r="G579" s="4" t="str">
        <f>HYPERLINK("http://141.218.60.56/~jnz1568/getInfo.php?workbook=14_02.xlsx&amp;sheet=U0&amp;row=579&amp;col=7&amp;number=6.29e-06&amp;sourceID=14","6.29e-06")</f>
        <v>6.29e-06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HYPERLINK("http://141.218.60.56/~jnz1568/getInfo.php?workbook=14_02.xlsx&amp;sheet=U0&amp;row=580&amp;col=6&amp;number=4.6&amp;sourceID=14","4.6")</f>
        <v>4.6</v>
      </c>
      <c r="G580" s="4" t="str">
        <f>HYPERLINK("http://141.218.60.56/~jnz1568/getInfo.php?workbook=14_02.xlsx&amp;sheet=U0&amp;row=580&amp;col=7&amp;number=6.29e-06&amp;sourceID=14","6.29e-06")</f>
        <v>6.29e-06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HYPERLINK("http://141.218.60.56/~jnz1568/getInfo.php?workbook=14_02.xlsx&amp;sheet=U0&amp;row=581&amp;col=6&amp;number=4.7&amp;sourceID=14","4.7")</f>
        <v>4.7</v>
      </c>
      <c r="G581" s="4" t="str">
        <f>HYPERLINK("http://141.218.60.56/~jnz1568/getInfo.php?workbook=14_02.xlsx&amp;sheet=U0&amp;row=581&amp;col=7&amp;number=6.28e-06&amp;sourceID=14","6.28e-06")</f>
        <v>6.28e-06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HYPERLINK("http://141.218.60.56/~jnz1568/getInfo.php?workbook=14_02.xlsx&amp;sheet=U0&amp;row=582&amp;col=6&amp;number=4.8&amp;sourceID=14","4.8")</f>
        <v>4.8</v>
      </c>
      <c r="G582" s="4" t="str">
        <f>HYPERLINK("http://141.218.60.56/~jnz1568/getInfo.php?workbook=14_02.xlsx&amp;sheet=U0&amp;row=582&amp;col=7&amp;number=6.27e-06&amp;sourceID=14","6.27e-06")</f>
        <v>6.27e-06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HYPERLINK("http://141.218.60.56/~jnz1568/getInfo.php?workbook=14_02.xlsx&amp;sheet=U0&amp;row=583&amp;col=6&amp;number=4.9&amp;sourceID=14","4.9")</f>
        <v>4.9</v>
      </c>
      <c r="G583" s="4" t="str">
        <f>HYPERLINK("http://141.218.60.56/~jnz1568/getInfo.php?workbook=14_02.xlsx&amp;sheet=U0&amp;row=583&amp;col=7&amp;number=6.26e-06&amp;sourceID=14","6.26e-06")</f>
        <v>6.26e-06</v>
      </c>
    </row>
    <row r="584" spans="1:7">
      <c r="A584" s="3">
        <v>14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HYPERLINK("http://141.218.60.56/~jnz1568/getInfo.php?workbook=14_02.xlsx&amp;sheet=U0&amp;row=584&amp;col=6&amp;number=3&amp;sourceID=14","3")</f>
        <v>3</v>
      </c>
      <c r="G584" s="4" t="str">
        <f>HYPERLINK("http://141.218.60.56/~jnz1568/getInfo.php?workbook=14_02.xlsx&amp;sheet=U0&amp;row=584&amp;col=7&amp;number=3.72e-06&amp;sourceID=14","3.72e-06")</f>
        <v>3.72e-06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HYPERLINK("http://141.218.60.56/~jnz1568/getInfo.php?workbook=14_02.xlsx&amp;sheet=U0&amp;row=585&amp;col=6&amp;number=3.1&amp;sourceID=14","3.1")</f>
        <v>3.1</v>
      </c>
      <c r="G585" s="4" t="str">
        <f>HYPERLINK("http://141.218.60.56/~jnz1568/getInfo.php?workbook=14_02.xlsx&amp;sheet=U0&amp;row=585&amp;col=7&amp;number=3.72e-06&amp;sourceID=14","3.72e-06")</f>
        <v>3.72e-06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HYPERLINK("http://141.218.60.56/~jnz1568/getInfo.php?workbook=14_02.xlsx&amp;sheet=U0&amp;row=586&amp;col=6&amp;number=3.2&amp;sourceID=14","3.2")</f>
        <v>3.2</v>
      </c>
      <c r="G586" s="4" t="str">
        <f>HYPERLINK("http://141.218.60.56/~jnz1568/getInfo.php?workbook=14_02.xlsx&amp;sheet=U0&amp;row=586&amp;col=7&amp;number=3.72e-06&amp;sourceID=14","3.72e-06")</f>
        <v>3.72e-06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HYPERLINK("http://141.218.60.56/~jnz1568/getInfo.php?workbook=14_02.xlsx&amp;sheet=U0&amp;row=587&amp;col=6&amp;number=3.3&amp;sourceID=14","3.3")</f>
        <v>3.3</v>
      </c>
      <c r="G587" s="4" t="str">
        <f>HYPERLINK("http://141.218.60.56/~jnz1568/getInfo.php?workbook=14_02.xlsx&amp;sheet=U0&amp;row=587&amp;col=7&amp;number=3.72e-06&amp;sourceID=14","3.72e-06")</f>
        <v>3.72e-06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HYPERLINK("http://141.218.60.56/~jnz1568/getInfo.php?workbook=14_02.xlsx&amp;sheet=U0&amp;row=588&amp;col=6&amp;number=3.4&amp;sourceID=14","3.4")</f>
        <v>3.4</v>
      </c>
      <c r="G588" s="4" t="str">
        <f>HYPERLINK("http://141.218.60.56/~jnz1568/getInfo.php?workbook=14_02.xlsx&amp;sheet=U0&amp;row=588&amp;col=7&amp;number=3.72e-06&amp;sourceID=14","3.72e-06")</f>
        <v>3.72e-06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HYPERLINK("http://141.218.60.56/~jnz1568/getInfo.php?workbook=14_02.xlsx&amp;sheet=U0&amp;row=589&amp;col=6&amp;number=3.5&amp;sourceID=14","3.5")</f>
        <v>3.5</v>
      </c>
      <c r="G589" s="4" t="str">
        <f>HYPERLINK("http://141.218.60.56/~jnz1568/getInfo.php?workbook=14_02.xlsx&amp;sheet=U0&amp;row=589&amp;col=7&amp;number=3.72e-06&amp;sourceID=14","3.72e-06")</f>
        <v>3.72e-06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HYPERLINK("http://141.218.60.56/~jnz1568/getInfo.php?workbook=14_02.xlsx&amp;sheet=U0&amp;row=590&amp;col=6&amp;number=3.6&amp;sourceID=14","3.6")</f>
        <v>3.6</v>
      </c>
      <c r="G590" s="4" t="str">
        <f>HYPERLINK("http://141.218.60.56/~jnz1568/getInfo.php?workbook=14_02.xlsx&amp;sheet=U0&amp;row=590&amp;col=7&amp;number=3.72e-06&amp;sourceID=14","3.72e-06")</f>
        <v>3.72e-06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HYPERLINK("http://141.218.60.56/~jnz1568/getInfo.php?workbook=14_02.xlsx&amp;sheet=U0&amp;row=591&amp;col=6&amp;number=3.7&amp;sourceID=14","3.7")</f>
        <v>3.7</v>
      </c>
      <c r="G591" s="4" t="str">
        <f>HYPERLINK("http://141.218.60.56/~jnz1568/getInfo.php?workbook=14_02.xlsx&amp;sheet=U0&amp;row=591&amp;col=7&amp;number=3.72e-06&amp;sourceID=14","3.72e-06")</f>
        <v>3.72e-06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HYPERLINK("http://141.218.60.56/~jnz1568/getInfo.php?workbook=14_02.xlsx&amp;sheet=U0&amp;row=592&amp;col=6&amp;number=3.8&amp;sourceID=14","3.8")</f>
        <v>3.8</v>
      </c>
      <c r="G592" s="4" t="str">
        <f>HYPERLINK("http://141.218.60.56/~jnz1568/getInfo.php?workbook=14_02.xlsx&amp;sheet=U0&amp;row=592&amp;col=7&amp;number=3.72e-06&amp;sourceID=14","3.72e-06")</f>
        <v>3.72e-06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HYPERLINK("http://141.218.60.56/~jnz1568/getInfo.php?workbook=14_02.xlsx&amp;sheet=U0&amp;row=593&amp;col=6&amp;number=3.9&amp;sourceID=14","3.9")</f>
        <v>3.9</v>
      </c>
      <c r="G593" s="4" t="str">
        <f>HYPERLINK("http://141.218.60.56/~jnz1568/getInfo.php?workbook=14_02.xlsx&amp;sheet=U0&amp;row=593&amp;col=7&amp;number=3.72e-06&amp;sourceID=14","3.72e-06")</f>
        <v>3.72e-06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HYPERLINK("http://141.218.60.56/~jnz1568/getInfo.php?workbook=14_02.xlsx&amp;sheet=U0&amp;row=594&amp;col=6&amp;number=4&amp;sourceID=14","4")</f>
        <v>4</v>
      </c>
      <c r="G594" s="4" t="str">
        <f>HYPERLINK("http://141.218.60.56/~jnz1568/getInfo.php?workbook=14_02.xlsx&amp;sheet=U0&amp;row=594&amp;col=7&amp;number=3.72e-06&amp;sourceID=14","3.72e-06")</f>
        <v>3.72e-06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HYPERLINK("http://141.218.60.56/~jnz1568/getInfo.php?workbook=14_02.xlsx&amp;sheet=U0&amp;row=595&amp;col=6&amp;number=4.1&amp;sourceID=14","4.1")</f>
        <v>4.1</v>
      </c>
      <c r="G595" s="4" t="str">
        <f>HYPERLINK("http://141.218.60.56/~jnz1568/getInfo.php?workbook=14_02.xlsx&amp;sheet=U0&amp;row=595&amp;col=7&amp;number=3.72e-06&amp;sourceID=14","3.72e-06")</f>
        <v>3.72e-06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HYPERLINK("http://141.218.60.56/~jnz1568/getInfo.php?workbook=14_02.xlsx&amp;sheet=U0&amp;row=596&amp;col=6&amp;number=4.2&amp;sourceID=14","4.2")</f>
        <v>4.2</v>
      </c>
      <c r="G596" s="4" t="str">
        <f>HYPERLINK("http://141.218.60.56/~jnz1568/getInfo.php?workbook=14_02.xlsx&amp;sheet=U0&amp;row=596&amp;col=7&amp;number=3.72e-06&amp;sourceID=14","3.72e-06")</f>
        <v>3.72e-06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HYPERLINK("http://141.218.60.56/~jnz1568/getInfo.php?workbook=14_02.xlsx&amp;sheet=U0&amp;row=597&amp;col=6&amp;number=4.3&amp;sourceID=14","4.3")</f>
        <v>4.3</v>
      </c>
      <c r="G597" s="4" t="str">
        <f>HYPERLINK("http://141.218.60.56/~jnz1568/getInfo.php?workbook=14_02.xlsx&amp;sheet=U0&amp;row=597&amp;col=7&amp;number=3.72e-06&amp;sourceID=14","3.72e-06")</f>
        <v>3.72e-06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HYPERLINK("http://141.218.60.56/~jnz1568/getInfo.php?workbook=14_02.xlsx&amp;sheet=U0&amp;row=598&amp;col=6&amp;number=4.4&amp;sourceID=14","4.4")</f>
        <v>4.4</v>
      </c>
      <c r="G598" s="4" t="str">
        <f>HYPERLINK("http://141.218.60.56/~jnz1568/getInfo.php?workbook=14_02.xlsx&amp;sheet=U0&amp;row=598&amp;col=7&amp;number=3.72e-06&amp;sourceID=14","3.72e-06")</f>
        <v>3.72e-06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HYPERLINK("http://141.218.60.56/~jnz1568/getInfo.php?workbook=14_02.xlsx&amp;sheet=U0&amp;row=599&amp;col=6&amp;number=4.5&amp;sourceID=14","4.5")</f>
        <v>4.5</v>
      </c>
      <c r="G599" s="4" t="str">
        <f>HYPERLINK("http://141.218.60.56/~jnz1568/getInfo.php?workbook=14_02.xlsx&amp;sheet=U0&amp;row=599&amp;col=7&amp;number=3.72e-06&amp;sourceID=14","3.72e-06")</f>
        <v>3.72e-06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HYPERLINK("http://141.218.60.56/~jnz1568/getInfo.php?workbook=14_02.xlsx&amp;sheet=U0&amp;row=600&amp;col=6&amp;number=4.6&amp;sourceID=14","4.6")</f>
        <v>4.6</v>
      </c>
      <c r="G600" s="4" t="str">
        <f>HYPERLINK("http://141.218.60.56/~jnz1568/getInfo.php?workbook=14_02.xlsx&amp;sheet=U0&amp;row=600&amp;col=7&amp;number=3.71e-06&amp;sourceID=14","3.71e-06")</f>
        <v>3.71e-06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HYPERLINK("http://141.218.60.56/~jnz1568/getInfo.php?workbook=14_02.xlsx&amp;sheet=U0&amp;row=601&amp;col=6&amp;number=4.7&amp;sourceID=14","4.7")</f>
        <v>4.7</v>
      </c>
      <c r="G601" s="4" t="str">
        <f>HYPERLINK("http://141.218.60.56/~jnz1568/getInfo.php?workbook=14_02.xlsx&amp;sheet=U0&amp;row=601&amp;col=7&amp;number=3.71e-06&amp;sourceID=14","3.71e-06")</f>
        <v>3.71e-06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HYPERLINK("http://141.218.60.56/~jnz1568/getInfo.php?workbook=14_02.xlsx&amp;sheet=U0&amp;row=602&amp;col=6&amp;number=4.8&amp;sourceID=14","4.8")</f>
        <v>4.8</v>
      </c>
      <c r="G602" s="4" t="str">
        <f>HYPERLINK("http://141.218.60.56/~jnz1568/getInfo.php?workbook=14_02.xlsx&amp;sheet=U0&amp;row=602&amp;col=7&amp;number=3.71e-06&amp;sourceID=14","3.71e-06")</f>
        <v>3.71e-06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HYPERLINK("http://141.218.60.56/~jnz1568/getInfo.php?workbook=14_02.xlsx&amp;sheet=U0&amp;row=603&amp;col=6&amp;number=4.9&amp;sourceID=14","4.9")</f>
        <v>4.9</v>
      </c>
      <c r="G603" s="4" t="str">
        <f>HYPERLINK("http://141.218.60.56/~jnz1568/getInfo.php?workbook=14_02.xlsx&amp;sheet=U0&amp;row=603&amp;col=7&amp;number=3.71e-06&amp;sourceID=14","3.71e-06")</f>
        <v>3.71e-06</v>
      </c>
    </row>
    <row r="604" spans="1:7">
      <c r="A604" s="3">
        <v>14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HYPERLINK("http://141.218.60.56/~jnz1568/getInfo.php?workbook=14_02.xlsx&amp;sheet=U0&amp;row=604&amp;col=6&amp;number=3&amp;sourceID=14","3")</f>
        <v>3</v>
      </c>
      <c r="G604" s="4" t="str">
        <f>HYPERLINK("http://141.218.60.56/~jnz1568/getInfo.php?workbook=14_02.xlsx&amp;sheet=U0&amp;row=604&amp;col=7&amp;number=7e-05&amp;sourceID=14","7e-05")</f>
        <v>7e-05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HYPERLINK("http://141.218.60.56/~jnz1568/getInfo.php?workbook=14_02.xlsx&amp;sheet=U0&amp;row=605&amp;col=6&amp;number=3.1&amp;sourceID=14","3.1")</f>
        <v>3.1</v>
      </c>
      <c r="G605" s="4" t="str">
        <f>HYPERLINK("http://141.218.60.56/~jnz1568/getInfo.php?workbook=14_02.xlsx&amp;sheet=U0&amp;row=605&amp;col=7&amp;number=7e-05&amp;sourceID=14","7e-05")</f>
        <v>7e-05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HYPERLINK("http://141.218.60.56/~jnz1568/getInfo.php?workbook=14_02.xlsx&amp;sheet=U0&amp;row=606&amp;col=6&amp;number=3.2&amp;sourceID=14","3.2")</f>
        <v>3.2</v>
      </c>
      <c r="G606" s="4" t="str">
        <f>HYPERLINK("http://141.218.60.56/~jnz1568/getInfo.php?workbook=14_02.xlsx&amp;sheet=U0&amp;row=606&amp;col=7&amp;number=7e-05&amp;sourceID=14","7e-05")</f>
        <v>7e-05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HYPERLINK("http://141.218.60.56/~jnz1568/getInfo.php?workbook=14_02.xlsx&amp;sheet=U0&amp;row=607&amp;col=6&amp;number=3.3&amp;sourceID=14","3.3")</f>
        <v>3.3</v>
      </c>
      <c r="G607" s="4" t="str">
        <f>HYPERLINK("http://141.218.60.56/~jnz1568/getInfo.php?workbook=14_02.xlsx&amp;sheet=U0&amp;row=607&amp;col=7&amp;number=7e-05&amp;sourceID=14","7e-05")</f>
        <v>7e-05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HYPERLINK("http://141.218.60.56/~jnz1568/getInfo.php?workbook=14_02.xlsx&amp;sheet=U0&amp;row=608&amp;col=6&amp;number=3.4&amp;sourceID=14","3.4")</f>
        <v>3.4</v>
      </c>
      <c r="G608" s="4" t="str">
        <f>HYPERLINK("http://141.218.60.56/~jnz1568/getInfo.php?workbook=14_02.xlsx&amp;sheet=U0&amp;row=608&amp;col=7&amp;number=7e-05&amp;sourceID=14","7e-05")</f>
        <v>7e-05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HYPERLINK("http://141.218.60.56/~jnz1568/getInfo.php?workbook=14_02.xlsx&amp;sheet=U0&amp;row=609&amp;col=6&amp;number=3.5&amp;sourceID=14","3.5")</f>
        <v>3.5</v>
      </c>
      <c r="G609" s="4" t="str">
        <f>HYPERLINK("http://141.218.60.56/~jnz1568/getInfo.php?workbook=14_02.xlsx&amp;sheet=U0&amp;row=609&amp;col=7&amp;number=7e-05&amp;sourceID=14","7e-05")</f>
        <v>7e-05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HYPERLINK("http://141.218.60.56/~jnz1568/getInfo.php?workbook=14_02.xlsx&amp;sheet=U0&amp;row=610&amp;col=6&amp;number=3.6&amp;sourceID=14","3.6")</f>
        <v>3.6</v>
      </c>
      <c r="G610" s="4" t="str">
        <f>HYPERLINK("http://141.218.60.56/~jnz1568/getInfo.php?workbook=14_02.xlsx&amp;sheet=U0&amp;row=610&amp;col=7&amp;number=7e-05&amp;sourceID=14","7e-05")</f>
        <v>7e-05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HYPERLINK("http://141.218.60.56/~jnz1568/getInfo.php?workbook=14_02.xlsx&amp;sheet=U0&amp;row=611&amp;col=6&amp;number=3.7&amp;sourceID=14","3.7")</f>
        <v>3.7</v>
      </c>
      <c r="G611" s="4" t="str">
        <f>HYPERLINK("http://141.218.60.56/~jnz1568/getInfo.php?workbook=14_02.xlsx&amp;sheet=U0&amp;row=611&amp;col=7&amp;number=7e-05&amp;sourceID=14","7e-05")</f>
        <v>7e-05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HYPERLINK("http://141.218.60.56/~jnz1568/getInfo.php?workbook=14_02.xlsx&amp;sheet=U0&amp;row=612&amp;col=6&amp;number=3.8&amp;sourceID=14","3.8")</f>
        <v>3.8</v>
      </c>
      <c r="G612" s="4" t="str">
        <f>HYPERLINK("http://141.218.60.56/~jnz1568/getInfo.php?workbook=14_02.xlsx&amp;sheet=U0&amp;row=612&amp;col=7&amp;number=7e-05&amp;sourceID=14","7e-05")</f>
        <v>7e-05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HYPERLINK("http://141.218.60.56/~jnz1568/getInfo.php?workbook=14_02.xlsx&amp;sheet=U0&amp;row=613&amp;col=6&amp;number=3.9&amp;sourceID=14","3.9")</f>
        <v>3.9</v>
      </c>
      <c r="G613" s="4" t="str">
        <f>HYPERLINK("http://141.218.60.56/~jnz1568/getInfo.php?workbook=14_02.xlsx&amp;sheet=U0&amp;row=613&amp;col=7&amp;number=7e-05&amp;sourceID=14","7e-05")</f>
        <v>7e-05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HYPERLINK("http://141.218.60.56/~jnz1568/getInfo.php?workbook=14_02.xlsx&amp;sheet=U0&amp;row=614&amp;col=6&amp;number=4&amp;sourceID=14","4")</f>
        <v>4</v>
      </c>
      <c r="G614" s="4" t="str">
        <f>HYPERLINK("http://141.218.60.56/~jnz1568/getInfo.php?workbook=14_02.xlsx&amp;sheet=U0&amp;row=614&amp;col=7&amp;number=7e-05&amp;sourceID=14","7e-05")</f>
        <v>7e-05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HYPERLINK("http://141.218.60.56/~jnz1568/getInfo.php?workbook=14_02.xlsx&amp;sheet=U0&amp;row=615&amp;col=6&amp;number=4.1&amp;sourceID=14","4.1")</f>
        <v>4.1</v>
      </c>
      <c r="G615" s="4" t="str">
        <f>HYPERLINK("http://141.218.60.56/~jnz1568/getInfo.php?workbook=14_02.xlsx&amp;sheet=U0&amp;row=615&amp;col=7&amp;number=7e-05&amp;sourceID=14","7e-05")</f>
        <v>7e-05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HYPERLINK("http://141.218.60.56/~jnz1568/getInfo.php?workbook=14_02.xlsx&amp;sheet=U0&amp;row=616&amp;col=6&amp;number=4.2&amp;sourceID=14","4.2")</f>
        <v>4.2</v>
      </c>
      <c r="G616" s="4" t="str">
        <f>HYPERLINK("http://141.218.60.56/~jnz1568/getInfo.php?workbook=14_02.xlsx&amp;sheet=U0&amp;row=616&amp;col=7&amp;number=7e-05&amp;sourceID=14","7e-05")</f>
        <v>7e-05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HYPERLINK("http://141.218.60.56/~jnz1568/getInfo.php?workbook=14_02.xlsx&amp;sheet=U0&amp;row=617&amp;col=6&amp;number=4.3&amp;sourceID=14","4.3")</f>
        <v>4.3</v>
      </c>
      <c r="G617" s="4" t="str">
        <f>HYPERLINK("http://141.218.60.56/~jnz1568/getInfo.php?workbook=14_02.xlsx&amp;sheet=U0&amp;row=617&amp;col=7&amp;number=6.99e-05&amp;sourceID=14","6.99e-05")</f>
        <v>6.99e-05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HYPERLINK("http://141.218.60.56/~jnz1568/getInfo.php?workbook=14_02.xlsx&amp;sheet=U0&amp;row=618&amp;col=6&amp;number=4.4&amp;sourceID=14","4.4")</f>
        <v>4.4</v>
      </c>
      <c r="G618" s="4" t="str">
        <f>HYPERLINK("http://141.218.60.56/~jnz1568/getInfo.php?workbook=14_02.xlsx&amp;sheet=U0&amp;row=618&amp;col=7&amp;number=6.99e-05&amp;sourceID=14","6.99e-05")</f>
        <v>6.99e-05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HYPERLINK("http://141.218.60.56/~jnz1568/getInfo.php?workbook=14_02.xlsx&amp;sheet=U0&amp;row=619&amp;col=6&amp;number=4.5&amp;sourceID=14","4.5")</f>
        <v>4.5</v>
      </c>
      <c r="G619" s="4" t="str">
        <f>HYPERLINK("http://141.218.60.56/~jnz1568/getInfo.php?workbook=14_02.xlsx&amp;sheet=U0&amp;row=619&amp;col=7&amp;number=6.99e-05&amp;sourceID=14","6.99e-05")</f>
        <v>6.99e-05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HYPERLINK("http://141.218.60.56/~jnz1568/getInfo.php?workbook=14_02.xlsx&amp;sheet=U0&amp;row=620&amp;col=6&amp;number=4.6&amp;sourceID=14","4.6")</f>
        <v>4.6</v>
      </c>
      <c r="G620" s="4" t="str">
        <f>HYPERLINK("http://141.218.60.56/~jnz1568/getInfo.php?workbook=14_02.xlsx&amp;sheet=U0&amp;row=620&amp;col=7&amp;number=6.99e-05&amp;sourceID=14","6.99e-05")</f>
        <v>6.99e-05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HYPERLINK("http://141.218.60.56/~jnz1568/getInfo.php?workbook=14_02.xlsx&amp;sheet=U0&amp;row=621&amp;col=6&amp;number=4.7&amp;sourceID=14","4.7")</f>
        <v>4.7</v>
      </c>
      <c r="G621" s="4" t="str">
        <f>HYPERLINK("http://141.218.60.56/~jnz1568/getInfo.php?workbook=14_02.xlsx&amp;sheet=U0&amp;row=621&amp;col=7&amp;number=6.99e-05&amp;sourceID=14","6.99e-05")</f>
        <v>6.99e-05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HYPERLINK("http://141.218.60.56/~jnz1568/getInfo.php?workbook=14_02.xlsx&amp;sheet=U0&amp;row=622&amp;col=6&amp;number=4.8&amp;sourceID=14","4.8")</f>
        <v>4.8</v>
      </c>
      <c r="G622" s="4" t="str">
        <f>HYPERLINK("http://141.218.60.56/~jnz1568/getInfo.php?workbook=14_02.xlsx&amp;sheet=U0&amp;row=622&amp;col=7&amp;number=6.98e-05&amp;sourceID=14","6.98e-05")</f>
        <v>6.98e-05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HYPERLINK("http://141.218.60.56/~jnz1568/getInfo.php?workbook=14_02.xlsx&amp;sheet=U0&amp;row=623&amp;col=6&amp;number=4.9&amp;sourceID=14","4.9")</f>
        <v>4.9</v>
      </c>
      <c r="G623" s="4" t="str">
        <f>HYPERLINK("http://141.218.60.56/~jnz1568/getInfo.php?workbook=14_02.xlsx&amp;sheet=U0&amp;row=623&amp;col=7&amp;number=6.98e-05&amp;sourceID=14","6.98e-05")</f>
        <v>6.98e-05</v>
      </c>
    </row>
    <row r="624" spans="1:7">
      <c r="A624" s="3">
        <v>14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HYPERLINK("http://141.218.60.56/~jnz1568/getInfo.php?workbook=14_02.xlsx&amp;sheet=U0&amp;row=624&amp;col=6&amp;number=3&amp;sourceID=14","3")</f>
        <v>3</v>
      </c>
      <c r="G624" s="4" t="str">
        <f>HYPERLINK("http://141.218.60.56/~jnz1568/getInfo.php?workbook=14_02.xlsx&amp;sheet=U0&amp;row=624&amp;col=7&amp;number=8.37e-05&amp;sourceID=14","8.37e-05")</f>
        <v>8.37e-05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HYPERLINK("http://141.218.60.56/~jnz1568/getInfo.php?workbook=14_02.xlsx&amp;sheet=U0&amp;row=625&amp;col=6&amp;number=3.1&amp;sourceID=14","3.1")</f>
        <v>3.1</v>
      </c>
      <c r="G625" s="4" t="str">
        <f>HYPERLINK("http://141.218.60.56/~jnz1568/getInfo.php?workbook=14_02.xlsx&amp;sheet=U0&amp;row=625&amp;col=7&amp;number=8.37e-05&amp;sourceID=14","8.37e-05")</f>
        <v>8.37e-05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HYPERLINK("http://141.218.60.56/~jnz1568/getInfo.php?workbook=14_02.xlsx&amp;sheet=U0&amp;row=626&amp;col=6&amp;number=3.2&amp;sourceID=14","3.2")</f>
        <v>3.2</v>
      </c>
      <c r="G626" s="4" t="str">
        <f>HYPERLINK("http://141.218.60.56/~jnz1568/getInfo.php?workbook=14_02.xlsx&amp;sheet=U0&amp;row=626&amp;col=7&amp;number=8.37e-05&amp;sourceID=14","8.37e-05")</f>
        <v>8.37e-05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HYPERLINK("http://141.218.60.56/~jnz1568/getInfo.php?workbook=14_02.xlsx&amp;sheet=U0&amp;row=627&amp;col=6&amp;number=3.3&amp;sourceID=14","3.3")</f>
        <v>3.3</v>
      </c>
      <c r="G627" s="4" t="str">
        <f>HYPERLINK("http://141.218.60.56/~jnz1568/getInfo.php?workbook=14_02.xlsx&amp;sheet=U0&amp;row=627&amp;col=7&amp;number=8.37e-05&amp;sourceID=14","8.37e-05")</f>
        <v>8.37e-05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HYPERLINK("http://141.218.60.56/~jnz1568/getInfo.php?workbook=14_02.xlsx&amp;sheet=U0&amp;row=628&amp;col=6&amp;number=3.4&amp;sourceID=14","3.4")</f>
        <v>3.4</v>
      </c>
      <c r="G628" s="4" t="str">
        <f>HYPERLINK("http://141.218.60.56/~jnz1568/getInfo.php?workbook=14_02.xlsx&amp;sheet=U0&amp;row=628&amp;col=7&amp;number=8.37e-05&amp;sourceID=14","8.37e-05")</f>
        <v>8.37e-05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HYPERLINK("http://141.218.60.56/~jnz1568/getInfo.php?workbook=14_02.xlsx&amp;sheet=U0&amp;row=629&amp;col=6&amp;number=3.5&amp;sourceID=14","3.5")</f>
        <v>3.5</v>
      </c>
      <c r="G629" s="4" t="str">
        <f>HYPERLINK("http://141.218.60.56/~jnz1568/getInfo.php?workbook=14_02.xlsx&amp;sheet=U0&amp;row=629&amp;col=7&amp;number=8.37e-05&amp;sourceID=14","8.37e-05")</f>
        <v>8.37e-05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HYPERLINK("http://141.218.60.56/~jnz1568/getInfo.php?workbook=14_02.xlsx&amp;sheet=U0&amp;row=630&amp;col=6&amp;number=3.6&amp;sourceID=14","3.6")</f>
        <v>3.6</v>
      </c>
      <c r="G630" s="4" t="str">
        <f>HYPERLINK("http://141.218.60.56/~jnz1568/getInfo.php?workbook=14_02.xlsx&amp;sheet=U0&amp;row=630&amp;col=7&amp;number=8.37e-05&amp;sourceID=14","8.37e-05")</f>
        <v>8.37e-05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HYPERLINK("http://141.218.60.56/~jnz1568/getInfo.php?workbook=14_02.xlsx&amp;sheet=U0&amp;row=631&amp;col=6&amp;number=3.7&amp;sourceID=14","3.7")</f>
        <v>3.7</v>
      </c>
      <c r="G631" s="4" t="str">
        <f>HYPERLINK("http://141.218.60.56/~jnz1568/getInfo.php?workbook=14_02.xlsx&amp;sheet=U0&amp;row=631&amp;col=7&amp;number=8.37e-05&amp;sourceID=14","8.37e-05")</f>
        <v>8.37e-05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HYPERLINK("http://141.218.60.56/~jnz1568/getInfo.php?workbook=14_02.xlsx&amp;sheet=U0&amp;row=632&amp;col=6&amp;number=3.8&amp;sourceID=14","3.8")</f>
        <v>3.8</v>
      </c>
      <c r="G632" s="4" t="str">
        <f>HYPERLINK("http://141.218.60.56/~jnz1568/getInfo.php?workbook=14_02.xlsx&amp;sheet=U0&amp;row=632&amp;col=7&amp;number=8.37e-05&amp;sourceID=14","8.37e-05")</f>
        <v>8.37e-05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HYPERLINK("http://141.218.60.56/~jnz1568/getInfo.php?workbook=14_02.xlsx&amp;sheet=U0&amp;row=633&amp;col=6&amp;number=3.9&amp;sourceID=14","3.9")</f>
        <v>3.9</v>
      </c>
      <c r="G633" s="4" t="str">
        <f>HYPERLINK("http://141.218.60.56/~jnz1568/getInfo.php?workbook=14_02.xlsx&amp;sheet=U0&amp;row=633&amp;col=7&amp;number=8.37e-05&amp;sourceID=14","8.37e-05")</f>
        <v>8.37e-05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HYPERLINK("http://141.218.60.56/~jnz1568/getInfo.php?workbook=14_02.xlsx&amp;sheet=U0&amp;row=634&amp;col=6&amp;number=4&amp;sourceID=14","4")</f>
        <v>4</v>
      </c>
      <c r="G634" s="4" t="str">
        <f>HYPERLINK("http://141.218.60.56/~jnz1568/getInfo.php?workbook=14_02.xlsx&amp;sheet=U0&amp;row=634&amp;col=7&amp;number=8.37e-05&amp;sourceID=14","8.37e-05")</f>
        <v>8.37e-05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HYPERLINK("http://141.218.60.56/~jnz1568/getInfo.php?workbook=14_02.xlsx&amp;sheet=U0&amp;row=635&amp;col=6&amp;number=4.1&amp;sourceID=14","4.1")</f>
        <v>4.1</v>
      </c>
      <c r="G635" s="4" t="str">
        <f>HYPERLINK("http://141.218.60.56/~jnz1568/getInfo.php?workbook=14_02.xlsx&amp;sheet=U0&amp;row=635&amp;col=7&amp;number=8.37e-05&amp;sourceID=14","8.37e-05")</f>
        <v>8.37e-05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HYPERLINK("http://141.218.60.56/~jnz1568/getInfo.php?workbook=14_02.xlsx&amp;sheet=U0&amp;row=636&amp;col=6&amp;number=4.2&amp;sourceID=14","4.2")</f>
        <v>4.2</v>
      </c>
      <c r="G636" s="4" t="str">
        <f>HYPERLINK("http://141.218.60.56/~jnz1568/getInfo.php?workbook=14_02.xlsx&amp;sheet=U0&amp;row=636&amp;col=7&amp;number=8.37e-05&amp;sourceID=14","8.37e-05")</f>
        <v>8.37e-05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HYPERLINK("http://141.218.60.56/~jnz1568/getInfo.php?workbook=14_02.xlsx&amp;sheet=U0&amp;row=637&amp;col=6&amp;number=4.3&amp;sourceID=14","4.3")</f>
        <v>4.3</v>
      </c>
      <c r="G637" s="4" t="str">
        <f>HYPERLINK("http://141.218.60.56/~jnz1568/getInfo.php?workbook=14_02.xlsx&amp;sheet=U0&amp;row=637&amp;col=7&amp;number=8.37e-05&amp;sourceID=14","8.37e-05")</f>
        <v>8.37e-05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HYPERLINK("http://141.218.60.56/~jnz1568/getInfo.php?workbook=14_02.xlsx&amp;sheet=U0&amp;row=638&amp;col=6&amp;number=4.4&amp;sourceID=14","4.4")</f>
        <v>4.4</v>
      </c>
      <c r="G638" s="4" t="str">
        <f>HYPERLINK("http://141.218.60.56/~jnz1568/getInfo.php?workbook=14_02.xlsx&amp;sheet=U0&amp;row=638&amp;col=7&amp;number=8.37e-05&amp;sourceID=14","8.37e-05")</f>
        <v>8.37e-05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HYPERLINK("http://141.218.60.56/~jnz1568/getInfo.php?workbook=14_02.xlsx&amp;sheet=U0&amp;row=639&amp;col=6&amp;number=4.5&amp;sourceID=14","4.5")</f>
        <v>4.5</v>
      </c>
      <c r="G639" s="4" t="str">
        <f>HYPERLINK("http://141.218.60.56/~jnz1568/getInfo.php?workbook=14_02.xlsx&amp;sheet=U0&amp;row=639&amp;col=7&amp;number=8.38e-05&amp;sourceID=14","8.38e-05")</f>
        <v>8.38e-05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HYPERLINK("http://141.218.60.56/~jnz1568/getInfo.php?workbook=14_02.xlsx&amp;sheet=U0&amp;row=640&amp;col=6&amp;number=4.6&amp;sourceID=14","4.6")</f>
        <v>4.6</v>
      </c>
      <c r="G640" s="4" t="str">
        <f>HYPERLINK("http://141.218.60.56/~jnz1568/getInfo.php?workbook=14_02.xlsx&amp;sheet=U0&amp;row=640&amp;col=7&amp;number=8.38e-05&amp;sourceID=14","8.38e-05")</f>
        <v>8.38e-05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HYPERLINK("http://141.218.60.56/~jnz1568/getInfo.php?workbook=14_02.xlsx&amp;sheet=U0&amp;row=641&amp;col=6&amp;number=4.7&amp;sourceID=14","4.7")</f>
        <v>4.7</v>
      </c>
      <c r="G641" s="4" t="str">
        <f>HYPERLINK("http://141.218.60.56/~jnz1568/getInfo.php?workbook=14_02.xlsx&amp;sheet=U0&amp;row=641&amp;col=7&amp;number=8.38e-05&amp;sourceID=14","8.38e-05")</f>
        <v>8.38e-05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HYPERLINK("http://141.218.60.56/~jnz1568/getInfo.php?workbook=14_02.xlsx&amp;sheet=U0&amp;row=642&amp;col=6&amp;number=4.8&amp;sourceID=14","4.8")</f>
        <v>4.8</v>
      </c>
      <c r="G642" s="4" t="str">
        <f>HYPERLINK("http://141.218.60.56/~jnz1568/getInfo.php?workbook=14_02.xlsx&amp;sheet=U0&amp;row=642&amp;col=7&amp;number=8.38e-05&amp;sourceID=14","8.38e-05")</f>
        <v>8.38e-05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HYPERLINK("http://141.218.60.56/~jnz1568/getInfo.php?workbook=14_02.xlsx&amp;sheet=U0&amp;row=643&amp;col=6&amp;number=4.9&amp;sourceID=14","4.9")</f>
        <v>4.9</v>
      </c>
      <c r="G643" s="4" t="str">
        <f>HYPERLINK("http://141.218.60.56/~jnz1568/getInfo.php?workbook=14_02.xlsx&amp;sheet=U0&amp;row=643&amp;col=7&amp;number=8.39e-05&amp;sourceID=14","8.39e-05")</f>
        <v>8.39e-05</v>
      </c>
    </row>
    <row r="644" spans="1:7">
      <c r="A644" s="3">
        <v>14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HYPERLINK("http://141.218.60.56/~jnz1568/getInfo.php?workbook=14_02.xlsx&amp;sheet=U0&amp;row=644&amp;col=6&amp;number=3&amp;sourceID=14","3")</f>
        <v>3</v>
      </c>
      <c r="G644" s="4" t="str">
        <f>HYPERLINK("http://141.218.60.56/~jnz1568/getInfo.php?workbook=14_02.xlsx&amp;sheet=U0&amp;row=644&amp;col=7&amp;number=4.21e-05&amp;sourceID=14","4.21e-05")</f>
        <v>4.21e-05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HYPERLINK("http://141.218.60.56/~jnz1568/getInfo.php?workbook=14_02.xlsx&amp;sheet=U0&amp;row=645&amp;col=6&amp;number=3.1&amp;sourceID=14","3.1")</f>
        <v>3.1</v>
      </c>
      <c r="G645" s="4" t="str">
        <f>HYPERLINK("http://141.218.60.56/~jnz1568/getInfo.php?workbook=14_02.xlsx&amp;sheet=U0&amp;row=645&amp;col=7&amp;number=4.21e-05&amp;sourceID=14","4.21e-05")</f>
        <v>4.21e-05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HYPERLINK("http://141.218.60.56/~jnz1568/getInfo.php?workbook=14_02.xlsx&amp;sheet=U0&amp;row=646&amp;col=6&amp;number=3.2&amp;sourceID=14","3.2")</f>
        <v>3.2</v>
      </c>
      <c r="G646" s="4" t="str">
        <f>HYPERLINK("http://141.218.60.56/~jnz1568/getInfo.php?workbook=14_02.xlsx&amp;sheet=U0&amp;row=646&amp;col=7&amp;number=4.21e-05&amp;sourceID=14","4.21e-05")</f>
        <v>4.21e-05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HYPERLINK("http://141.218.60.56/~jnz1568/getInfo.php?workbook=14_02.xlsx&amp;sheet=U0&amp;row=647&amp;col=6&amp;number=3.3&amp;sourceID=14","3.3")</f>
        <v>3.3</v>
      </c>
      <c r="G647" s="4" t="str">
        <f>HYPERLINK("http://141.218.60.56/~jnz1568/getInfo.php?workbook=14_02.xlsx&amp;sheet=U0&amp;row=647&amp;col=7&amp;number=4.21e-05&amp;sourceID=14","4.21e-05")</f>
        <v>4.21e-05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HYPERLINK("http://141.218.60.56/~jnz1568/getInfo.php?workbook=14_02.xlsx&amp;sheet=U0&amp;row=648&amp;col=6&amp;number=3.4&amp;sourceID=14","3.4")</f>
        <v>3.4</v>
      </c>
      <c r="G648" s="4" t="str">
        <f>HYPERLINK("http://141.218.60.56/~jnz1568/getInfo.php?workbook=14_02.xlsx&amp;sheet=U0&amp;row=648&amp;col=7&amp;number=4.21e-05&amp;sourceID=14","4.21e-05")</f>
        <v>4.21e-05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HYPERLINK("http://141.218.60.56/~jnz1568/getInfo.php?workbook=14_02.xlsx&amp;sheet=U0&amp;row=649&amp;col=6&amp;number=3.5&amp;sourceID=14","3.5")</f>
        <v>3.5</v>
      </c>
      <c r="G649" s="4" t="str">
        <f>HYPERLINK("http://141.218.60.56/~jnz1568/getInfo.php?workbook=14_02.xlsx&amp;sheet=U0&amp;row=649&amp;col=7&amp;number=4.21e-05&amp;sourceID=14","4.21e-05")</f>
        <v>4.21e-05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HYPERLINK("http://141.218.60.56/~jnz1568/getInfo.php?workbook=14_02.xlsx&amp;sheet=U0&amp;row=650&amp;col=6&amp;number=3.6&amp;sourceID=14","3.6")</f>
        <v>3.6</v>
      </c>
      <c r="G650" s="4" t="str">
        <f>HYPERLINK("http://141.218.60.56/~jnz1568/getInfo.php?workbook=14_02.xlsx&amp;sheet=U0&amp;row=650&amp;col=7&amp;number=4.21e-05&amp;sourceID=14","4.21e-05")</f>
        <v>4.21e-05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HYPERLINK("http://141.218.60.56/~jnz1568/getInfo.php?workbook=14_02.xlsx&amp;sheet=U0&amp;row=651&amp;col=6&amp;number=3.7&amp;sourceID=14","3.7")</f>
        <v>3.7</v>
      </c>
      <c r="G651" s="4" t="str">
        <f>HYPERLINK("http://141.218.60.56/~jnz1568/getInfo.php?workbook=14_02.xlsx&amp;sheet=U0&amp;row=651&amp;col=7&amp;number=4.21e-05&amp;sourceID=14","4.21e-05")</f>
        <v>4.21e-05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HYPERLINK("http://141.218.60.56/~jnz1568/getInfo.php?workbook=14_02.xlsx&amp;sheet=U0&amp;row=652&amp;col=6&amp;number=3.8&amp;sourceID=14","3.8")</f>
        <v>3.8</v>
      </c>
      <c r="G652" s="4" t="str">
        <f>HYPERLINK("http://141.218.60.56/~jnz1568/getInfo.php?workbook=14_02.xlsx&amp;sheet=U0&amp;row=652&amp;col=7&amp;number=4.21e-05&amp;sourceID=14","4.21e-05")</f>
        <v>4.21e-05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HYPERLINK("http://141.218.60.56/~jnz1568/getInfo.php?workbook=14_02.xlsx&amp;sheet=U0&amp;row=653&amp;col=6&amp;number=3.9&amp;sourceID=14","3.9")</f>
        <v>3.9</v>
      </c>
      <c r="G653" s="4" t="str">
        <f>HYPERLINK("http://141.218.60.56/~jnz1568/getInfo.php?workbook=14_02.xlsx&amp;sheet=U0&amp;row=653&amp;col=7&amp;number=4.21e-05&amp;sourceID=14","4.21e-05")</f>
        <v>4.21e-05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HYPERLINK("http://141.218.60.56/~jnz1568/getInfo.php?workbook=14_02.xlsx&amp;sheet=U0&amp;row=654&amp;col=6&amp;number=4&amp;sourceID=14","4")</f>
        <v>4</v>
      </c>
      <c r="G654" s="4" t="str">
        <f>HYPERLINK("http://141.218.60.56/~jnz1568/getInfo.php?workbook=14_02.xlsx&amp;sheet=U0&amp;row=654&amp;col=7&amp;number=4.21e-05&amp;sourceID=14","4.21e-05")</f>
        <v>4.21e-05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HYPERLINK("http://141.218.60.56/~jnz1568/getInfo.php?workbook=14_02.xlsx&amp;sheet=U0&amp;row=655&amp;col=6&amp;number=4.1&amp;sourceID=14","4.1")</f>
        <v>4.1</v>
      </c>
      <c r="G655" s="4" t="str">
        <f>HYPERLINK("http://141.218.60.56/~jnz1568/getInfo.php?workbook=14_02.xlsx&amp;sheet=U0&amp;row=655&amp;col=7&amp;number=4.21e-05&amp;sourceID=14","4.21e-05")</f>
        <v>4.21e-05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HYPERLINK("http://141.218.60.56/~jnz1568/getInfo.php?workbook=14_02.xlsx&amp;sheet=U0&amp;row=656&amp;col=6&amp;number=4.2&amp;sourceID=14","4.2")</f>
        <v>4.2</v>
      </c>
      <c r="G656" s="4" t="str">
        <f>HYPERLINK("http://141.218.60.56/~jnz1568/getInfo.php?workbook=14_02.xlsx&amp;sheet=U0&amp;row=656&amp;col=7&amp;number=4.21e-05&amp;sourceID=14","4.21e-05")</f>
        <v>4.21e-05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HYPERLINK("http://141.218.60.56/~jnz1568/getInfo.php?workbook=14_02.xlsx&amp;sheet=U0&amp;row=657&amp;col=6&amp;number=4.3&amp;sourceID=14","4.3")</f>
        <v>4.3</v>
      </c>
      <c r="G657" s="4" t="str">
        <f>HYPERLINK("http://141.218.60.56/~jnz1568/getInfo.php?workbook=14_02.xlsx&amp;sheet=U0&amp;row=657&amp;col=7&amp;number=4.21e-05&amp;sourceID=14","4.21e-05")</f>
        <v>4.21e-05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HYPERLINK("http://141.218.60.56/~jnz1568/getInfo.php?workbook=14_02.xlsx&amp;sheet=U0&amp;row=658&amp;col=6&amp;number=4.4&amp;sourceID=14","4.4")</f>
        <v>4.4</v>
      </c>
      <c r="G658" s="4" t="str">
        <f>HYPERLINK("http://141.218.60.56/~jnz1568/getInfo.php?workbook=14_02.xlsx&amp;sheet=U0&amp;row=658&amp;col=7&amp;number=4.21e-05&amp;sourceID=14","4.21e-05")</f>
        <v>4.21e-05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HYPERLINK("http://141.218.60.56/~jnz1568/getInfo.php?workbook=14_02.xlsx&amp;sheet=U0&amp;row=659&amp;col=6&amp;number=4.5&amp;sourceID=14","4.5")</f>
        <v>4.5</v>
      </c>
      <c r="G659" s="4" t="str">
        <f>HYPERLINK("http://141.218.60.56/~jnz1568/getInfo.php?workbook=14_02.xlsx&amp;sheet=U0&amp;row=659&amp;col=7&amp;number=4.21e-05&amp;sourceID=14","4.21e-05")</f>
        <v>4.21e-05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HYPERLINK("http://141.218.60.56/~jnz1568/getInfo.php?workbook=14_02.xlsx&amp;sheet=U0&amp;row=660&amp;col=6&amp;number=4.6&amp;sourceID=14","4.6")</f>
        <v>4.6</v>
      </c>
      <c r="G660" s="4" t="str">
        <f>HYPERLINK("http://141.218.60.56/~jnz1568/getInfo.php?workbook=14_02.xlsx&amp;sheet=U0&amp;row=660&amp;col=7&amp;number=4.21e-05&amp;sourceID=14","4.21e-05")</f>
        <v>4.21e-05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HYPERLINK("http://141.218.60.56/~jnz1568/getInfo.php?workbook=14_02.xlsx&amp;sheet=U0&amp;row=661&amp;col=6&amp;number=4.7&amp;sourceID=14","4.7")</f>
        <v>4.7</v>
      </c>
      <c r="G661" s="4" t="str">
        <f>HYPERLINK("http://141.218.60.56/~jnz1568/getInfo.php?workbook=14_02.xlsx&amp;sheet=U0&amp;row=661&amp;col=7&amp;number=4.2e-05&amp;sourceID=14","4.2e-05")</f>
        <v>4.2e-05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HYPERLINK("http://141.218.60.56/~jnz1568/getInfo.php?workbook=14_02.xlsx&amp;sheet=U0&amp;row=662&amp;col=6&amp;number=4.8&amp;sourceID=14","4.8")</f>
        <v>4.8</v>
      </c>
      <c r="G662" s="4" t="str">
        <f>HYPERLINK("http://141.218.60.56/~jnz1568/getInfo.php?workbook=14_02.xlsx&amp;sheet=U0&amp;row=662&amp;col=7&amp;number=4.2e-05&amp;sourceID=14","4.2e-05")</f>
        <v>4.2e-05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HYPERLINK("http://141.218.60.56/~jnz1568/getInfo.php?workbook=14_02.xlsx&amp;sheet=U0&amp;row=663&amp;col=6&amp;number=4.9&amp;sourceID=14","4.9")</f>
        <v>4.9</v>
      </c>
      <c r="G663" s="4" t="str">
        <f>HYPERLINK("http://141.218.60.56/~jnz1568/getInfo.php?workbook=14_02.xlsx&amp;sheet=U0&amp;row=663&amp;col=7&amp;number=4.2e-05&amp;sourceID=14","4.2e-05")</f>
        <v>4.2e-05</v>
      </c>
    </row>
    <row r="664" spans="1:7">
      <c r="A664" s="3">
        <v>14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HYPERLINK("http://141.218.60.56/~jnz1568/getInfo.php?workbook=14_02.xlsx&amp;sheet=U0&amp;row=664&amp;col=6&amp;number=3&amp;sourceID=14","3")</f>
        <v>3</v>
      </c>
      <c r="G664" s="4" t="str">
        <f>HYPERLINK("http://141.218.60.56/~jnz1568/getInfo.php?workbook=14_02.xlsx&amp;sheet=U0&amp;row=664&amp;col=7&amp;number=0.000127&amp;sourceID=14","0.000127")</f>
        <v>0.000127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HYPERLINK("http://141.218.60.56/~jnz1568/getInfo.php?workbook=14_02.xlsx&amp;sheet=U0&amp;row=665&amp;col=6&amp;number=3.1&amp;sourceID=14","3.1")</f>
        <v>3.1</v>
      </c>
      <c r="G665" s="4" t="str">
        <f>HYPERLINK("http://141.218.60.56/~jnz1568/getInfo.php?workbook=14_02.xlsx&amp;sheet=U0&amp;row=665&amp;col=7&amp;number=0.000127&amp;sourceID=14","0.000127")</f>
        <v>0.000127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HYPERLINK("http://141.218.60.56/~jnz1568/getInfo.php?workbook=14_02.xlsx&amp;sheet=U0&amp;row=666&amp;col=6&amp;number=3.2&amp;sourceID=14","3.2")</f>
        <v>3.2</v>
      </c>
      <c r="G666" s="4" t="str">
        <f>HYPERLINK("http://141.218.60.56/~jnz1568/getInfo.php?workbook=14_02.xlsx&amp;sheet=U0&amp;row=666&amp;col=7&amp;number=0.000127&amp;sourceID=14","0.000127")</f>
        <v>0.000127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HYPERLINK("http://141.218.60.56/~jnz1568/getInfo.php?workbook=14_02.xlsx&amp;sheet=U0&amp;row=667&amp;col=6&amp;number=3.3&amp;sourceID=14","3.3")</f>
        <v>3.3</v>
      </c>
      <c r="G667" s="4" t="str">
        <f>HYPERLINK("http://141.218.60.56/~jnz1568/getInfo.php?workbook=14_02.xlsx&amp;sheet=U0&amp;row=667&amp;col=7&amp;number=0.000127&amp;sourceID=14","0.000127")</f>
        <v>0.000127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HYPERLINK("http://141.218.60.56/~jnz1568/getInfo.php?workbook=14_02.xlsx&amp;sheet=U0&amp;row=668&amp;col=6&amp;number=3.4&amp;sourceID=14","3.4")</f>
        <v>3.4</v>
      </c>
      <c r="G668" s="4" t="str">
        <f>HYPERLINK("http://141.218.60.56/~jnz1568/getInfo.php?workbook=14_02.xlsx&amp;sheet=U0&amp;row=668&amp;col=7&amp;number=0.000127&amp;sourceID=14","0.000127")</f>
        <v>0.000127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HYPERLINK("http://141.218.60.56/~jnz1568/getInfo.php?workbook=14_02.xlsx&amp;sheet=U0&amp;row=669&amp;col=6&amp;number=3.5&amp;sourceID=14","3.5")</f>
        <v>3.5</v>
      </c>
      <c r="G669" s="4" t="str">
        <f>HYPERLINK("http://141.218.60.56/~jnz1568/getInfo.php?workbook=14_02.xlsx&amp;sheet=U0&amp;row=669&amp;col=7&amp;number=0.000127&amp;sourceID=14","0.000127")</f>
        <v>0.000127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HYPERLINK("http://141.218.60.56/~jnz1568/getInfo.php?workbook=14_02.xlsx&amp;sheet=U0&amp;row=670&amp;col=6&amp;number=3.6&amp;sourceID=14","3.6")</f>
        <v>3.6</v>
      </c>
      <c r="G670" s="4" t="str">
        <f>HYPERLINK("http://141.218.60.56/~jnz1568/getInfo.php?workbook=14_02.xlsx&amp;sheet=U0&amp;row=670&amp;col=7&amp;number=0.000127&amp;sourceID=14","0.000127")</f>
        <v>0.000127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HYPERLINK("http://141.218.60.56/~jnz1568/getInfo.php?workbook=14_02.xlsx&amp;sheet=U0&amp;row=671&amp;col=6&amp;number=3.7&amp;sourceID=14","3.7")</f>
        <v>3.7</v>
      </c>
      <c r="G671" s="4" t="str">
        <f>HYPERLINK("http://141.218.60.56/~jnz1568/getInfo.php?workbook=14_02.xlsx&amp;sheet=U0&amp;row=671&amp;col=7&amp;number=0.000127&amp;sourceID=14","0.000127")</f>
        <v>0.000127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HYPERLINK("http://141.218.60.56/~jnz1568/getInfo.php?workbook=14_02.xlsx&amp;sheet=U0&amp;row=672&amp;col=6&amp;number=3.8&amp;sourceID=14","3.8")</f>
        <v>3.8</v>
      </c>
      <c r="G672" s="4" t="str">
        <f>HYPERLINK("http://141.218.60.56/~jnz1568/getInfo.php?workbook=14_02.xlsx&amp;sheet=U0&amp;row=672&amp;col=7&amp;number=0.000127&amp;sourceID=14","0.000127")</f>
        <v>0.000127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HYPERLINK("http://141.218.60.56/~jnz1568/getInfo.php?workbook=14_02.xlsx&amp;sheet=U0&amp;row=673&amp;col=6&amp;number=3.9&amp;sourceID=14","3.9")</f>
        <v>3.9</v>
      </c>
      <c r="G673" s="4" t="str">
        <f>HYPERLINK("http://141.218.60.56/~jnz1568/getInfo.php?workbook=14_02.xlsx&amp;sheet=U0&amp;row=673&amp;col=7&amp;number=0.000127&amp;sourceID=14","0.000127")</f>
        <v>0.000127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HYPERLINK("http://141.218.60.56/~jnz1568/getInfo.php?workbook=14_02.xlsx&amp;sheet=U0&amp;row=674&amp;col=6&amp;number=4&amp;sourceID=14","4")</f>
        <v>4</v>
      </c>
      <c r="G674" s="4" t="str">
        <f>HYPERLINK("http://141.218.60.56/~jnz1568/getInfo.php?workbook=14_02.xlsx&amp;sheet=U0&amp;row=674&amp;col=7&amp;number=0.000127&amp;sourceID=14","0.000127")</f>
        <v>0.000127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HYPERLINK("http://141.218.60.56/~jnz1568/getInfo.php?workbook=14_02.xlsx&amp;sheet=U0&amp;row=675&amp;col=6&amp;number=4.1&amp;sourceID=14","4.1")</f>
        <v>4.1</v>
      </c>
      <c r="G675" s="4" t="str">
        <f>HYPERLINK("http://141.218.60.56/~jnz1568/getInfo.php?workbook=14_02.xlsx&amp;sheet=U0&amp;row=675&amp;col=7&amp;number=0.000127&amp;sourceID=14","0.000127")</f>
        <v>0.000127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HYPERLINK("http://141.218.60.56/~jnz1568/getInfo.php?workbook=14_02.xlsx&amp;sheet=U0&amp;row=676&amp;col=6&amp;number=4.2&amp;sourceID=14","4.2")</f>
        <v>4.2</v>
      </c>
      <c r="G676" s="4" t="str">
        <f>HYPERLINK("http://141.218.60.56/~jnz1568/getInfo.php?workbook=14_02.xlsx&amp;sheet=U0&amp;row=676&amp;col=7&amp;number=0.000127&amp;sourceID=14","0.000127")</f>
        <v>0.000127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HYPERLINK("http://141.218.60.56/~jnz1568/getInfo.php?workbook=14_02.xlsx&amp;sheet=U0&amp;row=677&amp;col=6&amp;number=4.3&amp;sourceID=14","4.3")</f>
        <v>4.3</v>
      </c>
      <c r="G677" s="4" t="str">
        <f>HYPERLINK("http://141.218.60.56/~jnz1568/getInfo.php?workbook=14_02.xlsx&amp;sheet=U0&amp;row=677&amp;col=7&amp;number=0.000127&amp;sourceID=14","0.000127")</f>
        <v>0.000127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HYPERLINK("http://141.218.60.56/~jnz1568/getInfo.php?workbook=14_02.xlsx&amp;sheet=U0&amp;row=678&amp;col=6&amp;number=4.4&amp;sourceID=14","4.4")</f>
        <v>4.4</v>
      </c>
      <c r="G678" s="4" t="str">
        <f>HYPERLINK("http://141.218.60.56/~jnz1568/getInfo.php?workbook=14_02.xlsx&amp;sheet=U0&amp;row=678&amp;col=7&amp;number=0.000127&amp;sourceID=14","0.000127")</f>
        <v>0.000127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HYPERLINK("http://141.218.60.56/~jnz1568/getInfo.php?workbook=14_02.xlsx&amp;sheet=U0&amp;row=679&amp;col=6&amp;number=4.5&amp;sourceID=14","4.5")</f>
        <v>4.5</v>
      </c>
      <c r="G679" s="4" t="str">
        <f>HYPERLINK("http://141.218.60.56/~jnz1568/getInfo.php?workbook=14_02.xlsx&amp;sheet=U0&amp;row=679&amp;col=7&amp;number=0.000127&amp;sourceID=14","0.000127")</f>
        <v>0.000127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HYPERLINK("http://141.218.60.56/~jnz1568/getInfo.php?workbook=14_02.xlsx&amp;sheet=U0&amp;row=680&amp;col=6&amp;number=4.6&amp;sourceID=14","4.6")</f>
        <v>4.6</v>
      </c>
      <c r="G680" s="4" t="str">
        <f>HYPERLINK("http://141.218.60.56/~jnz1568/getInfo.php?workbook=14_02.xlsx&amp;sheet=U0&amp;row=680&amp;col=7&amp;number=0.000127&amp;sourceID=14","0.000127")</f>
        <v>0.000127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HYPERLINK("http://141.218.60.56/~jnz1568/getInfo.php?workbook=14_02.xlsx&amp;sheet=U0&amp;row=681&amp;col=6&amp;number=4.7&amp;sourceID=14","4.7")</f>
        <v>4.7</v>
      </c>
      <c r="G681" s="4" t="str">
        <f>HYPERLINK("http://141.218.60.56/~jnz1568/getInfo.php?workbook=14_02.xlsx&amp;sheet=U0&amp;row=681&amp;col=7&amp;number=0.000127&amp;sourceID=14","0.000127")</f>
        <v>0.000127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HYPERLINK("http://141.218.60.56/~jnz1568/getInfo.php?workbook=14_02.xlsx&amp;sheet=U0&amp;row=682&amp;col=6&amp;number=4.8&amp;sourceID=14","4.8")</f>
        <v>4.8</v>
      </c>
      <c r="G682" s="4" t="str">
        <f>HYPERLINK("http://141.218.60.56/~jnz1568/getInfo.php?workbook=14_02.xlsx&amp;sheet=U0&amp;row=682&amp;col=7&amp;number=0.000127&amp;sourceID=14","0.000127")</f>
        <v>0.000127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HYPERLINK("http://141.218.60.56/~jnz1568/getInfo.php?workbook=14_02.xlsx&amp;sheet=U0&amp;row=683&amp;col=6&amp;number=4.9&amp;sourceID=14","4.9")</f>
        <v>4.9</v>
      </c>
      <c r="G683" s="4" t="str">
        <f>HYPERLINK("http://141.218.60.56/~jnz1568/getInfo.php?workbook=14_02.xlsx&amp;sheet=U0&amp;row=683&amp;col=7&amp;number=0.000127&amp;sourceID=14","0.000127")</f>
        <v>0.000127</v>
      </c>
    </row>
    <row r="684" spans="1:7">
      <c r="A684" s="3">
        <v>14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HYPERLINK("http://141.218.60.56/~jnz1568/getInfo.php?workbook=14_02.xlsx&amp;sheet=U0&amp;row=684&amp;col=6&amp;number=3&amp;sourceID=14","3")</f>
        <v>3</v>
      </c>
      <c r="G684" s="4" t="str">
        <f>HYPERLINK("http://141.218.60.56/~jnz1568/getInfo.php?workbook=14_02.xlsx&amp;sheet=U0&amp;row=684&amp;col=7&amp;number=0.000295&amp;sourceID=14","0.000295")</f>
        <v>0.000295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HYPERLINK("http://141.218.60.56/~jnz1568/getInfo.php?workbook=14_02.xlsx&amp;sheet=U0&amp;row=685&amp;col=6&amp;number=3.1&amp;sourceID=14","3.1")</f>
        <v>3.1</v>
      </c>
      <c r="G685" s="4" t="str">
        <f>HYPERLINK("http://141.218.60.56/~jnz1568/getInfo.php?workbook=14_02.xlsx&amp;sheet=U0&amp;row=685&amp;col=7&amp;number=0.000295&amp;sourceID=14","0.000295")</f>
        <v>0.000295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HYPERLINK("http://141.218.60.56/~jnz1568/getInfo.php?workbook=14_02.xlsx&amp;sheet=U0&amp;row=686&amp;col=6&amp;number=3.2&amp;sourceID=14","3.2")</f>
        <v>3.2</v>
      </c>
      <c r="G686" s="4" t="str">
        <f>HYPERLINK("http://141.218.60.56/~jnz1568/getInfo.php?workbook=14_02.xlsx&amp;sheet=U0&amp;row=686&amp;col=7&amp;number=0.000295&amp;sourceID=14","0.000295")</f>
        <v>0.000295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HYPERLINK("http://141.218.60.56/~jnz1568/getInfo.php?workbook=14_02.xlsx&amp;sheet=U0&amp;row=687&amp;col=6&amp;number=3.3&amp;sourceID=14","3.3")</f>
        <v>3.3</v>
      </c>
      <c r="G687" s="4" t="str">
        <f>HYPERLINK("http://141.218.60.56/~jnz1568/getInfo.php?workbook=14_02.xlsx&amp;sheet=U0&amp;row=687&amp;col=7&amp;number=0.000295&amp;sourceID=14","0.000295")</f>
        <v>0.000295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HYPERLINK("http://141.218.60.56/~jnz1568/getInfo.php?workbook=14_02.xlsx&amp;sheet=U0&amp;row=688&amp;col=6&amp;number=3.4&amp;sourceID=14","3.4")</f>
        <v>3.4</v>
      </c>
      <c r="G688" s="4" t="str">
        <f>HYPERLINK("http://141.218.60.56/~jnz1568/getInfo.php?workbook=14_02.xlsx&amp;sheet=U0&amp;row=688&amp;col=7&amp;number=0.000295&amp;sourceID=14","0.000295")</f>
        <v>0.000295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HYPERLINK("http://141.218.60.56/~jnz1568/getInfo.php?workbook=14_02.xlsx&amp;sheet=U0&amp;row=689&amp;col=6&amp;number=3.5&amp;sourceID=14","3.5")</f>
        <v>3.5</v>
      </c>
      <c r="G689" s="4" t="str">
        <f>HYPERLINK("http://141.218.60.56/~jnz1568/getInfo.php?workbook=14_02.xlsx&amp;sheet=U0&amp;row=689&amp;col=7&amp;number=0.000295&amp;sourceID=14","0.000295")</f>
        <v>0.000295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HYPERLINK("http://141.218.60.56/~jnz1568/getInfo.php?workbook=14_02.xlsx&amp;sheet=U0&amp;row=690&amp;col=6&amp;number=3.6&amp;sourceID=14","3.6")</f>
        <v>3.6</v>
      </c>
      <c r="G690" s="4" t="str">
        <f>HYPERLINK("http://141.218.60.56/~jnz1568/getInfo.php?workbook=14_02.xlsx&amp;sheet=U0&amp;row=690&amp;col=7&amp;number=0.000295&amp;sourceID=14","0.000295")</f>
        <v>0.000295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HYPERLINK("http://141.218.60.56/~jnz1568/getInfo.php?workbook=14_02.xlsx&amp;sheet=U0&amp;row=691&amp;col=6&amp;number=3.7&amp;sourceID=14","3.7")</f>
        <v>3.7</v>
      </c>
      <c r="G691" s="4" t="str">
        <f>HYPERLINK("http://141.218.60.56/~jnz1568/getInfo.php?workbook=14_02.xlsx&amp;sheet=U0&amp;row=691&amp;col=7&amp;number=0.000295&amp;sourceID=14","0.000295")</f>
        <v>0.000295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HYPERLINK("http://141.218.60.56/~jnz1568/getInfo.php?workbook=14_02.xlsx&amp;sheet=U0&amp;row=692&amp;col=6&amp;number=3.8&amp;sourceID=14","3.8")</f>
        <v>3.8</v>
      </c>
      <c r="G692" s="4" t="str">
        <f>HYPERLINK("http://141.218.60.56/~jnz1568/getInfo.php?workbook=14_02.xlsx&amp;sheet=U0&amp;row=692&amp;col=7&amp;number=0.000295&amp;sourceID=14","0.000295")</f>
        <v>0.000295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HYPERLINK("http://141.218.60.56/~jnz1568/getInfo.php?workbook=14_02.xlsx&amp;sheet=U0&amp;row=693&amp;col=6&amp;number=3.9&amp;sourceID=14","3.9")</f>
        <v>3.9</v>
      </c>
      <c r="G693" s="4" t="str">
        <f>HYPERLINK("http://141.218.60.56/~jnz1568/getInfo.php?workbook=14_02.xlsx&amp;sheet=U0&amp;row=693&amp;col=7&amp;number=0.000295&amp;sourceID=14","0.000295")</f>
        <v>0.000295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HYPERLINK("http://141.218.60.56/~jnz1568/getInfo.php?workbook=14_02.xlsx&amp;sheet=U0&amp;row=694&amp;col=6&amp;number=4&amp;sourceID=14","4")</f>
        <v>4</v>
      </c>
      <c r="G694" s="4" t="str">
        <f>HYPERLINK("http://141.218.60.56/~jnz1568/getInfo.php?workbook=14_02.xlsx&amp;sheet=U0&amp;row=694&amp;col=7&amp;number=0.000295&amp;sourceID=14","0.000295")</f>
        <v>0.000295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HYPERLINK("http://141.218.60.56/~jnz1568/getInfo.php?workbook=14_02.xlsx&amp;sheet=U0&amp;row=695&amp;col=6&amp;number=4.1&amp;sourceID=14","4.1")</f>
        <v>4.1</v>
      </c>
      <c r="G695" s="4" t="str">
        <f>HYPERLINK("http://141.218.60.56/~jnz1568/getInfo.php?workbook=14_02.xlsx&amp;sheet=U0&amp;row=695&amp;col=7&amp;number=0.000295&amp;sourceID=14","0.000295")</f>
        <v>0.000295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HYPERLINK("http://141.218.60.56/~jnz1568/getInfo.php?workbook=14_02.xlsx&amp;sheet=U0&amp;row=696&amp;col=6&amp;number=4.2&amp;sourceID=14","4.2")</f>
        <v>4.2</v>
      </c>
      <c r="G696" s="4" t="str">
        <f>HYPERLINK("http://141.218.60.56/~jnz1568/getInfo.php?workbook=14_02.xlsx&amp;sheet=U0&amp;row=696&amp;col=7&amp;number=0.000295&amp;sourceID=14","0.000295")</f>
        <v>0.000295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HYPERLINK("http://141.218.60.56/~jnz1568/getInfo.php?workbook=14_02.xlsx&amp;sheet=U0&amp;row=697&amp;col=6&amp;number=4.3&amp;sourceID=14","4.3")</f>
        <v>4.3</v>
      </c>
      <c r="G697" s="4" t="str">
        <f>HYPERLINK("http://141.218.60.56/~jnz1568/getInfo.php?workbook=14_02.xlsx&amp;sheet=U0&amp;row=697&amp;col=7&amp;number=0.000295&amp;sourceID=14","0.000295")</f>
        <v>0.000295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HYPERLINK("http://141.218.60.56/~jnz1568/getInfo.php?workbook=14_02.xlsx&amp;sheet=U0&amp;row=698&amp;col=6&amp;number=4.4&amp;sourceID=14","4.4")</f>
        <v>4.4</v>
      </c>
      <c r="G698" s="4" t="str">
        <f>HYPERLINK("http://141.218.60.56/~jnz1568/getInfo.php?workbook=14_02.xlsx&amp;sheet=U0&amp;row=698&amp;col=7&amp;number=0.000295&amp;sourceID=14","0.000295")</f>
        <v>0.000295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HYPERLINK("http://141.218.60.56/~jnz1568/getInfo.php?workbook=14_02.xlsx&amp;sheet=U0&amp;row=699&amp;col=6&amp;number=4.5&amp;sourceID=14","4.5")</f>
        <v>4.5</v>
      </c>
      <c r="G699" s="4" t="str">
        <f>HYPERLINK("http://141.218.60.56/~jnz1568/getInfo.php?workbook=14_02.xlsx&amp;sheet=U0&amp;row=699&amp;col=7&amp;number=0.000295&amp;sourceID=14","0.000295")</f>
        <v>0.000295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HYPERLINK("http://141.218.60.56/~jnz1568/getInfo.php?workbook=14_02.xlsx&amp;sheet=U0&amp;row=700&amp;col=6&amp;number=4.6&amp;sourceID=14","4.6")</f>
        <v>4.6</v>
      </c>
      <c r="G700" s="4" t="str">
        <f>HYPERLINK("http://141.218.60.56/~jnz1568/getInfo.php?workbook=14_02.xlsx&amp;sheet=U0&amp;row=700&amp;col=7&amp;number=0.000295&amp;sourceID=14","0.000295")</f>
        <v>0.000295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HYPERLINK("http://141.218.60.56/~jnz1568/getInfo.php?workbook=14_02.xlsx&amp;sheet=U0&amp;row=701&amp;col=6&amp;number=4.7&amp;sourceID=14","4.7")</f>
        <v>4.7</v>
      </c>
      <c r="G701" s="4" t="str">
        <f>HYPERLINK("http://141.218.60.56/~jnz1568/getInfo.php?workbook=14_02.xlsx&amp;sheet=U0&amp;row=701&amp;col=7&amp;number=0.000295&amp;sourceID=14","0.000295")</f>
        <v>0.000295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HYPERLINK("http://141.218.60.56/~jnz1568/getInfo.php?workbook=14_02.xlsx&amp;sheet=U0&amp;row=702&amp;col=6&amp;number=4.8&amp;sourceID=14","4.8")</f>
        <v>4.8</v>
      </c>
      <c r="G702" s="4" t="str">
        <f>HYPERLINK("http://141.218.60.56/~jnz1568/getInfo.php?workbook=14_02.xlsx&amp;sheet=U0&amp;row=702&amp;col=7&amp;number=0.000294&amp;sourceID=14","0.000294")</f>
        <v>0.000294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HYPERLINK("http://141.218.60.56/~jnz1568/getInfo.php?workbook=14_02.xlsx&amp;sheet=U0&amp;row=703&amp;col=6&amp;number=4.9&amp;sourceID=14","4.9")</f>
        <v>4.9</v>
      </c>
      <c r="G703" s="4" t="str">
        <f>HYPERLINK("http://141.218.60.56/~jnz1568/getInfo.php?workbook=14_02.xlsx&amp;sheet=U0&amp;row=703&amp;col=7&amp;number=0.000294&amp;sourceID=14","0.000294")</f>
        <v>0.000294</v>
      </c>
    </row>
    <row r="704" spans="1:7">
      <c r="A704" s="3">
        <v>14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HYPERLINK("http://141.218.60.56/~jnz1568/getInfo.php?workbook=14_02.xlsx&amp;sheet=U0&amp;row=704&amp;col=6&amp;number=3&amp;sourceID=14","3")</f>
        <v>3</v>
      </c>
      <c r="G704" s="4" t="str">
        <f>HYPERLINK("http://141.218.60.56/~jnz1568/getInfo.php?workbook=14_02.xlsx&amp;sheet=U0&amp;row=704&amp;col=7&amp;number=0.000213&amp;sourceID=14","0.000213")</f>
        <v>0.000213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HYPERLINK("http://141.218.60.56/~jnz1568/getInfo.php?workbook=14_02.xlsx&amp;sheet=U0&amp;row=705&amp;col=6&amp;number=3.1&amp;sourceID=14","3.1")</f>
        <v>3.1</v>
      </c>
      <c r="G705" s="4" t="str">
        <f>HYPERLINK("http://141.218.60.56/~jnz1568/getInfo.php?workbook=14_02.xlsx&amp;sheet=U0&amp;row=705&amp;col=7&amp;number=0.000213&amp;sourceID=14","0.000213")</f>
        <v>0.000213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HYPERLINK("http://141.218.60.56/~jnz1568/getInfo.php?workbook=14_02.xlsx&amp;sheet=U0&amp;row=706&amp;col=6&amp;number=3.2&amp;sourceID=14","3.2")</f>
        <v>3.2</v>
      </c>
      <c r="G706" s="4" t="str">
        <f>HYPERLINK("http://141.218.60.56/~jnz1568/getInfo.php?workbook=14_02.xlsx&amp;sheet=U0&amp;row=706&amp;col=7&amp;number=0.000213&amp;sourceID=14","0.000213")</f>
        <v>0.000213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HYPERLINK("http://141.218.60.56/~jnz1568/getInfo.php?workbook=14_02.xlsx&amp;sheet=U0&amp;row=707&amp;col=6&amp;number=3.3&amp;sourceID=14","3.3")</f>
        <v>3.3</v>
      </c>
      <c r="G707" s="4" t="str">
        <f>HYPERLINK("http://141.218.60.56/~jnz1568/getInfo.php?workbook=14_02.xlsx&amp;sheet=U0&amp;row=707&amp;col=7&amp;number=0.000213&amp;sourceID=14","0.000213")</f>
        <v>0.000213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HYPERLINK("http://141.218.60.56/~jnz1568/getInfo.php?workbook=14_02.xlsx&amp;sheet=U0&amp;row=708&amp;col=6&amp;number=3.4&amp;sourceID=14","3.4")</f>
        <v>3.4</v>
      </c>
      <c r="G708" s="4" t="str">
        <f>HYPERLINK("http://141.218.60.56/~jnz1568/getInfo.php?workbook=14_02.xlsx&amp;sheet=U0&amp;row=708&amp;col=7&amp;number=0.000213&amp;sourceID=14","0.000213")</f>
        <v>0.000213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HYPERLINK("http://141.218.60.56/~jnz1568/getInfo.php?workbook=14_02.xlsx&amp;sheet=U0&amp;row=709&amp;col=6&amp;number=3.5&amp;sourceID=14","3.5")</f>
        <v>3.5</v>
      </c>
      <c r="G709" s="4" t="str">
        <f>HYPERLINK("http://141.218.60.56/~jnz1568/getInfo.php?workbook=14_02.xlsx&amp;sheet=U0&amp;row=709&amp;col=7&amp;number=0.000213&amp;sourceID=14","0.000213")</f>
        <v>0.000213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HYPERLINK("http://141.218.60.56/~jnz1568/getInfo.php?workbook=14_02.xlsx&amp;sheet=U0&amp;row=710&amp;col=6&amp;number=3.6&amp;sourceID=14","3.6")</f>
        <v>3.6</v>
      </c>
      <c r="G710" s="4" t="str">
        <f>HYPERLINK("http://141.218.60.56/~jnz1568/getInfo.php?workbook=14_02.xlsx&amp;sheet=U0&amp;row=710&amp;col=7&amp;number=0.000213&amp;sourceID=14","0.000213")</f>
        <v>0.000213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HYPERLINK("http://141.218.60.56/~jnz1568/getInfo.php?workbook=14_02.xlsx&amp;sheet=U0&amp;row=711&amp;col=6&amp;number=3.7&amp;sourceID=14","3.7")</f>
        <v>3.7</v>
      </c>
      <c r="G711" s="4" t="str">
        <f>HYPERLINK("http://141.218.60.56/~jnz1568/getInfo.php?workbook=14_02.xlsx&amp;sheet=U0&amp;row=711&amp;col=7&amp;number=0.000213&amp;sourceID=14","0.000213")</f>
        <v>0.000213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HYPERLINK("http://141.218.60.56/~jnz1568/getInfo.php?workbook=14_02.xlsx&amp;sheet=U0&amp;row=712&amp;col=6&amp;number=3.8&amp;sourceID=14","3.8")</f>
        <v>3.8</v>
      </c>
      <c r="G712" s="4" t="str">
        <f>HYPERLINK("http://141.218.60.56/~jnz1568/getInfo.php?workbook=14_02.xlsx&amp;sheet=U0&amp;row=712&amp;col=7&amp;number=0.000213&amp;sourceID=14","0.000213")</f>
        <v>0.000213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HYPERLINK("http://141.218.60.56/~jnz1568/getInfo.php?workbook=14_02.xlsx&amp;sheet=U0&amp;row=713&amp;col=6&amp;number=3.9&amp;sourceID=14","3.9")</f>
        <v>3.9</v>
      </c>
      <c r="G713" s="4" t="str">
        <f>HYPERLINK("http://141.218.60.56/~jnz1568/getInfo.php?workbook=14_02.xlsx&amp;sheet=U0&amp;row=713&amp;col=7&amp;number=0.000213&amp;sourceID=14","0.000213")</f>
        <v>0.000213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HYPERLINK("http://141.218.60.56/~jnz1568/getInfo.php?workbook=14_02.xlsx&amp;sheet=U0&amp;row=714&amp;col=6&amp;number=4&amp;sourceID=14","4")</f>
        <v>4</v>
      </c>
      <c r="G714" s="4" t="str">
        <f>HYPERLINK("http://141.218.60.56/~jnz1568/getInfo.php?workbook=14_02.xlsx&amp;sheet=U0&amp;row=714&amp;col=7&amp;number=0.000213&amp;sourceID=14","0.000213")</f>
        <v>0.000213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HYPERLINK("http://141.218.60.56/~jnz1568/getInfo.php?workbook=14_02.xlsx&amp;sheet=U0&amp;row=715&amp;col=6&amp;number=4.1&amp;sourceID=14","4.1")</f>
        <v>4.1</v>
      </c>
      <c r="G715" s="4" t="str">
        <f>HYPERLINK("http://141.218.60.56/~jnz1568/getInfo.php?workbook=14_02.xlsx&amp;sheet=U0&amp;row=715&amp;col=7&amp;number=0.000213&amp;sourceID=14","0.000213")</f>
        <v>0.000213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HYPERLINK("http://141.218.60.56/~jnz1568/getInfo.php?workbook=14_02.xlsx&amp;sheet=U0&amp;row=716&amp;col=6&amp;number=4.2&amp;sourceID=14","4.2")</f>
        <v>4.2</v>
      </c>
      <c r="G716" s="4" t="str">
        <f>HYPERLINK("http://141.218.60.56/~jnz1568/getInfo.php?workbook=14_02.xlsx&amp;sheet=U0&amp;row=716&amp;col=7&amp;number=0.000213&amp;sourceID=14","0.000213")</f>
        <v>0.000213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HYPERLINK("http://141.218.60.56/~jnz1568/getInfo.php?workbook=14_02.xlsx&amp;sheet=U0&amp;row=717&amp;col=6&amp;number=4.3&amp;sourceID=14","4.3")</f>
        <v>4.3</v>
      </c>
      <c r="G717" s="4" t="str">
        <f>HYPERLINK("http://141.218.60.56/~jnz1568/getInfo.php?workbook=14_02.xlsx&amp;sheet=U0&amp;row=717&amp;col=7&amp;number=0.000213&amp;sourceID=14","0.000213")</f>
        <v>0.000213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HYPERLINK("http://141.218.60.56/~jnz1568/getInfo.php?workbook=14_02.xlsx&amp;sheet=U0&amp;row=718&amp;col=6&amp;number=4.4&amp;sourceID=14","4.4")</f>
        <v>4.4</v>
      </c>
      <c r="G718" s="4" t="str">
        <f>HYPERLINK("http://141.218.60.56/~jnz1568/getInfo.php?workbook=14_02.xlsx&amp;sheet=U0&amp;row=718&amp;col=7&amp;number=0.000214&amp;sourceID=14","0.000214")</f>
        <v>0.000214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HYPERLINK("http://141.218.60.56/~jnz1568/getInfo.php?workbook=14_02.xlsx&amp;sheet=U0&amp;row=719&amp;col=6&amp;number=4.5&amp;sourceID=14","4.5")</f>
        <v>4.5</v>
      </c>
      <c r="G719" s="4" t="str">
        <f>HYPERLINK("http://141.218.60.56/~jnz1568/getInfo.php?workbook=14_02.xlsx&amp;sheet=U0&amp;row=719&amp;col=7&amp;number=0.000214&amp;sourceID=14","0.000214")</f>
        <v>0.000214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HYPERLINK("http://141.218.60.56/~jnz1568/getInfo.php?workbook=14_02.xlsx&amp;sheet=U0&amp;row=720&amp;col=6&amp;number=4.6&amp;sourceID=14","4.6")</f>
        <v>4.6</v>
      </c>
      <c r="G720" s="4" t="str">
        <f>HYPERLINK("http://141.218.60.56/~jnz1568/getInfo.php?workbook=14_02.xlsx&amp;sheet=U0&amp;row=720&amp;col=7&amp;number=0.000214&amp;sourceID=14","0.000214")</f>
        <v>0.000214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HYPERLINK("http://141.218.60.56/~jnz1568/getInfo.php?workbook=14_02.xlsx&amp;sheet=U0&amp;row=721&amp;col=6&amp;number=4.7&amp;sourceID=14","4.7")</f>
        <v>4.7</v>
      </c>
      <c r="G721" s="4" t="str">
        <f>HYPERLINK("http://141.218.60.56/~jnz1568/getInfo.php?workbook=14_02.xlsx&amp;sheet=U0&amp;row=721&amp;col=7&amp;number=0.000214&amp;sourceID=14","0.000214")</f>
        <v>0.000214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HYPERLINK("http://141.218.60.56/~jnz1568/getInfo.php?workbook=14_02.xlsx&amp;sheet=U0&amp;row=722&amp;col=6&amp;number=4.8&amp;sourceID=14","4.8")</f>
        <v>4.8</v>
      </c>
      <c r="G722" s="4" t="str">
        <f>HYPERLINK("http://141.218.60.56/~jnz1568/getInfo.php?workbook=14_02.xlsx&amp;sheet=U0&amp;row=722&amp;col=7&amp;number=0.000214&amp;sourceID=14","0.000214")</f>
        <v>0.000214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HYPERLINK("http://141.218.60.56/~jnz1568/getInfo.php?workbook=14_02.xlsx&amp;sheet=U0&amp;row=723&amp;col=6&amp;number=4.9&amp;sourceID=14","4.9")</f>
        <v>4.9</v>
      </c>
      <c r="G723" s="4" t="str">
        <f>HYPERLINK("http://141.218.60.56/~jnz1568/getInfo.php?workbook=14_02.xlsx&amp;sheet=U0&amp;row=723&amp;col=7&amp;number=0.000215&amp;sourceID=14","0.000215")</f>
        <v>0.000215</v>
      </c>
    </row>
    <row r="724" spans="1:7">
      <c r="A724" s="3">
        <v>14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HYPERLINK("http://141.218.60.56/~jnz1568/getInfo.php?workbook=14_02.xlsx&amp;sheet=U0&amp;row=724&amp;col=6&amp;number=3&amp;sourceID=14","3")</f>
        <v>3</v>
      </c>
      <c r="G724" s="4" t="str">
        <f>HYPERLINK("http://141.218.60.56/~jnz1568/getInfo.php?workbook=14_02.xlsx&amp;sheet=U0&amp;row=724&amp;col=7&amp;number=2.46e-05&amp;sourceID=14","2.46e-05")</f>
        <v>2.46e-05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HYPERLINK("http://141.218.60.56/~jnz1568/getInfo.php?workbook=14_02.xlsx&amp;sheet=U0&amp;row=725&amp;col=6&amp;number=3.1&amp;sourceID=14","3.1")</f>
        <v>3.1</v>
      </c>
      <c r="G725" s="4" t="str">
        <f>HYPERLINK("http://141.218.60.56/~jnz1568/getInfo.php?workbook=14_02.xlsx&amp;sheet=U0&amp;row=725&amp;col=7&amp;number=2.46e-05&amp;sourceID=14","2.46e-05")</f>
        <v>2.46e-05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HYPERLINK("http://141.218.60.56/~jnz1568/getInfo.php?workbook=14_02.xlsx&amp;sheet=U0&amp;row=726&amp;col=6&amp;number=3.2&amp;sourceID=14","3.2")</f>
        <v>3.2</v>
      </c>
      <c r="G726" s="4" t="str">
        <f>HYPERLINK("http://141.218.60.56/~jnz1568/getInfo.php?workbook=14_02.xlsx&amp;sheet=U0&amp;row=726&amp;col=7&amp;number=2.46e-05&amp;sourceID=14","2.46e-05")</f>
        <v>2.46e-05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HYPERLINK("http://141.218.60.56/~jnz1568/getInfo.php?workbook=14_02.xlsx&amp;sheet=U0&amp;row=727&amp;col=6&amp;number=3.3&amp;sourceID=14","3.3")</f>
        <v>3.3</v>
      </c>
      <c r="G727" s="4" t="str">
        <f>HYPERLINK("http://141.218.60.56/~jnz1568/getInfo.php?workbook=14_02.xlsx&amp;sheet=U0&amp;row=727&amp;col=7&amp;number=2.46e-05&amp;sourceID=14","2.46e-05")</f>
        <v>2.46e-05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HYPERLINK("http://141.218.60.56/~jnz1568/getInfo.php?workbook=14_02.xlsx&amp;sheet=U0&amp;row=728&amp;col=6&amp;number=3.4&amp;sourceID=14","3.4")</f>
        <v>3.4</v>
      </c>
      <c r="G728" s="4" t="str">
        <f>HYPERLINK("http://141.218.60.56/~jnz1568/getInfo.php?workbook=14_02.xlsx&amp;sheet=U0&amp;row=728&amp;col=7&amp;number=2.46e-05&amp;sourceID=14","2.46e-05")</f>
        <v>2.46e-05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HYPERLINK("http://141.218.60.56/~jnz1568/getInfo.php?workbook=14_02.xlsx&amp;sheet=U0&amp;row=729&amp;col=6&amp;number=3.5&amp;sourceID=14","3.5")</f>
        <v>3.5</v>
      </c>
      <c r="G729" s="4" t="str">
        <f>HYPERLINK("http://141.218.60.56/~jnz1568/getInfo.php?workbook=14_02.xlsx&amp;sheet=U0&amp;row=729&amp;col=7&amp;number=2.46e-05&amp;sourceID=14","2.46e-05")</f>
        <v>2.46e-05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HYPERLINK("http://141.218.60.56/~jnz1568/getInfo.php?workbook=14_02.xlsx&amp;sheet=U0&amp;row=730&amp;col=6&amp;number=3.6&amp;sourceID=14","3.6")</f>
        <v>3.6</v>
      </c>
      <c r="G730" s="4" t="str">
        <f>HYPERLINK("http://141.218.60.56/~jnz1568/getInfo.php?workbook=14_02.xlsx&amp;sheet=U0&amp;row=730&amp;col=7&amp;number=2.46e-05&amp;sourceID=14","2.46e-05")</f>
        <v>2.46e-05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HYPERLINK("http://141.218.60.56/~jnz1568/getInfo.php?workbook=14_02.xlsx&amp;sheet=U0&amp;row=731&amp;col=6&amp;number=3.7&amp;sourceID=14","3.7")</f>
        <v>3.7</v>
      </c>
      <c r="G731" s="4" t="str">
        <f>HYPERLINK("http://141.218.60.56/~jnz1568/getInfo.php?workbook=14_02.xlsx&amp;sheet=U0&amp;row=731&amp;col=7&amp;number=2.46e-05&amp;sourceID=14","2.46e-05")</f>
        <v>2.46e-05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HYPERLINK("http://141.218.60.56/~jnz1568/getInfo.php?workbook=14_02.xlsx&amp;sheet=U0&amp;row=732&amp;col=6&amp;number=3.8&amp;sourceID=14","3.8")</f>
        <v>3.8</v>
      </c>
      <c r="G732" s="4" t="str">
        <f>HYPERLINK("http://141.218.60.56/~jnz1568/getInfo.php?workbook=14_02.xlsx&amp;sheet=U0&amp;row=732&amp;col=7&amp;number=2.46e-05&amp;sourceID=14","2.46e-05")</f>
        <v>2.46e-05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HYPERLINK("http://141.218.60.56/~jnz1568/getInfo.php?workbook=14_02.xlsx&amp;sheet=U0&amp;row=733&amp;col=6&amp;number=3.9&amp;sourceID=14","3.9")</f>
        <v>3.9</v>
      </c>
      <c r="G733" s="4" t="str">
        <f>HYPERLINK("http://141.218.60.56/~jnz1568/getInfo.php?workbook=14_02.xlsx&amp;sheet=U0&amp;row=733&amp;col=7&amp;number=2.46e-05&amp;sourceID=14","2.46e-05")</f>
        <v>2.46e-05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HYPERLINK("http://141.218.60.56/~jnz1568/getInfo.php?workbook=14_02.xlsx&amp;sheet=U0&amp;row=734&amp;col=6&amp;number=4&amp;sourceID=14","4")</f>
        <v>4</v>
      </c>
      <c r="G734" s="4" t="str">
        <f>HYPERLINK("http://141.218.60.56/~jnz1568/getInfo.php?workbook=14_02.xlsx&amp;sheet=U0&amp;row=734&amp;col=7&amp;number=2.46e-05&amp;sourceID=14","2.46e-05")</f>
        <v>2.46e-05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HYPERLINK("http://141.218.60.56/~jnz1568/getInfo.php?workbook=14_02.xlsx&amp;sheet=U0&amp;row=735&amp;col=6&amp;number=4.1&amp;sourceID=14","4.1")</f>
        <v>4.1</v>
      </c>
      <c r="G735" s="4" t="str">
        <f>HYPERLINK("http://141.218.60.56/~jnz1568/getInfo.php?workbook=14_02.xlsx&amp;sheet=U0&amp;row=735&amp;col=7&amp;number=2.46e-05&amp;sourceID=14","2.46e-05")</f>
        <v>2.46e-05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HYPERLINK("http://141.218.60.56/~jnz1568/getInfo.php?workbook=14_02.xlsx&amp;sheet=U0&amp;row=736&amp;col=6&amp;number=4.2&amp;sourceID=14","4.2")</f>
        <v>4.2</v>
      </c>
      <c r="G736" s="4" t="str">
        <f>HYPERLINK("http://141.218.60.56/~jnz1568/getInfo.php?workbook=14_02.xlsx&amp;sheet=U0&amp;row=736&amp;col=7&amp;number=2.46e-05&amp;sourceID=14","2.46e-05")</f>
        <v>2.46e-05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HYPERLINK("http://141.218.60.56/~jnz1568/getInfo.php?workbook=14_02.xlsx&amp;sheet=U0&amp;row=737&amp;col=6&amp;number=4.3&amp;sourceID=14","4.3")</f>
        <v>4.3</v>
      </c>
      <c r="G737" s="4" t="str">
        <f>HYPERLINK("http://141.218.60.56/~jnz1568/getInfo.php?workbook=14_02.xlsx&amp;sheet=U0&amp;row=737&amp;col=7&amp;number=2.46e-05&amp;sourceID=14","2.46e-05")</f>
        <v>2.46e-05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HYPERLINK("http://141.218.60.56/~jnz1568/getInfo.php?workbook=14_02.xlsx&amp;sheet=U0&amp;row=738&amp;col=6&amp;number=4.4&amp;sourceID=14","4.4")</f>
        <v>4.4</v>
      </c>
      <c r="G738" s="4" t="str">
        <f>HYPERLINK("http://141.218.60.56/~jnz1568/getInfo.php?workbook=14_02.xlsx&amp;sheet=U0&amp;row=738&amp;col=7&amp;number=2.45e-05&amp;sourceID=14","2.45e-05")</f>
        <v>2.45e-05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HYPERLINK("http://141.218.60.56/~jnz1568/getInfo.php?workbook=14_02.xlsx&amp;sheet=U0&amp;row=739&amp;col=6&amp;number=4.5&amp;sourceID=14","4.5")</f>
        <v>4.5</v>
      </c>
      <c r="G739" s="4" t="str">
        <f>HYPERLINK("http://141.218.60.56/~jnz1568/getInfo.php?workbook=14_02.xlsx&amp;sheet=U0&amp;row=739&amp;col=7&amp;number=2.45e-05&amp;sourceID=14","2.45e-05")</f>
        <v>2.45e-05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HYPERLINK("http://141.218.60.56/~jnz1568/getInfo.php?workbook=14_02.xlsx&amp;sheet=U0&amp;row=740&amp;col=6&amp;number=4.6&amp;sourceID=14","4.6")</f>
        <v>4.6</v>
      </c>
      <c r="G740" s="4" t="str">
        <f>HYPERLINK("http://141.218.60.56/~jnz1568/getInfo.php?workbook=14_02.xlsx&amp;sheet=U0&amp;row=740&amp;col=7&amp;number=2.45e-05&amp;sourceID=14","2.45e-05")</f>
        <v>2.45e-05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HYPERLINK("http://141.218.60.56/~jnz1568/getInfo.php?workbook=14_02.xlsx&amp;sheet=U0&amp;row=741&amp;col=6&amp;number=4.7&amp;sourceID=14","4.7")</f>
        <v>4.7</v>
      </c>
      <c r="G741" s="4" t="str">
        <f>HYPERLINK("http://141.218.60.56/~jnz1568/getInfo.php?workbook=14_02.xlsx&amp;sheet=U0&amp;row=741&amp;col=7&amp;number=2.45e-05&amp;sourceID=14","2.45e-05")</f>
        <v>2.45e-05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HYPERLINK("http://141.218.60.56/~jnz1568/getInfo.php?workbook=14_02.xlsx&amp;sheet=U0&amp;row=742&amp;col=6&amp;number=4.8&amp;sourceID=14","4.8")</f>
        <v>4.8</v>
      </c>
      <c r="G742" s="4" t="str">
        <f>HYPERLINK("http://141.218.60.56/~jnz1568/getInfo.php?workbook=14_02.xlsx&amp;sheet=U0&amp;row=742&amp;col=7&amp;number=2.45e-05&amp;sourceID=14","2.45e-05")</f>
        <v>2.45e-05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HYPERLINK("http://141.218.60.56/~jnz1568/getInfo.php?workbook=14_02.xlsx&amp;sheet=U0&amp;row=743&amp;col=6&amp;number=4.9&amp;sourceID=14","4.9")</f>
        <v>4.9</v>
      </c>
      <c r="G743" s="4" t="str">
        <f>HYPERLINK("http://141.218.60.56/~jnz1568/getInfo.php?workbook=14_02.xlsx&amp;sheet=U0&amp;row=743&amp;col=7&amp;number=2.45e-05&amp;sourceID=14","2.45e-05")</f>
        <v>2.45e-05</v>
      </c>
    </row>
    <row r="744" spans="1:7">
      <c r="A744" s="3">
        <v>14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HYPERLINK("http://141.218.60.56/~jnz1568/getInfo.php?workbook=14_02.xlsx&amp;sheet=U0&amp;row=744&amp;col=6&amp;number=3&amp;sourceID=14","3")</f>
        <v>3</v>
      </c>
      <c r="G744" s="4" t="str">
        <f>HYPERLINK("http://141.218.60.56/~jnz1568/getInfo.php?workbook=14_02.xlsx&amp;sheet=U0&amp;row=744&amp;col=7&amp;number=3.93e-05&amp;sourceID=14","3.93e-05")</f>
        <v>3.93e-05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HYPERLINK("http://141.218.60.56/~jnz1568/getInfo.php?workbook=14_02.xlsx&amp;sheet=U0&amp;row=745&amp;col=6&amp;number=3.1&amp;sourceID=14","3.1")</f>
        <v>3.1</v>
      </c>
      <c r="G745" s="4" t="str">
        <f>HYPERLINK("http://141.218.60.56/~jnz1568/getInfo.php?workbook=14_02.xlsx&amp;sheet=U0&amp;row=745&amp;col=7&amp;number=3.93e-05&amp;sourceID=14","3.93e-05")</f>
        <v>3.93e-05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HYPERLINK("http://141.218.60.56/~jnz1568/getInfo.php?workbook=14_02.xlsx&amp;sheet=U0&amp;row=746&amp;col=6&amp;number=3.2&amp;sourceID=14","3.2")</f>
        <v>3.2</v>
      </c>
      <c r="G746" s="4" t="str">
        <f>HYPERLINK("http://141.218.60.56/~jnz1568/getInfo.php?workbook=14_02.xlsx&amp;sheet=U0&amp;row=746&amp;col=7&amp;number=3.93e-05&amp;sourceID=14","3.93e-05")</f>
        <v>3.93e-05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HYPERLINK("http://141.218.60.56/~jnz1568/getInfo.php?workbook=14_02.xlsx&amp;sheet=U0&amp;row=747&amp;col=6&amp;number=3.3&amp;sourceID=14","3.3")</f>
        <v>3.3</v>
      </c>
      <c r="G747" s="4" t="str">
        <f>HYPERLINK("http://141.218.60.56/~jnz1568/getInfo.php?workbook=14_02.xlsx&amp;sheet=U0&amp;row=747&amp;col=7&amp;number=3.93e-05&amp;sourceID=14","3.93e-05")</f>
        <v>3.93e-05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HYPERLINK("http://141.218.60.56/~jnz1568/getInfo.php?workbook=14_02.xlsx&amp;sheet=U0&amp;row=748&amp;col=6&amp;number=3.4&amp;sourceID=14","3.4")</f>
        <v>3.4</v>
      </c>
      <c r="G748" s="4" t="str">
        <f>HYPERLINK("http://141.218.60.56/~jnz1568/getInfo.php?workbook=14_02.xlsx&amp;sheet=U0&amp;row=748&amp;col=7&amp;number=3.93e-05&amp;sourceID=14","3.93e-05")</f>
        <v>3.93e-05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HYPERLINK("http://141.218.60.56/~jnz1568/getInfo.php?workbook=14_02.xlsx&amp;sheet=U0&amp;row=749&amp;col=6&amp;number=3.5&amp;sourceID=14","3.5")</f>
        <v>3.5</v>
      </c>
      <c r="G749" s="4" t="str">
        <f>HYPERLINK("http://141.218.60.56/~jnz1568/getInfo.php?workbook=14_02.xlsx&amp;sheet=U0&amp;row=749&amp;col=7&amp;number=3.93e-05&amp;sourceID=14","3.93e-05")</f>
        <v>3.93e-05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HYPERLINK("http://141.218.60.56/~jnz1568/getInfo.php?workbook=14_02.xlsx&amp;sheet=U0&amp;row=750&amp;col=6&amp;number=3.6&amp;sourceID=14","3.6")</f>
        <v>3.6</v>
      </c>
      <c r="G750" s="4" t="str">
        <f>HYPERLINK("http://141.218.60.56/~jnz1568/getInfo.php?workbook=14_02.xlsx&amp;sheet=U0&amp;row=750&amp;col=7&amp;number=3.93e-05&amp;sourceID=14","3.93e-05")</f>
        <v>3.93e-05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HYPERLINK("http://141.218.60.56/~jnz1568/getInfo.php?workbook=14_02.xlsx&amp;sheet=U0&amp;row=751&amp;col=6&amp;number=3.7&amp;sourceID=14","3.7")</f>
        <v>3.7</v>
      </c>
      <c r="G751" s="4" t="str">
        <f>HYPERLINK("http://141.218.60.56/~jnz1568/getInfo.php?workbook=14_02.xlsx&amp;sheet=U0&amp;row=751&amp;col=7&amp;number=3.93e-05&amp;sourceID=14","3.93e-05")</f>
        <v>3.93e-05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HYPERLINK("http://141.218.60.56/~jnz1568/getInfo.php?workbook=14_02.xlsx&amp;sheet=U0&amp;row=752&amp;col=6&amp;number=3.8&amp;sourceID=14","3.8")</f>
        <v>3.8</v>
      </c>
      <c r="G752" s="4" t="str">
        <f>HYPERLINK("http://141.218.60.56/~jnz1568/getInfo.php?workbook=14_02.xlsx&amp;sheet=U0&amp;row=752&amp;col=7&amp;number=3.93e-05&amp;sourceID=14","3.93e-05")</f>
        <v>3.93e-05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HYPERLINK("http://141.218.60.56/~jnz1568/getInfo.php?workbook=14_02.xlsx&amp;sheet=U0&amp;row=753&amp;col=6&amp;number=3.9&amp;sourceID=14","3.9")</f>
        <v>3.9</v>
      </c>
      <c r="G753" s="4" t="str">
        <f>HYPERLINK("http://141.218.60.56/~jnz1568/getInfo.php?workbook=14_02.xlsx&amp;sheet=U0&amp;row=753&amp;col=7&amp;number=3.93e-05&amp;sourceID=14","3.93e-05")</f>
        <v>3.93e-05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HYPERLINK("http://141.218.60.56/~jnz1568/getInfo.php?workbook=14_02.xlsx&amp;sheet=U0&amp;row=754&amp;col=6&amp;number=4&amp;sourceID=14","4")</f>
        <v>4</v>
      </c>
      <c r="G754" s="4" t="str">
        <f>HYPERLINK("http://141.218.60.56/~jnz1568/getInfo.php?workbook=14_02.xlsx&amp;sheet=U0&amp;row=754&amp;col=7&amp;number=3.93e-05&amp;sourceID=14","3.93e-05")</f>
        <v>3.93e-05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HYPERLINK("http://141.218.60.56/~jnz1568/getInfo.php?workbook=14_02.xlsx&amp;sheet=U0&amp;row=755&amp;col=6&amp;number=4.1&amp;sourceID=14","4.1")</f>
        <v>4.1</v>
      </c>
      <c r="G755" s="4" t="str">
        <f>HYPERLINK("http://141.218.60.56/~jnz1568/getInfo.php?workbook=14_02.xlsx&amp;sheet=U0&amp;row=755&amp;col=7&amp;number=3.93e-05&amp;sourceID=14","3.93e-05")</f>
        <v>3.93e-05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HYPERLINK("http://141.218.60.56/~jnz1568/getInfo.php?workbook=14_02.xlsx&amp;sheet=U0&amp;row=756&amp;col=6&amp;number=4.2&amp;sourceID=14","4.2")</f>
        <v>4.2</v>
      </c>
      <c r="G756" s="4" t="str">
        <f>HYPERLINK("http://141.218.60.56/~jnz1568/getInfo.php?workbook=14_02.xlsx&amp;sheet=U0&amp;row=756&amp;col=7&amp;number=3.93e-05&amp;sourceID=14","3.93e-05")</f>
        <v>3.93e-05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HYPERLINK("http://141.218.60.56/~jnz1568/getInfo.php?workbook=14_02.xlsx&amp;sheet=U0&amp;row=757&amp;col=6&amp;number=4.3&amp;sourceID=14","4.3")</f>
        <v>4.3</v>
      </c>
      <c r="G757" s="4" t="str">
        <f>HYPERLINK("http://141.218.60.56/~jnz1568/getInfo.php?workbook=14_02.xlsx&amp;sheet=U0&amp;row=757&amp;col=7&amp;number=3.93e-05&amp;sourceID=14","3.93e-05")</f>
        <v>3.93e-05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HYPERLINK("http://141.218.60.56/~jnz1568/getInfo.php?workbook=14_02.xlsx&amp;sheet=U0&amp;row=758&amp;col=6&amp;number=4.4&amp;sourceID=14","4.4")</f>
        <v>4.4</v>
      </c>
      <c r="G758" s="4" t="str">
        <f>HYPERLINK("http://141.218.60.56/~jnz1568/getInfo.php?workbook=14_02.xlsx&amp;sheet=U0&amp;row=758&amp;col=7&amp;number=3.93e-05&amp;sourceID=14","3.93e-05")</f>
        <v>3.93e-05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HYPERLINK("http://141.218.60.56/~jnz1568/getInfo.php?workbook=14_02.xlsx&amp;sheet=U0&amp;row=759&amp;col=6&amp;number=4.5&amp;sourceID=14","4.5")</f>
        <v>4.5</v>
      </c>
      <c r="G759" s="4" t="str">
        <f>HYPERLINK("http://141.218.60.56/~jnz1568/getInfo.php?workbook=14_02.xlsx&amp;sheet=U0&amp;row=759&amp;col=7&amp;number=3.93e-05&amp;sourceID=14","3.93e-05")</f>
        <v>3.93e-05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HYPERLINK("http://141.218.60.56/~jnz1568/getInfo.php?workbook=14_02.xlsx&amp;sheet=U0&amp;row=760&amp;col=6&amp;number=4.6&amp;sourceID=14","4.6")</f>
        <v>4.6</v>
      </c>
      <c r="G760" s="4" t="str">
        <f>HYPERLINK("http://141.218.60.56/~jnz1568/getInfo.php?workbook=14_02.xlsx&amp;sheet=U0&amp;row=760&amp;col=7&amp;number=3.93e-05&amp;sourceID=14","3.93e-05")</f>
        <v>3.93e-05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HYPERLINK("http://141.218.60.56/~jnz1568/getInfo.php?workbook=14_02.xlsx&amp;sheet=U0&amp;row=761&amp;col=6&amp;number=4.7&amp;sourceID=14","4.7")</f>
        <v>4.7</v>
      </c>
      <c r="G761" s="4" t="str">
        <f>HYPERLINK("http://141.218.60.56/~jnz1568/getInfo.php?workbook=14_02.xlsx&amp;sheet=U0&amp;row=761&amp;col=7&amp;number=3.92e-05&amp;sourceID=14","3.92e-05")</f>
        <v>3.92e-05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HYPERLINK("http://141.218.60.56/~jnz1568/getInfo.php?workbook=14_02.xlsx&amp;sheet=U0&amp;row=762&amp;col=6&amp;number=4.8&amp;sourceID=14","4.8")</f>
        <v>4.8</v>
      </c>
      <c r="G762" s="4" t="str">
        <f>HYPERLINK("http://141.218.60.56/~jnz1568/getInfo.php?workbook=14_02.xlsx&amp;sheet=U0&amp;row=762&amp;col=7&amp;number=3.92e-05&amp;sourceID=14","3.92e-05")</f>
        <v>3.92e-05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HYPERLINK("http://141.218.60.56/~jnz1568/getInfo.php?workbook=14_02.xlsx&amp;sheet=U0&amp;row=763&amp;col=6&amp;number=4.9&amp;sourceID=14","4.9")</f>
        <v>4.9</v>
      </c>
      <c r="G763" s="4" t="str">
        <f>HYPERLINK("http://141.218.60.56/~jnz1568/getInfo.php?workbook=14_02.xlsx&amp;sheet=U0&amp;row=763&amp;col=7&amp;number=3.92e-05&amp;sourceID=14","3.92e-05")</f>
        <v>3.92e-05</v>
      </c>
    </row>
    <row r="764" spans="1:7">
      <c r="A764" s="3">
        <v>14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HYPERLINK("http://141.218.60.56/~jnz1568/getInfo.php?workbook=14_02.xlsx&amp;sheet=U0&amp;row=764&amp;col=6&amp;number=3&amp;sourceID=14","3")</f>
        <v>3</v>
      </c>
      <c r="G764" s="4" t="str">
        <f>HYPERLINK("http://141.218.60.56/~jnz1568/getInfo.php?workbook=14_02.xlsx&amp;sheet=U0&amp;row=764&amp;col=7&amp;number=5.74e-05&amp;sourceID=14","5.74e-05")</f>
        <v>5.74e-05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HYPERLINK("http://141.218.60.56/~jnz1568/getInfo.php?workbook=14_02.xlsx&amp;sheet=U0&amp;row=765&amp;col=6&amp;number=3.1&amp;sourceID=14","3.1")</f>
        <v>3.1</v>
      </c>
      <c r="G765" s="4" t="str">
        <f>HYPERLINK("http://141.218.60.56/~jnz1568/getInfo.php?workbook=14_02.xlsx&amp;sheet=U0&amp;row=765&amp;col=7&amp;number=5.74e-05&amp;sourceID=14","5.74e-05")</f>
        <v>5.74e-05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HYPERLINK("http://141.218.60.56/~jnz1568/getInfo.php?workbook=14_02.xlsx&amp;sheet=U0&amp;row=766&amp;col=6&amp;number=3.2&amp;sourceID=14","3.2")</f>
        <v>3.2</v>
      </c>
      <c r="G766" s="4" t="str">
        <f>HYPERLINK("http://141.218.60.56/~jnz1568/getInfo.php?workbook=14_02.xlsx&amp;sheet=U0&amp;row=766&amp;col=7&amp;number=5.74e-05&amp;sourceID=14","5.74e-05")</f>
        <v>5.74e-05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HYPERLINK("http://141.218.60.56/~jnz1568/getInfo.php?workbook=14_02.xlsx&amp;sheet=U0&amp;row=767&amp;col=6&amp;number=3.3&amp;sourceID=14","3.3")</f>
        <v>3.3</v>
      </c>
      <c r="G767" s="4" t="str">
        <f>HYPERLINK("http://141.218.60.56/~jnz1568/getInfo.php?workbook=14_02.xlsx&amp;sheet=U0&amp;row=767&amp;col=7&amp;number=5.74e-05&amp;sourceID=14","5.74e-05")</f>
        <v>5.74e-05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HYPERLINK("http://141.218.60.56/~jnz1568/getInfo.php?workbook=14_02.xlsx&amp;sheet=U0&amp;row=768&amp;col=6&amp;number=3.4&amp;sourceID=14","3.4")</f>
        <v>3.4</v>
      </c>
      <c r="G768" s="4" t="str">
        <f>HYPERLINK("http://141.218.60.56/~jnz1568/getInfo.php?workbook=14_02.xlsx&amp;sheet=U0&amp;row=768&amp;col=7&amp;number=5.74e-05&amp;sourceID=14","5.74e-05")</f>
        <v>5.74e-05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HYPERLINK("http://141.218.60.56/~jnz1568/getInfo.php?workbook=14_02.xlsx&amp;sheet=U0&amp;row=769&amp;col=6&amp;number=3.5&amp;sourceID=14","3.5")</f>
        <v>3.5</v>
      </c>
      <c r="G769" s="4" t="str">
        <f>HYPERLINK("http://141.218.60.56/~jnz1568/getInfo.php?workbook=14_02.xlsx&amp;sheet=U0&amp;row=769&amp;col=7&amp;number=5.74e-05&amp;sourceID=14","5.74e-05")</f>
        <v>5.74e-05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HYPERLINK("http://141.218.60.56/~jnz1568/getInfo.php?workbook=14_02.xlsx&amp;sheet=U0&amp;row=770&amp;col=6&amp;number=3.6&amp;sourceID=14","3.6")</f>
        <v>3.6</v>
      </c>
      <c r="G770" s="4" t="str">
        <f>HYPERLINK("http://141.218.60.56/~jnz1568/getInfo.php?workbook=14_02.xlsx&amp;sheet=U0&amp;row=770&amp;col=7&amp;number=5.74e-05&amp;sourceID=14","5.74e-05")</f>
        <v>5.74e-05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HYPERLINK("http://141.218.60.56/~jnz1568/getInfo.php?workbook=14_02.xlsx&amp;sheet=U0&amp;row=771&amp;col=6&amp;number=3.7&amp;sourceID=14","3.7")</f>
        <v>3.7</v>
      </c>
      <c r="G771" s="4" t="str">
        <f>HYPERLINK("http://141.218.60.56/~jnz1568/getInfo.php?workbook=14_02.xlsx&amp;sheet=U0&amp;row=771&amp;col=7&amp;number=5.73e-05&amp;sourceID=14","5.73e-05")</f>
        <v>5.73e-05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HYPERLINK("http://141.218.60.56/~jnz1568/getInfo.php?workbook=14_02.xlsx&amp;sheet=U0&amp;row=772&amp;col=6&amp;number=3.8&amp;sourceID=14","3.8")</f>
        <v>3.8</v>
      </c>
      <c r="G772" s="4" t="str">
        <f>HYPERLINK("http://141.218.60.56/~jnz1568/getInfo.php?workbook=14_02.xlsx&amp;sheet=U0&amp;row=772&amp;col=7&amp;number=5.73e-05&amp;sourceID=14","5.73e-05")</f>
        <v>5.73e-05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HYPERLINK("http://141.218.60.56/~jnz1568/getInfo.php?workbook=14_02.xlsx&amp;sheet=U0&amp;row=773&amp;col=6&amp;number=3.9&amp;sourceID=14","3.9")</f>
        <v>3.9</v>
      </c>
      <c r="G773" s="4" t="str">
        <f>HYPERLINK("http://141.218.60.56/~jnz1568/getInfo.php?workbook=14_02.xlsx&amp;sheet=U0&amp;row=773&amp;col=7&amp;number=5.73e-05&amp;sourceID=14","5.73e-05")</f>
        <v>5.73e-05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HYPERLINK("http://141.218.60.56/~jnz1568/getInfo.php?workbook=14_02.xlsx&amp;sheet=U0&amp;row=774&amp;col=6&amp;number=4&amp;sourceID=14","4")</f>
        <v>4</v>
      </c>
      <c r="G774" s="4" t="str">
        <f>HYPERLINK("http://141.218.60.56/~jnz1568/getInfo.php?workbook=14_02.xlsx&amp;sheet=U0&amp;row=774&amp;col=7&amp;number=5.73e-05&amp;sourceID=14","5.73e-05")</f>
        <v>5.73e-05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HYPERLINK("http://141.218.60.56/~jnz1568/getInfo.php?workbook=14_02.xlsx&amp;sheet=U0&amp;row=775&amp;col=6&amp;number=4.1&amp;sourceID=14","4.1")</f>
        <v>4.1</v>
      </c>
      <c r="G775" s="4" t="str">
        <f>HYPERLINK("http://141.218.60.56/~jnz1568/getInfo.php?workbook=14_02.xlsx&amp;sheet=U0&amp;row=775&amp;col=7&amp;number=5.73e-05&amp;sourceID=14","5.73e-05")</f>
        <v>5.73e-05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HYPERLINK("http://141.218.60.56/~jnz1568/getInfo.php?workbook=14_02.xlsx&amp;sheet=U0&amp;row=776&amp;col=6&amp;number=4.2&amp;sourceID=14","4.2")</f>
        <v>4.2</v>
      </c>
      <c r="G776" s="4" t="str">
        <f>HYPERLINK("http://141.218.60.56/~jnz1568/getInfo.php?workbook=14_02.xlsx&amp;sheet=U0&amp;row=776&amp;col=7&amp;number=5.73e-05&amp;sourceID=14","5.73e-05")</f>
        <v>5.73e-05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HYPERLINK("http://141.218.60.56/~jnz1568/getInfo.php?workbook=14_02.xlsx&amp;sheet=U0&amp;row=777&amp;col=6&amp;number=4.3&amp;sourceID=14","4.3")</f>
        <v>4.3</v>
      </c>
      <c r="G777" s="4" t="str">
        <f>HYPERLINK("http://141.218.60.56/~jnz1568/getInfo.php?workbook=14_02.xlsx&amp;sheet=U0&amp;row=777&amp;col=7&amp;number=5.73e-05&amp;sourceID=14","5.73e-05")</f>
        <v>5.73e-05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HYPERLINK("http://141.218.60.56/~jnz1568/getInfo.php?workbook=14_02.xlsx&amp;sheet=U0&amp;row=778&amp;col=6&amp;number=4.4&amp;sourceID=14","4.4")</f>
        <v>4.4</v>
      </c>
      <c r="G778" s="4" t="str">
        <f>HYPERLINK("http://141.218.60.56/~jnz1568/getInfo.php?workbook=14_02.xlsx&amp;sheet=U0&amp;row=778&amp;col=7&amp;number=5.73e-05&amp;sourceID=14","5.73e-05")</f>
        <v>5.73e-05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HYPERLINK("http://141.218.60.56/~jnz1568/getInfo.php?workbook=14_02.xlsx&amp;sheet=U0&amp;row=779&amp;col=6&amp;number=4.5&amp;sourceID=14","4.5")</f>
        <v>4.5</v>
      </c>
      <c r="G779" s="4" t="str">
        <f>HYPERLINK("http://141.218.60.56/~jnz1568/getInfo.php?workbook=14_02.xlsx&amp;sheet=U0&amp;row=779&amp;col=7&amp;number=5.72e-05&amp;sourceID=14","5.72e-05")</f>
        <v>5.72e-05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HYPERLINK("http://141.218.60.56/~jnz1568/getInfo.php?workbook=14_02.xlsx&amp;sheet=U0&amp;row=780&amp;col=6&amp;number=4.6&amp;sourceID=14","4.6")</f>
        <v>4.6</v>
      </c>
      <c r="G780" s="4" t="str">
        <f>HYPERLINK("http://141.218.60.56/~jnz1568/getInfo.php?workbook=14_02.xlsx&amp;sheet=U0&amp;row=780&amp;col=7&amp;number=5.72e-05&amp;sourceID=14","5.72e-05")</f>
        <v>5.72e-05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HYPERLINK("http://141.218.60.56/~jnz1568/getInfo.php?workbook=14_02.xlsx&amp;sheet=U0&amp;row=781&amp;col=6&amp;number=4.7&amp;sourceID=14","4.7")</f>
        <v>4.7</v>
      </c>
      <c r="G781" s="4" t="str">
        <f>HYPERLINK("http://141.218.60.56/~jnz1568/getInfo.php?workbook=14_02.xlsx&amp;sheet=U0&amp;row=781&amp;col=7&amp;number=5.72e-05&amp;sourceID=14","5.72e-05")</f>
        <v>5.72e-05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HYPERLINK("http://141.218.60.56/~jnz1568/getInfo.php?workbook=14_02.xlsx&amp;sheet=U0&amp;row=782&amp;col=6&amp;number=4.8&amp;sourceID=14","4.8")</f>
        <v>4.8</v>
      </c>
      <c r="G782" s="4" t="str">
        <f>HYPERLINK("http://141.218.60.56/~jnz1568/getInfo.php?workbook=14_02.xlsx&amp;sheet=U0&amp;row=782&amp;col=7&amp;number=5.71e-05&amp;sourceID=14","5.71e-05")</f>
        <v>5.71e-05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HYPERLINK("http://141.218.60.56/~jnz1568/getInfo.php?workbook=14_02.xlsx&amp;sheet=U0&amp;row=783&amp;col=6&amp;number=4.9&amp;sourceID=14","4.9")</f>
        <v>4.9</v>
      </c>
      <c r="G783" s="4" t="str">
        <f>HYPERLINK("http://141.218.60.56/~jnz1568/getInfo.php?workbook=14_02.xlsx&amp;sheet=U0&amp;row=783&amp;col=7&amp;number=5.71e-05&amp;sourceID=14","5.71e-05")</f>
        <v>5.71e-05</v>
      </c>
    </row>
    <row r="784" spans="1:7">
      <c r="A784" s="3">
        <v>14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HYPERLINK("http://141.218.60.56/~jnz1568/getInfo.php?workbook=14_02.xlsx&amp;sheet=U0&amp;row=784&amp;col=6&amp;number=3&amp;sourceID=14","3")</f>
        <v>3</v>
      </c>
      <c r="G784" s="4" t="str">
        <f>HYPERLINK("http://141.218.60.56/~jnz1568/getInfo.php?workbook=14_02.xlsx&amp;sheet=U0&amp;row=784&amp;col=7&amp;number=1.87e-05&amp;sourceID=14","1.87e-05")</f>
        <v>1.87e-05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HYPERLINK("http://141.218.60.56/~jnz1568/getInfo.php?workbook=14_02.xlsx&amp;sheet=U0&amp;row=785&amp;col=6&amp;number=3.1&amp;sourceID=14","3.1")</f>
        <v>3.1</v>
      </c>
      <c r="G785" s="4" t="str">
        <f>HYPERLINK("http://141.218.60.56/~jnz1568/getInfo.php?workbook=14_02.xlsx&amp;sheet=U0&amp;row=785&amp;col=7&amp;number=1.87e-05&amp;sourceID=14","1.87e-05")</f>
        <v>1.87e-05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HYPERLINK("http://141.218.60.56/~jnz1568/getInfo.php?workbook=14_02.xlsx&amp;sheet=U0&amp;row=786&amp;col=6&amp;number=3.2&amp;sourceID=14","3.2")</f>
        <v>3.2</v>
      </c>
      <c r="G786" s="4" t="str">
        <f>HYPERLINK("http://141.218.60.56/~jnz1568/getInfo.php?workbook=14_02.xlsx&amp;sheet=U0&amp;row=786&amp;col=7&amp;number=1.87e-05&amp;sourceID=14","1.87e-05")</f>
        <v>1.87e-05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HYPERLINK("http://141.218.60.56/~jnz1568/getInfo.php?workbook=14_02.xlsx&amp;sheet=U0&amp;row=787&amp;col=6&amp;number=3.3&amp;sourceID=14","3.3")</f>
        <v>3.3</v>
      </c>
      <c r="G787" s="4" t="str">
        <f>HYPERLINK("http://141.218.60.56/~jnz1568/getInfo.php?workbook=14_02.xlsx&amp;sheet=U0&amp;row=787&amp;col=7&amp;number=1.87e-05&amp;sourceID=14","1.87e-05")</f>
        <v>1.87e-05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HYPERLINK("http://141.218.60.56/~jnz1568/getInfo.php?workbook=14_02.xlsx&amp;sheet=U0&amp;row=788&amp;col=6&amp;number=3.4&amp;sourceID=14","3.4")</f>
        <v>3.4</v>
      </c>
      <c r="G788" s="4" t="str">
        <f>HYPERLINK("http://141.218.60.56/~jnz1568/getInfo.php?workbook=14_02.xlsx&amp;sheet=U0&amp;row=788&amp;col=7&amp;number=1.87e-05&amp;sourceID=14","1.87e-05")</f>
        <v>1.87e-05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HYPERLINK("http://141.218.60.56/~jnz1568/getInfo.php?workbook=14_02.xlsx&amp;sheet=U0&amp;row=789&amp;col=6&amp;number=3.5&amp;sourceID=14","3.5")</f>
        <v>3.5</v>
      </c>
      <c r="G789" s="4" t="str">
        <f>HYPERLINK("http://141.218.60.56/~jnz1568/getInfo.php?workbook=14_02.xlsx&amp;sheet=U0&amp;row=789&amp;col=7&amp;number=1.87e-05&amp;sourceID=14","1.87e-05")</f>
        <v>1.87e-05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HYPERLINK("http://141.218.60.56/~jnz1568/getInfo.php?workbook=14_02.xlsx&amp;sheet=U0&amp;row=790&amp;col=6&amp;number=3.6&amp;sourceID=14","3.6")</f>
        <v>3.6</v>
      </c>
      <c r="G790" s="4" t="str">
        <f>HYPERLINK("http://141.218.60.56/~jnz1568/getInfo.php?workbook=14_02.xlsx&amp;sheet=U0&amp;row=790&amp;col=7&amp;number=1.87e-05&amp;sourceID=14","1.87e-05")</f>
        <v>1.87e-05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HYPERLINK("http://141.218.60.56/~jnz1568/getInfo.php?workbook=14_02.xlsx&amp;sheet=U0&amp;row=791&amp;col=6&amp;number=3.7&amp;sourceID=14","3.7")</f>
        <v>3.7</v>
      </c>
      <c r="G791" s="4" t="str">
        <f>HYPERLINK("http://141.218.60.56/~jnz1568/getInfo.php?workbook=14_02.xlsx&amp;sheet=U0&amp;row=791&amp;col=7&amp;number=1.87e-05&amp;sourceID=14","1.87e-05")</f>
        <v>1.87e-05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HYPERLINK("http://141.218.60.56/~jnz1568/getInfo.php?workbook=14_02.xlsx&amp;sheet=U0&amp;row=792&amp;col=6&amp;number=3.8&amp;sourceID=14","3.8")</f>
        <v>3.8</v>
      </c>
      <c r="G792" s="4" t="str">
        <f>HYPERLINK("http://141.218.60.56/~jnz1568/getInfo.php?workbook=14_02.xlsx&amp;sheet=U0&amp;row=792&amp;col=7&amp;number=1.87e-05&amp;sourceID=14","1.87e-05")</f>
        <v>1.87e-05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HYPERLINK("http://141.218.60.56/~jnz1568/getInfo.php?workbook=14_02.xlsx&amp;sheet=U0&amp;row=793&amp;col=6&amp;number=3.9&amp;sourceID=14","3.9")</f>
        <v>3.9</v>
      </c>
      <c r="G793" s="4" t="str">
        <f>HYPERLINK("http://141.218.60.56/~jnz1568/getInfo.php?workbook=14_02.xlsx&amp;sheet=U0&amp;row=793&amp;col=7&amp;number=1.87e-05&amp;sourceID=14","1.87e-05")</f>
        <v>1.87e-05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HYPERLINK("http://141.218.60.56/~jnz1568/getInfo.php?workbook=14_02.xlsx&amp;sheet=U0&amp;row=794&amp;col=6&amp;number=4&amp;sourceID=14","4")</f>
        <v>4</v>
      </c>
      <c r="G794" s="4" t="str">
        <f>HYPERLINK("http://141.218.60.56/~jnz1568/getInfo.php?workbook=14_02.xlsx&amp;sheet=U0&amp;row=794&amp;col=7&amp;number=1.87e-05&amp;sourceID=14","1.87e-05")</f>
        <v>1.87e-05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HYPERLINK("http://141.218.60.56/~jnz1568/getInfo.php?workbook=14_02.xlsx&amp;sheet=U0&amp;row=795&amp;col=6&amp;number=4.1&amp;sourceID=14","4.1")</f>
        <v>4.1</v>
      </c>
      <c r="G795" s="4" t="str">
        <f>HYPERLINK("http://141.218.60.56/~jnz1568/getInfo.php?workbook=14_02.xlsx&amp;sheet=U0&amp;row=795&amp;col=7&amp;number=1.87e-05&amp;sourceID=14","1.87e-05")</f>
        <v>1.87e-05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HYPERLINK("http://141.218.60.56/~jnz1568/getInfo.php?workbook=14_02.xlsx&amp;sheet=U0&amp;row=796&amp;col=6&amp;number=4.2&amp;sourceID=14","4.2")</f>
        <v>4.2</v>
      </c>
      <c r="G796" s="4" t="str">
        <f>HYPERLINK("http://141.218.60.56/~jnz1568/getInfo.php?workbook=14_02.xlsx&amp;sheet=U0&amp;row=796&amp;col=7&amp;number=1.87e-05&amp;sourceID=14","1.87e-05")</f>
        <v>1.87e-05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HYPERLINK("http://141.218.60.56/~jnz1568/getInfo.php?workbook=14_02.xlsx&amp;sheet=U0&amp;row=797&amp;col=6&amp;number=4.3&amp;sourceID=14","4.3")</f>
        <v>4.3</v>
      </c>
      <c r="G797" s="4" t="str">
        <f>HYPERLINK("http://141.218.60.56/~jnz1568/getInfo.php?workbook=14_02.xlsx&amp;sheet=U0&amp;row=797&amp;col=7&amp;number=1.87e-05&amp;sourceID=14","1.87e-05")</f>
        <v>1.87e-05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HYPERLINK("http://141.218.60.56/~jnz1568/getInfo.php?workbook=14_02.xlsx&amp;sheet=U0&amp;row=798&amp;col=6&amp;number=4.4&amp;sourceID=14","4.4")</f>
        <v>4.4</v>
      </c>
      <c r="G798" s="4" t="str">
        <f>HYPERLINK("http://141.218.60.56/~jnz1568/getInfo.php?workbook=14_02.xlsx&amp;sheet=U0&amp;row=798&amp;col=7&amp;number=1.87e-05&amp;sourceID=14","1.87e-05")</f>
        <v>1.87e-05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HYPERLINK("http://141.218.60.56/~jnz1568/getInfo.php?workbook=14_02.xlsx&amp;sheet=U0&amp;row=799&amp;col=6&amp;number=4.5&amp;sourceID=14","4.5")</f>
        <v>4.5</v>
      </c>
      <c r="G799" s="4" t="str">
        <f>HYPERLINK("http://141.218.60.56/~jnz1568/getInfo.php?workbook=14_02.xlsx&amp;sheet=U0&amp;row=799&amp;col=7&amp;number=1.88e-05&amp;sourceID=14","1.88e-05")</f>
        <v>1.88e-05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HYPERLINK("http://141.218.60.56/~jnz1568/getInfo.php?workbook=14_02.xlsx&amp;sheet=U0&amp;row=800&amp;col=6&amp;number=4.6&amp;sourceID=14","4.6")</f>
        <v>4.6</v>
      </c>
      <c r="G800" s="4" t="str">
        <f>HYPERLINK("http://141.218.60.56/~jnz1568/getInfo.php?workbook=14_02.xlsx&amp;sheet=U0&amp;row=800&amp;col=7&amp;number=1.88e-05&amp;sourceID=14","1.88e-05")</f>
        <v>1.88e-05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HYPERLINK("http://141.218.60.56/~jnz1568/getInfo.php?workbook=14_02.xlsx&amp;sheet=U0&amp;row=801&amp;col=6&amp;number=4.7&amp;sourceID=14","4.7")</f>
        <v>4.7</v>
      </c>
      <c r="G801" s="4" t="str">
        <f>HYPERLINK("http://141.218.60.56/~jnz1568/getInfo.php?workbook=14_02.xlsx&amp;sheet=U0&amp;row=801&amp;col=7&amp;number=1.88e-05&amp;sourceID=14","1.88e-05")</f>
        <v>1.88e-05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HYPERLINK("http://141.218.60.56/~jnz1568/getInfo.php?workbook=14_02.xlsx&amp;sheet=U0&amp;row=802&amp;col=6&amp;number=4.8&amp;sourceID=14","4.8")</f>
        <v>4.8</v>
      </c>
      <c r="G802" s="4" t="str">
        <f>HYPERLINK("http://141.218.60.56/~jnz1568/getInfo.php?workbook=14_02.xlsx&amp;sheet=U0&amp;row=802&amp;col=7&amp;number=1.88e-05&amp;sourceID=14","1.88e-05")</f>
        <v>1.88e-05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HYPERLINK("http://141.218.60.56/~jnz1568/getInfo.php?workbook=14_02.xlsx&amp;sheet=U0&amp;row=803&amp;col=6&amp;number=4.9&amp;sourceID=14","4.9")</f>
        <v>4.9</v>
      </c>
      <c r="G803" s="4" t="str">
        <f>HYPERLINK("http://141.218.60.56/~jnz1568/getInfo.php?workbook=14_02.xlsx&amp;sheet=U0&amp;row=803&amp;col=7&amp;number=1.89e-05&amp;sourceID=14","1.89e-05")</f>
        <v>1.89e-05</v>
      </c>
    </row>
    <row r="804" spans="1:7">
      <c r="A804" s="3">
        <v>14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HYPERLINK("http://141.218.60.56/~jnz1568/getInfo.php?workbook=14_02.xlsx&amp;sheet=U0&amp;row=804&amp;col=6&amp;number=3&amp;sourceID=14","3")</f>
        <v>3</v>
      </c>
      <c r="G804" s="4" t="str">
        <f>HYPERLINK("http://141.218.60.56/~jnz1568/getInfo.php?workbook=14_02.xlsx&amp;sheet=U0&amp;row=804&amp;col=7&amp;number=2.76e-06&amp;sourceID=14","2.76e-06")</f>
        <v>2.76e-06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HYPERLINK("http://141.218.60.56/~jnz1568/getInfo.php?workbook=14_02.xlsx&amp;sheet=U0&amp;row=805&amp;col=6&amp;number=3.1&amp;sourceID=14","3.1")</f>
        <v>3.1</v>
      </c>
      <c r="G805" s="4" t="str">
        <f>HYPERLINK("http://141.218.60.56/~jnz1568/getInfo.php?workbook=14_02.xlsx&amp;sheet=U0&amp;row=805&amp;col=7&amp;number=2.76e-06&amp;sourceID=14","2.76e-06")</f>
        <v>2.76e-06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HYPERLINK("http://141.218.60.56/~jnz1568/getInfo.php?workbook=14_02.xlsx&amp;sheet=U0&amp;row=806&amp;col=6&amp;number=3.2&amp;sourceID=14","3.2")</f>
        <v>3.2</v>
      </c>
      <c r="G806" s="4" t="str">
        <f>HYPERLINK("http://141.218.60.56/~jnz1568/getInfo.php?workbook=14_02.xlsx&amp;sheet=U0&amp;row=806&amp;col=7&amp;number=2.76e-06&amp;sourceID=14","2.76e-06")</f>
        <v>2.76e-06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HYPERLINK("http://141.218.60.56/~jnz1568/getInfo.php?workbook=14_02.xlsx&amp;sheet=U0&amp;row=807&amp;col=6&amp;number=3.3&amp;sourceID=14","3.3")</f>
        <v>3.3</v>
      </c>
      <c r="G807" s="4" t="str">
        <f>HYPERLINK("http://141.218.60.56/~jnz1568/getInfo.php?workbook=14_02.xlsx&amp;sheet=U0&amp;row=807&amp;col=7&amp;number=2.76e-06&amp;sourceID=14","2.76e-06")</f>
        <v>2.76e-06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HYPERLINK("http://141.218.60.56/~jnz1568/getInfo.php?workbook=14_02.xlsx&amp;sheet=U0&amp;row=808&amp;col=6&amp;number=3.4&amp;sourceID=14","3.4")</f>
        <v>3.4</v>
      </c>
      <c r="G808" s="4" t="str">
        <f>HYPERLINK("http://141.218.60.56/~jnz1568/getInfo.php?workbook=14_02.xlsx&amp;sheet=U0&amp;row=808&amp;col=7&amp;number=2.76e-06&amp;sourceID=14","2.76e-06")</f>
        <v>2.76e-06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HYPERLINK("http://141.218.60.56/~jnz1568/getInfo.php?workbook=14_02.xlsx&amp;sheet=U0&amp;row=809&amp;col=6&amp;number=3.5&amp;sourceID=14","3.5")</f>
        <v>3.5</v>
      </c>
      <c r="G809" s="4" t="str">
        <f>HYPERLINK("http://141.218.60.56/~jnz1568/getInfo.php?workbook=14_02.xlsx&amp;sheet=U0&amp;row=809&amp;col=7&amp;number=2.76e-06&amp;sourceID=14","2.76e-06")</f>
        <v>2.76e-06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HYPERLINK("http://141.218.60.56/~jnz1568/getInfo.php?workbook=14_02.xlsx&amp;sheet=U0&amp;row=810&amp;col=6&amp;number=3.6&amp;sourceID=14","3.6")</f>
        <v>3.6</v>
      </c>
      <c r="G810" s="4" t="str">
        <f>HYPERLINK("http://141.218.60.56/~jnz1568/getInfo.php?workbook=14_02.xlsx&amp;sheet=U0&amp;row=810&amp;col=7&amp;number=2.76e-06&amp;sourceID=14","2.76e-06")</f>
        <v>2.76e-06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HYPERLINK("http://141.218.60.56/~jnz1568/getInfo.php?workbook=14_02.xlsx&amp;sheet=U0&amp;row=811&amp;col=6&amp;number=3.7&amp;sourceID=14","3.7")</f>
        <v>3.7</v>
      </c>
      <c r="G811" s="4" t="str">
        <f>HYPERLINK("http://141.218.60.56/~jnz1568/getInfo.php?workbook=14_02.xlsx&amp;sheet=U0&amp;row=811&amp;col=7&amp;number=2.76e-06&amp;sourceID=14","2.76e-06")</f>
        <v>2.76e-06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HYPERLINK("http://141.218.60.56/~jnz1568/getInfo.php?workbook=14_02.xlsx&amp;sheet=U0&amp;row=812&amp;col=6&amp;number=3.8&amp;sourceID=14","3.8")</f>
        <v>3.8</v>
      </c>
      <c r="G812" s="4" t="str">
        <f>HYPERLINK("http://141.218.60.56/~jnz1568/getInfo.php?workbook=14_02.xlsx&amp;sheet=U0&amp;row=812&amp;col=7&amp;number=2.76e-06&amp;sourceID=14","2.76e-06")</f>
        <v>2.76e-06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HYPERLINK("http://141.218.60.56/~jnz1568/getInfo.php?workbook=14_02.xlsx&amp;sheet=U0&amp;row=813&amp;col=6&amp;number=3.9&amp;sourceID=14","3.9")</f>
        <v>3.9</v>
      </c>
      <c r="G813" s="4" t="str">
        <f>HYPERLINK("http://141.218.60.56/~jnz1568/getInfo.php?workbook=14_02.xlsx&amp;sheet=U0&amp;row=813&amp;col=7&amp;number=2.76e-06&amp;sourceID=14","2.76e-06")</f>
        <v>2.76e-06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HYPERLINK("http://141.218.60.56/~jnz1568/getInfo.php?workbook=14_02.xlsx&amp;sheet=U0&amp;row=814&amp;col=6&amp;number=4&amp;sourceID=14","4")</f>
        <v>4</v>
      </c>
      <c r="G814" s="4" t="str">
        <f>HYPERLINK("http://141.218.60.56/~jnz1568/getInfo.php?workbook=14_02.xlsx&amp;sheet=U0&amp;row=814&amp;col=7&amp;number=2.76e-06&amp;sourceID=14","2.76e-06")</f>
        <v>2.76e-06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HYPERLINK("http://141.218.60.56/~jnz1568/getInfo.php?workbook=14_02.xlsx&amp;sheet=U0&amp;row=815&amp;col=6&amp;number=4.1&amp;sourceID=14","4.1")</f>
        <v>4.1</v>
      </c>
      <c r="G815" s="4" t="str">
        <f>HYPERLINK("http://141.218.60.56/~jnz1568/getInfo.php?workbook=14_02.xlsx&amp;sheet=U0&amp;row=815&amp;col=7&amp;number=2.76e-06&amp;sourceID=14","2.76e-06")</f>
        <v>2.76e-06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HYPERLINK("http://141.218.60.56/~jnz1568/getInfo.php?workbook=14_02.xlsx&amp;sheet=U0&amp;row=816&amp;col=6&amp;number=4.2&amp;sourceID=14","4.2")</f>
        <v>4.2</v>
      </c>
      <c r="G816" s="4" t="str">
        <f>HYPERLINK("http://141.218.60.56/~jnz1568/getInfo.php?workbook=14_02.xlsx&amp;sheet=U0&amp;row=816&amp;col=7&amp;number=2.76e-06&amp;sourceID=14","2.76e-06")</f>
        <v>2.76e-06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HYPERLINK("http://141.218.60.56/~jnz1568/getInfo.php?workbook=14_02.xlsx&amp;sheet=U0&amp;row=817&amp;col=6&amp;number=4.3&amp;sourceID=14","4.3")</f>
        <v>4.3</v>
      </c>
      <c r="G817" s="4" t="str">
        <f>HYPERLINK("http://141.218.60.56/~jnz1568/getInfo.php?workbook=14_02.xlsx&amp;sheet=U0&amp;row=817&amp;col=7&amp;number=2.76e-06&amp;sourceID=14","2.76e-06")</f>
        <v>2.76e-06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HYPERLINK("http://141.218.60.56/~jnz1568/getInfo.php?workbook=14_02.xlsx&amp;sheet=U0&amp;row=818&amp;col=6&amp;number=4.4&amp;sourceID=14","4.4")</f>
        <v>4.4</v>
      </c>
      <c r="G818" s="4" t="str">
        <f>HYPERLINK("http://141.218.60.56/~jnz1568/getInfo.php?workbook=14_02.xlsx&amp;sheet=U0&amp;row=818&amp;col=7&amp;number=2.76e-06&amp;sourceID=14","2.76e-06")</f>
        <v>2.76e-06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HYPERLINK("http://141.218.60.56/~jnz1568/getInfo.php?workbook=14_02.xlsx&amp;sheet=U0&amp;row=819&amp;col=6&amp;number=4.5&amp;sourceID=14","4.5")</f>
        <v>4.5</v>
      </c>
      <c r="G819" s="4" t="str">
        <f>HYPERLINK("http://141.218.60.56/~jnz1568/getInfo.php?workbook=14_02.xlsx&amp;sheet=U0&amp;row=819&amp;col=7&amp;number=2.76e-06&amp;sourceID=14","2.76e-06")</f>
        <v>2.76e-06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HYPERLINK("http://141.218.60.56/~jnz1568/getInfo.php?workbook=14_02.xlsx&amp;sheet=U0&amp;row=820&amp;col=6&amp;number=4.6&amp;sourceID=14","4.6")</f>
        <v>4.6</v>
      </c>
      <c r="G820" s="4" t="str">
        <f>HYPERLINK("http://141.218.60.56/~jnz1568/getInfo.php?workbook=14_02.xlsx&amp;sheet=U0&amp;row=820&amp;col=7&amp;number=2.75e-06&amp;sourceID=14","2.75e-06")</f>
        <v>2.75e-06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HYPERLINK("http://141.218.60.56/~jnz1568/getInfo.php?workbook=14_02.xlsx&amp;sheet=U0&amp;row=821&amp;col=6&amp;number=4.7&amp;sourceID=14","4.7")</f>
        <v>4.7</v>
      </c>
      <c r="G821" s="4" t="str">
        <f>HYPERLINK("http://141.218.60.56/~jnz1568/getInfo.php?workbook=14_02.xlsx&amp;sheet=U0&amp;row=821&amp;col=7&amp;number=2.75e-06&amp;sourceID=14","2.75e-06")</f>
        <v>2.75e-06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HYPERLINK("http://141.218.60.56/~jnz1568/getInfo.php?workbook=14_02.xlsx&amp;sheet=U0&amp;row=822&amp;col=6&amp;number=4.8&amp;sourceID=14","4.8")</f>
        <v>4.8</v>
      </c>
      <c r="G822" s="4" t="str">
        <f>HYPERLINK("http://141.218.60.56/~jnz1568/getInfo.php?workbook=14_02.xlsx&amp;sheet=U0&amp;row=822&amp;col=7&amp;number=2.75e-06&amp;sourceID=14","2.75e-06")</f>
        <v>2.75e-06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HYPERLINK("http://141.218.60.56/~jnz1568/getInfo.php?workbook=14_02.xlsx&amp;sheet=U0&amp;row=823&amp;col=6&amp;number=4.9&amp;sourceID=14","4.9")</f>
        <v>4.9</v>
      </c>
      <c r="G823" s="4" t="str">
        <f>HYPERLINK("http://141.218.60.56/~jnz1568/getInfo.php?workbook=14_02.xlsx&amp;sheet=U0&amp;row=823&amp;col=7&amp;number=2.75e-06&amp;sourceID=14","2.75e-06")</f>
        <v>2.75e-06</v>
      </c>
    </row>
    <row r="824" spans="1:7">
      <c r="A824" s="3">
        <v>14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HYPERLINK("http://141.218.60.56/~jnz1568/getInfo.php?workbook=14_02.xlsx&amp;sheet=U0&amp;row=824&amp;col=6&amp;number=3&amp;sourceID=14","3")</f>
        <v>3</v>
      </c>
      <c r="G824" s="4" t="str">
        <f>HYPERLINK("http://141.218.60.56/~jnz1568/getInfo.php?workbook=14_02.xlsx&amp;sheet=U0&amp;row=824&amp;col=7&amp;number=3.16e-06&amp;sourceID=14","3.16e-06")</f>
        <v>3.16e-06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HYPERLINK("http://141.218.60.56/~jnz1568/getInfo.php?workbook=14_02.xlsx&amp;sheet=U0&amp;row=825&amp;col=6&amp;number=3.1&amp;sourceID=14","3.1")</f>
        <v>3.1</v>
      </c>
      <c r="G825" s="4" t="str">
        <f>HYPERLINK("http://141.218.60.56/~jnz1568/getInfo.php?workbook=14_02.xlsx&amp;sheet=U0&amp;row=825&amp;col=7&amp;number=3.16e-06&amp;sourceID=14","3.16e-06")</f>
        <v>3.16e-06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HYPERLINK("http://141.218.60.56/~jnz1568/getInfo.php?workbook=14_02.xlsx&amp;sheet=U0&amp;row=826&amp;col=6&amp;number=3.2&amp;sourceID=14","3.2")</f>
        <v>3.2</v>
      </c>
      <c r="G826" s="4" t="str">
        <f>HYPERLINK("http://141.218.60.56/~jnz1568/getInfo.php?workbook=14_02.xlsx&amp;sheet=U0&amp;row=826&amp;col=7&amp;number=3.16e-06&amp;sourceID=14","3.16e-06")</f>
        <v>3.16e-06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HYPERLINK("http://141.218.60.56/~jnz1568/getInfo.php?workbook=14_02.xlsx&amp;sheet=U0&amp;row=827&amp;col=6&amp;number=3.3&amp;sourceID=14","3.3")</f>
        <v>3.3</v>
      </c>
      <c r="G827" s="4" t="str">
        <f>HYPERLINK("http://141.218.60.56/~jnz1568/getInfo.php?workbook=14_02.xlsx&amp;sheet=U0&amp;row=827&amp;col=7&amp;number=3.16e-06&amp;sourceID=14","3.16e-06")</f>
        <v>3.16e-06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HYPERLINK("http://141.218.60.56/~jnz1568/getInfo.php?workbook=14_02.xlsx&amp;sheet=U0&amp;row=828&amp;col=6&amp;number=3.4&amp;sourceID=14","3.4")</f>
        <v>3.4</v>
      </c>
      <c r="G828" s="4" t="str">
        <f>HYPERLINK("http://141.218.60.56/~jnz1568/getInfo.php?workbook=14_02.xlsx&amp;sheet=U0&amp;row=828&amp;col=7&amp;number=3.16e-06&amp;sourceID=14","3.16e-06")</f>
        <v>3.16e-06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HYPERLINK("http://141.218.60.56/~jnz1568/getInfo.php?workbook=14_02.xlsx&amp;sheet=U0&amp;row=829&amp;col=6&amp;number=3.5&amp;sourceID=14","3.5")</f>
        <v>3.5</v>
      </c>
      <c r="G829" s="4" t="str">
        <f>HYPERLINK("http://141.218.60.56/~jnz1568/getInfo.php?workbook=14_02.xlsx&amp;sheet=U0&amp;row=829&amp;col=7&amp;number=3.16e-06&amp;sourceID=14","3.16e-06")</f>
        <v>3.16e-06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HYPERLINK("http://141.218.60.56/~jnz1568/getInfo.php?workbook=14_02.xlsx&amp;sheet=U0&amp;row=830&amp;col=6&amp;number=3.6&amp;sourceID=14","3.6")</f>
        <v>3.6</v>
      </c>
      <c r="G830" s="4" t="str">
        <f>HYPERLINK("http://141.218.60.56/~jnz1568/getInfo.php?workbook=14_02.xlsx&amp;sheet=U0&amp;row=830&amp;col=7&amp;number=3.16e-06&amp;sourceID=14","3.16e-06")</f>
        <v>3.16e-06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HYPERLINK("http://141.218.60.56/~jnz1568/getInfo.php?workbook=14_02.xlsx&amp;sheet=U0&amp;row=831&amp;col=6&amp;number=3.7&amp;sourceID=14","3.7")</f>
        <v>3.7</v>
      </c>
      <c r="G831" s="4" t="str">
        <f>HYPERLINK("http://141.218.60.56/~jnz1568/getInfo.php?workbook=14_02.xlsx&amp;sheet=U0&amp;row=831&amp;col=7&amp;number=3.16e-06&amp;sourceID=14","3.16e-06")</f>
        <v>3.16e-06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HYPERLINK("http://141.218.60.56/~jnz1568/getInfo.php?workbook=14_02.xlsx&amp;sheet=U0&amp;row=832&amp;col=6&amp;number=3.8&amp;sourceID=14","3.8")</f>
        <v>3.8</v>
      </c>
      <c r="G832" s="4" t="str">
        <f>HYPERLINK("http://141.218.60.56/~jnz1568/getInfo.php?workbook=14_02.xlsx&amp;sheet=U0&amp;row=832&amp;col=7&amp;number=3.16e-06&amp;sourceID=14","3.16e-06")</f>
        <v>3.16e-06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HYPERLINK("http://141.218.60.56/~jnz1568/getInfo.php?workbook=14_02.xlsx&amp;sheet=U0&amp;row=833&amp;col=6&amp;number=3.9&amp;sourceID=14","3.9")</f>
        <v>3.9</v>
      </c>
      <c r="G833" s="4" t="str">
        <f>HYPERLINK("http://141.218.60.56/~jnz1568/getInfo.php?workbook=14_02.xlsx&amp;sheet=U0&amp;row=833&amp;col=7&amp;number=3.16e-06&amp;sourceID=14","3.16e-06")</f>
        <v>3.16e-06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HYPERLINK("http://141.218.60.56/~jnz1568/getInfo.php?workbook=14_02.xlsx&amp;sheet=U0&amp;row=834&amp;col=6&amp;number=4&amp;sourceID=14","4")</f>
        <v>4</v>
      </c>
      <c r="G834" s="4" t="str">
        <f>HYPERLINK("http://141.218.60.56/~jnz1568/getInfo.php?workbook=14_02.xlsx&amp;sheet=U0&amp;row=834&amp;col=7&amp;number=3.16e-06&amp;sourceID=14","3.16e-06")</f>
        <v>3.16e-06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HYPERLINK("http://141.218.60.56/~jnz1568/getInfo.php?workbook=14_02.xlsx&amp;sheet=U0&amp;row=835&amp;col=6&amp;number=4.1&amp;sourceID=14","4.1")</f>
        <v>4.1</v>
      </c>
      <c r="G835" s="4" t="str">
        <f>HYPERLINK("http://141.218.60.56/~jnz1568/getInfo.php?workbook=14_02.xlsx&amp;sheet=U0&amp;row=835&amp;col=7&amp;number=3.16e-06&amp;sourceID=14","3.16e-06")</f>
        <v>3.16e-06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HYPERLINK("http://141.218.60.56/~jnz1568/getInfo.php?workbook=14_02.xlsx&amp;sheet=U0&amp;row=836&amp;col=6&amp;number=4.2&amp;sourceID=14","4.2")</f>
        <v>4.2</v>
      </c>
      <c r="G836" s="4" t="str">
        <f>HYPERLINK("http://141.218.60.56/~jnz1568/getInfo.php?workbook=14_02.xlsx&amp;sheet=U0&amp;row=836&amp;col=7&amp;number=3.16e-06&amp;sourceID=14","3.16e-06")</f>
        <v>3.16e-06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HYPERLINK("http://141.218.60.56/~jnz1568/getInfo.php?workbook=14_02.xlsx&amp;sheet=U0&amp;row=837&amp;col=6&amp;number=4.3&amp;sourceID=14","4.3")</f>
        <v>4.3</v>
      </c>
      <c r="G837" s="4" t="str">
        <f>HYPERLINK("http://141.218.60.56/~jnz1568/getInfo.php?workbook=14_02.xlsx&amp;sheet=U0&amp;row=837&amp;col=7&amp;number=3.16e-06&amp;sourceID=14","3.16e-06")</f>
        <v>3.16e-06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HYPERLINK("http://141.218.60.56/~jnz1568/getInfo.php?workbook=14_02.xlsx&amp;sheet=U0&amp;row=838&amp;col=6&amp;number=4.4&amp;sourceID=14","4.4")</f>
        <v>4.4</v>
      </c>
      <c r="G838" s="4" t="str">
        <f>HYPERLINK("http://141.218.60.56/~jnz1568/getInfo.php?workbook=14_02.xlsx&amp;sheet=U0&amp;row=838&amp;col=7&amp;number=3.16e-06&amp;sourceID=14","3.16e-06")</f>
        <v>3.16e-06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HYPERLINK("http://141.218.60.56/~jnz1568/getInfo.php?workbook=14_02.xlsx&amp;sheet=U0&amp;row=839&amp;col=6&amp;number=4.5&amp;sourceID=14","4.5")</f>
        <v>4.5</v>
      </c>
      <c r="G839" s="4" t="str">
        <f>HYPERLINK("http://141.218.60.56/~jnz1568/getInfo.php?workbook=14_02.xlsx&amp;sheet=U0&amp;row=839&amp;col=7&amp;number=3.16e-06&amp;sourceID=14","3.16e-06")</f>
        <v>3.16e-06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HYPERLINK("http://141.218.60.56/~jnz1568/getInfo.php?workbook=14_02.xlsx&amp;sheet=U0&amp;row=840&amp;col=6&amp;number=4.6&amp;sourceID=14","4.6")</f>
        <v>4.6</v>
      </c>
      <c r="G840" s="4" t="str">
        <f>HYPERLINK("http://141.218.60.56/~jnz1568/getInfo.php?workbook=14_02.xlsx&amp;sheet=U0&amp;row=840&amp;col=7&amp;number=3.16e-06&amp;sourceID=14","3.16e-06")</f>
        <v>3.16e-06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HYPERLINK("http://141.218.60.56/~jnz1568/getInfo.php?workbook=14_02.xlsx&amp;sheet=U0&amp;row=841&amp;col=6&amp;number=4.7&amp;sourceID=14","4.7")</f>
        <v>4.7</v>
      </c>
      <c r="G841" s="4" t="str">
        <f>HYPERLINK("http://141.218.60.56/~jnz1568/getInfo.php?workbook=14_02.xlsx&amp;sheet=U0&amp;row=841&amp;col=7&amp;number=3.16e-06&amp;sourceID=14","3.16e-06")</f>
        <v>3.16e-06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HYPERLINK("http://141.218.60.56/~jnz1568/getInfo.php?workbook=14_02.xlsx&amp;sheet=U0&amp;row=842&amp;col=6&amp;number=4.8&amp;sourceID=14","4.8")</f>
        <v>4.8</v>
      </c>
      <c r="G842" s="4" t="str">
        <f>HYPERLINK("http://141.218.60.56/~jnz1568/getInfo.php?workbook=14_02.xlsx&amp;sheet=U0&amp;row=842&amp;col=7&amp;number=3.15e-06&amp;sourceID=14","3.15e-06")</f>
        <v>3.15e-06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HYPERLINK("http://141.218.60.56/~jnz1568/getInfo.php?workbook=14_02.xlsx&amp;sheet=U0&amp;row=843&amp;col=6&amp;number=4.9&amp;sourceID=14","4.9")</f>
        <v>4.9</v>
      </c>
      <c r="G843" s="4" t="str">
        <f>HYPERLINK("http://141.218.60.56/~jnz1568/getInfo.php?workbook=14_02.xlsx&amp;sheet=U0&amp;row=843&amp;col=7&amp;number=3.15e-06&amp;sourceID=14","3.15e-06")</f>
        <v>3.15e-06</v>
      </c>
    </row>
    <row r="844" spans="1:7">
      <c r="A844" s="3">
        <v>14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HYPERLINK("http://141.218.60.56/~jnz1568/getInfo.php?workbook=14_02.xlsx&amp;sheet=U0&amp;row=844&amp;col=6&amp;number=3&amp;sourceID=14","3")</f>
        <v>3</v>
      </c>
      <c r="G844" s="4" t="str">
        <f>HYPERLINK("http://141.218.60.56/~jnz1568/getInfo.php?workbook=14_02.xlsx&amp;sheet=U0&amp;row=844&amp;col=7&amp;number=4.97e-06&amp;sourceID=14","4.97e-06")</f>
        <v>4.97e-06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HYPERLINK("http://141.218.60.56/~jnz1568/getInfo.php?workbook=14_02.xlsx&amp;sheet=U0&amp;row=845&amp;col=6&amp;number=3.1&amp;sourceID=14","3.1")</f>
        <v>3.1</v>
      </c>
      <c r="G845" s="4" t="str">
        <f>HYPERLINK("http://141.218.60.56/~jnz1568/getInfo.php?workbook=14_02.xlsx&amp;sheet=U0&amp;row=845&amp;col=7&amp;number=4.97e-06&amp;sourceID=14","4.97e-06")</f>
        <v>4.97e-06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HYPERLINK("http://141.218.60.56/~jnz1568/getInfo.php?workbook=14_02.xlsx&amp;sheet=U0&amp;row=846&amp;col=6&amp;number=3.2&amp;sourceID=14","3.2")</f>
        <v>3.2</v>
      </c>
      <c r="G846" s="4" t="str">
        <f>HYPERLINK("http://141.218.60.56/~jnz1568/getInfo.php?workbook=14_02.xlsx&amp;sheet=U0&amp;row=846&amp;col=7&amp;number=4.97e-06&amp;sourceID=14","4.97e-06")</f>
        <v>4.97e-06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HYPERLINK("http://141.218.60.56/~jnz1568/getInfo.php?workbook=14_02.xlsx&amp;sheet=U0&amp;row=847&amp;col=6&amp;number=3.3&amp;sourceID=14","3.3")</f>
        <v>3.3</v>
      </c>
      <c r="G847" s="4" t="str">
        <f>HYPERLINK("http://141.218.60.56/~jnz1568/getInfo.php?workbook=14_02.xlsx&amp;sheet=U0&amp;row=847&amp;col=7&amp;number=4.97e-06&amp;sourceID=14","4.97e-06")</f>
        <v>4.97e-06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HYPERLINK("http://141.218.60.56/~jnz1568/getInfo.php?workbook=14_02.xlsx&amp;sheet=U0&amp;row=848&amp;col=6&amp;number=3.4&amp;sourceID=14","3.4")</f>
        <v>3.4</v>
      </c>
      <c r="G848" s="4" t="str">
        <f>HYPERLINK("http://141.218.60.56/~jnz1568/getInfo.php?workbook=14_02.xlsx&amp;sheet=U0&amp;row=848&amp;col=7&amp;number=4.97e-06&amp;sourceID=14","4.97e-06")</f>
        <v>4.97e-06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HYPERLINK("http://141.218.60.56/~jnz1568/getInfo.php?workbook=14_02.xlsx&amp;sheet=U0&amp;row=849&amp;col=6&amp;number=3.5&amp;sourceID=14","3.5")</f>
        <v>3.5</v>
      </c>
      <c r="G849" s="4" t="str">
        <f>HYPERLINK("http://141.218.60.56/~jnz1568/getInfo.php?workbook=14_02.xlsx&amp;sheet=U0&amp;row=849&amp;col=7&amp;number=4.97e-06&amp;sourceID=14","4.97e-06")</f>
        <v>4.97e-06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HYPERLINK("http://141.218.60.56/~jnz1568/getInfo.php?workbook=14_02.xlsx&amp;sheet=U0&amp;row=850&amp;col=6&amp;number=3.6&amp;sourceID=14","3.6")</f>
        <v>3.6</v>
      </c>
      <c r="G850" s="4" t="str">
        <f>HYPERLINK("http://141.218.60.56/~jnz1568/getInfo.php?workbook=14_02.xlsx&amp;sheet=U0&amp;row=850&amp;col=7&amp;number=4.97e-06&amp;sourceID=14","4.97e-06")</f>
        <v>4.97e-06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HYPERLINK("http://141.218.60.56/~jnz1568/getInfo.php?workbook=14_02.xlsx&amp;sheet=U0&amp;row=851&amp;col=6&amp;number=3.7&amp;sourceID=14","3.7")</f>
        <v>3.7</v>
      </c>
      <c r="G851" s="4" t="str">
        <f>HYPERLINK("http://141.218.60.56/~jnz1568/getInfo.php?workbook=14_02.xlsx&amp;sheet=U0&amp;row=851&amp;col=7&amp;number=4.97e-06&amp;sourceID=14","4.97e-06")</f>
        <v>4.97e-06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HYPERLINK("http://141.218.60.56/~jnz1568/getInfo.php?workbook=14_02.xlsx&amp;sheet=U0&amp;row=852&amp;col=6&amp;number=3.8&amp;sourceID=14","3.8")</f>
        <v>3.8</v>
      </c>
      <c r="G852" s="4" t="str">
        <f>HYPERLINK("http://141.218.60.56/~jnz1568/getInfo.php?workbook=14_02.xlsx&amp;sheet=U0&amp;row=852&amp;col=7&amp;number=4.97e-06&amp;sourceID=14","4.97e-06")</f>
        <v>4.97e-06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HYPERLINK("http://141.218.60.56/~jnz1568/getInfo.php?workbook=14_02.xlsx&amp;sheet=U0&amp;row=853&amp;col=6&amp;number=3.9&amp;sourceID=14","3.9")</f>
        <v>3.9</v>
      </c>
      <c r="G853" s="4" t="str">
        <f>HYPERLINK("http://141.218.60.56/~jnz1568/getInfo.php?workbook=14_02.xlsx&amp;sheet=U0&amp;row=853&amp;col=7&amp;number=4.97e-06&amp;sourceID=14","4.97e-06")</f>
        <v>4.97e-06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HYPERLINK("http://141.218.60.56/~jnz1568/getInfo.php?workbook=14_02.xlsx&amp;sheet=U0&amp;row=854&amp;col=6&amp;number=4&amp;sourceID=14","4")</f>
        <v>4</v>
      </c>
      <c r="G854" s="4" t="str">
        <f>HYPERLINK("http://141.218.60.56/~jnz1568/getInfo.php?workbook=14_02.xlsx&amp;sheet=U0&amp;row=854&amp;col=7&amp;number=4.97e-06&amp;sourceID=14","4.97e-06")</f>
        <v>4.97e-06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HYPERLINK("http://141.218.60.56/~jnz1568/getInfo.php?workbook=14_02.xlsx&amp;sheet=U0&amp;row=855&amp;col=6&amp;number=4.1&amp;sourceID=14","4.1")</f>
        <v>4.1</v>
      </c>
      <c r="G855" s="4" t="str">
        <f>HYPERLINK("http://141.218.60.56/~jnz1568/getInfo.php?workbook=14_02.xlsx&amp;sheet=U0&amp;row=855&amp;col=7&amp;number=4.97e-06&amp;sourceID=14","4.97e-06")</f>
        <v>4.97e-06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HYPERLINK("http://141.218.60.56/~jnz1568/getInfo.php?workbook=14_02.xlsx&amp;sheet=U0&amp;row=856&amp;col=6&amp;number=4.2&amp;sourceID=14","4.2")</f>
        <v>4.2</v>
      </c>
      <c r="G856" s="4" t="str">
        <f>HYPERLINK("http://141.218.60.56/~jnz1568/getInfo.php?workbook=14_02.xlsx&amp;sheet=U0&amp;row=856&amp;col=7&amp;number=4.97e-06&amp;sourceID=14","4.97e-06")</f>
        <v>4.97e-06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HYPERLINK("http://141.218.60.56/~jnz1568/getInfo.php?workbook=14_02.xlsx&amp;sheet=U0&amp;row=857&amp;col=6&amp;number=4.3&amp;sourceID=14","4.3")</f>
        <v>4.3</v>
      </c>
      <c r="G857" s="4" t="str">
        <f>HYPERLINK("http://141.218.60.56/~jnz1568/getInfo.php?workbook=14_02.xlsx&amp;sheet=U0&amp;row=857&amp;col=7&amp;number=4.97e-06&amp;sourceID=14","4.97e-06")</f>
        <v>4.97e-06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HYPERLINK("http://141.218.60.56/~jnz1568/getInfo.php?workbook=14_02.xlsx&amp;sheet=U0&amp;row=858&amp;col=6&amp;number=4.4&amp;sourceID=14","4.4")</f>
        <v>4.4</v>
      </c>
      <c r="G858" s="4" t="str">
        <f>HYPERLINK("http://141.218.60.56/~jnz1568/getInfo.php?workbook=14_02.xlsx&amp;sheet=U0&amp;row=858&amp;col=7&amp;number=4.96e-06&amp;sourceID=14","4.96e-06")</f>
        <v>4.96e-06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HYPERLINK("http://141.218.60.56/~jnz1568/getInfo.php?workbook=14_02.xlsx&amp;sheet=U0&amp;row=859&amp;col=6&amp;number=4.5&amp;sourceID=14","4.5")</f>
        <v>4.5</v>
      </c>
      <c r="G859" s="4" t="str">
        <f>HYPERLINK("http://141.218.60.56/~jnz1568/getInfo.php?workbook=14_02.xlsx&amp;sheet=U0&amp;row=859&amp;col=7&amp;number=4.96e-06&amp;sourceID=14","4.96e-06")</f>
        <v>4.96e-06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HYPERLINK("http://141.218.60.56/~jnz1568/getInfo.php?workbook=14_02.xlsx&amp;sheet=U0&amp;row=860&amp;col=6&amp;number=4.6&amp;sourceID=14","4.6")</f>
        <v>4.6</v>
      </c>
      <c r="G860" s="4" t="str">
        <f>HYPERLINK("http://141.218.60.56/~jnz1568/getInfo.php?workbook=14_02.xlsx&amp;sheet=U0&amp;row=860&amp;col=7&amp;number=4.96e-06&amp;sourceID=14","4.96e-06")</f>
        <v>4.96e-06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HYPERLINK("http://141.218.60.56/~jnz1568/getInfo.php?workbook=14_02.xlsx&amp;sheet=U0&amp;row=861&amp;col=6&amp;number=4.7&amp;sourceID=14","4.7")</f>
        <v>4.7</v>
      </c>
      <c r="G861" s="4" t="str">
        <f>HYPERLINK("http://141.218.60.56/~jnz1568/getInfo.php?workbook=14_02.xlsx&amp;sheet=U0&amp;row=861&amp;col=7&amp;number=4.95e-06&amp;sourceID=14","4.95e-06")</f>
        <v>4.95e-06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HYPERLINK("http://141.218.60.56/~jnz1568/getInfo.php?workbook=14_02.xlsx&amp;sheet=U0&amp;row=862&amp;col=6&amp;number=4.8&amp;sourceID=14","4.8")</f>
        <v>4.8</v>
      </c>
      <c r="G862" s="4" t="str">
        <f>HYPERLINK("http://141.218.60.56/~jnz1568/getInfo.php?workbook=14_02.xlsx&amp;sheet=U0&amp;row=862&amp;col=7&amp;number=4.95e-06&amp;sourceID=14","4.95e-06")</f>
        <v>4.95e-06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HYPERLINK("http://141.218.60.56/~jnz1568/getInfo.php?workbook=14_02.xlsx&amp;sheet=U0&amp;row=863&amp;col=6&amp;number=4.9&amp;sourceID=14","4.9")</f>
        <v>4.9</v>
      </c>
      <c r="G863" s="4" t="str">
        <f>HYPERLINK("http://141.218.60.56/~jnz1568/getInfo.php?workbook=14_02.xlsx&amp;sheet=U0&amp;row=863&amp;col=7&amp;number=4.94e-06&amp;sourceID=14","4.94e-06")</f>
        <v>4.94e-06</v>
      </c>
    </row>
    <row r="864" spans="1:7">
      <c r="A864" s="3">
        <v>14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HYPERLINK("http://141.218.60.56/~jnz1568/getInfo.php?workbook=14_02.xlsx&amp;sheet=U0&amp;row=864&amp;col=6&amp;number=3&amp;sourceID=14","3")</f>
        <v>3</v>
      </c>
      <c r="G864" s="4" t="str">
        <f>HYPERLINK("http://141.218.60.56/~jnz1568/getInfo.php?workbook=14_02.xlsx&amp;sheet=U0&amp;row=864&amp;col=7&amp;number=2.87e-06&amp;sourceID=14","2.87e-06")</f>
        <v>2.87e-06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HYPERLINK("http://141.218.60.56/~jnz1568/getInfo.php?workbook=14_02.xlsx&amp;sheet=U0&amp;row=865&amp;col=6&amp;number=3.1&amp;sourceID=14","3.1")</f>
        <v>3.1</v>
      </c>
      <c r="G865" s="4" t="str">
        <f>HYPERLINK("http://141.218.60.56/~jnz1568/getInfo.php?workbook=14_02.xlsx&amp;sheet=U0&amp;row=865&amp;col=7&amp;number=2.87e-06&amp;sourceID=14","2.87e-06")</f>
        <v>2.87e-06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HYPERLINK("http://141.218.60.56/~jnz1568/getInfo.php?workbook=14_02.xlsx&amp;sheet=U0&amp;row=866&amp;col=6&amp;number=3.2&amp;sourceID=14","3.2")</f>
        <v>3.2</v>
      </c>
      <c r="G866" s="4" t="str">
        <f>HYPERLINK("http://141.218.60.56/~jnz1568/getInfo.php?workbook=14_02.xlsx&amp;sheet=U0&amp;row=866&amp;col=7&amp;number=2.87e-06&amp;sourceID=14","2.87e-06")</f>
        <v>2.87e-06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HYPERLINK("http://141.218.60.56/~jnz1568/getInfo.php?workbook=14_02.xlsx&amp;sheet=U0&amp;row=867&amp;col=6&amp;number=3.3&amp;sourceID=14","3.3")</f>
        <v>3.3</v>
      </c>
      <c r="G867" s="4" t="str">
        <f>HYPERLINK("http://141.218.60.56/~jnz1568/getInfo.php?workbook=14_02.xlsx&amp;sheet=U0&amp;row=867&amp;col=7&amp;number=2.87e-06&amp;sourceID=14","2.87e-06")</f>
        <v>2.87e-06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HYPERLINK("http://141.218.60.56/~jnz1568/getInfo.php?workbook=14_02.xlsx&amp;sheet=U0&amp;row=868&amp;col=6&amp;number=3.4&amp;sourceID=14","3.4")</f>
        <v>3.4</v>
      </c>
      <c r="G868" s="4" t="str">
        <f>HYPERLINK("http://141.218.60.56/~jnz1568/getInfo.php?workbook=14_02.xlsx&amp;sheet=U0&amp;row=868&amp;col=7&amp;number=2.87e-06&amp;sourceID=14","2.87e-06")</f>
        <v>2.87e-06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HYPERLINK("http://141.218.60.56/~jnz1568/getInfo.php?workbook=14_02.xlsx&amp;sheet=U0&amp;row=869&amp;col=6&amp;number=3.5&amp;sourceID=14","3.5")</f>
        <v>3.5</v>
      </c>
      <c r="G869" s="4" t="str">
        <f>HYPERLINK("http://141.218.60.56/~jnz1568/getInfo.php?workbook=14_02.xlsx&amp;sheet=U0&amp;row=869&amp;col=7&amp;number=2.87e-06&amp;sourceID=14","2.87e-06")</f>
        <v>2.87e-06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HYPERLINK("http://141.218.60.56/~jnz1568/getInfo.php?workbook=14_02.xlsx&amp;sheet=U0&amp;row=870&amp;col=6&amp;number=3.6&amp;sourceID=14","3.6")</f>
        <v>3.6</v>
      </c>
      <c r="G870" s="4" t="str">
        <f>HYPERLINK("http://141.218.60.56/~jnz1568/getInfo.php?workbook=14_02.xlsx&amp;sheet=U0&amp;row=870&amp;col=7&amp;number=2.87e-06&amp;sourceID=14","2.87e-06")</f>
        <v>2.87e-06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HYPERLINK("http://141.218.60.56/~jnz1568/getInfo.php?workbook=14_02.xlsx&amp;sheet=U0&amp;row=871&amp;col=6&amp;number=3.7&amp;sourceID=14","3.7")</f>
        <v>3.7</v>
      </c>
      <c r="G871" s="4" t="str">
        <f>HYPERLINK("http://141.218.60.56/~jnz1568/getInfo.php?workbook=14_02.xlsx&amp;sheet=U0&amp;row=871&amp;col=7&amp;number=2.87e-06&amp;sourceID=14","2.87e-06")</f>
        <v>2.87e-06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HYPERLINK("http://141.218.60.56/~jnz1568/getInfo.php?workbook=14_02.xlsx&amp;sheet=U0&amp;row=872&amp;col=6&amp;number=3.8&amp;sourceID=14","3.8")</f>
        <v>3.8</v>
      </c>
      <c r="G872" s="4" t="str">
        <f>HYPERLINK("http://141.218.60.56/~jnz1568/getInfo.php?workbook=14_02.xlsx&amp;sheet=U0&amp;row=872&amp;col=7&amp;number=2.87e-06&amp;sourceID=14","2.87e-06")</f>
        <v>2.87e-06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HYPERLINK("http://141.218.60.56/~jnz1568/getInfo.php?workbook=14_02.xlsx&amp;sheet=U0&amp;row=873&amp;col=6&amp;number=3.9&amp;sourceID=14","3.9")</f>
        <v>3.9</v>
      </c>
      <c r="G873" s="4" t="str">
        <f>HYPERLINK("http://141.218.60.56/~jnz1568/getInfo.php?workbook=14_02.xlsx&amp;sheet=U0&amp;row=873&amp;col=7&amp;number=2.87e-06&amp;sourceID=14","2.87e-06")</f>
        <v>2.87e-06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HYPERLINK("http://141.218.60.56/~jnz1568/getInfo.php?workbook=14_02.xlsx&amp;sheet=U0&amp;row=874&amp;col=6&amp;number=4&amp;sourceID=14","4")</f>
        <v>4</v>
      </c>
      <c r="G874" s="4" t="str">
        <f>HYPERLINK("http://141.218.60.56/~jnz1568/getInfo.php?workbook=14_02.xlsx&amp;sheet=U0&amp;row=874&amp;col=7&amp;number=2.87e-06&amp;sourceID=14","2.87e-06")</f>
        <v>2.87e-06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HYPERLINK("http://141.218.60.56/~jnz1568/getInfo.php?workbook=14_02.xlsx&amp;sheet=U0&amp;row=875&amp;col=6&amp;number=4.1&amp;sourceID=14","4.1")</f>
        <v>4.1</v>
      </c>
      <c r="G875" s="4" t="str">
        <f>HYPERLINK("http://141.218.60.56/~jnz1568/getInfo.php?workbook=14_02.xlsx&amp;sheet=U0&amp;row=875&amp;col=7&amp;number=2.87e-06&amp;sourceID=14","2.87e-06")</f>
        <v>2.87e-06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HYPERLINK("http://141.218.60.56/~jnz1568/getInfo.php?workbook=14_02.xlsx&amp;sheet=U0&amp;row=876&amp;col=6&amp;number=4.2&amp;sourceID=14","4.2")</f>
        <v>4.2</v>
      </c>
      <c r="G876" s="4" t="str">
        <f>HYPERLINK("http://141.218.60.56/~jnz1568/getInfo.php?workbook=14_02.xlsx&amp;sheet=U0&amp;row=876&amp;col=7&amp;number=2.86e-06&amp;sourceID=14","2.86e-06")</f>
        <v>2.86e-06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HYPERLINK("http://141.218.60.56/~jnz1568/getInfo.php?workbook=14_02.xlsx&amp;sheet=U0&amp;row=877&amp;col=6&amp;number=4.3&amp;sourceID=14","4.3")</f>
        <v>4.3</v>
      </c>
      <c r="G877" s="4" t="str">
        <f>HYPERLINK("http://141.218.60.56/~jnz1568/getInfo.php?workbook=14_02.xlsx&amp;sheet=U0&amp;row=877&amp;col=7&amp;number=2.86e-06&amp;sourceID=14","2.86e-06")</f>
        <v>2.86e-06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HYPERLINK("http://141.218.60.56/~jnz1568/getInfo.php?workbook=14_02.xlsx&amp;sheet=U0&amp;row=878&amp;col=6&amp;number=4.4&amp;sourceID=14","4.4")</f>
        <v>4.4</v>
      </c>
      <c r="G878" s="4" t="str">
        <f>HYPERLINK("http://141.218.60.56/~jnz1568/getInfo.php?workbook=14_02.xlsx&amp;sheet=U0&amp;row=878&amp;col=7&amp;number=2.86e-06&amp;sourceID=14","2.86e-06")</f>
        <v>2.86e-06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HYPERLINK("http://141.218.60.56/~jnz1568/getInfo.php?workbook=14_02.xlsx&amp;sheet=U0&amp;row=879&amp;col=6&amp;number=4.5&amp;sourceID=14","4.5")</f>
        <v>4.5</v>
      </c>
      <c r="G879" s="4" t="str">
        <f>HYPERLINK("http://141.218.60.56/~jnz1568/getInfo.php?workbook=14_02.xlsx&amp;sheet=U0&amp;row=879&amp;col=7&amp;number=2.86e-06&amp;sourceID=14","2.86e-06")</f>
        <v>2.86e-06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HYPERLINK("http://141.218.60.56/~jnz1568/getInfo.php?workbook=14_02.xlsx&amp;sheet=U0&amp;row=880&amp;col=6&amp;number=4.6&amp;sourceID=14","4.6")</f>
        <v>4.6</v>
      </c>
      <c r="G880" s="4" t="str">
        <f>HYPERLINK("http://141.218.60.56/~jnz1568/getInfo.php?workbook=14_02.xlsx&amp;sheet=U0&amp;row=880&amp;col=7&amp;number=2.86e-06&amp;sourceID=14","2.86e-06")</f>
        <v>2.86e-06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HYPERLINK("http://141.218.60.56/~jnz1568/getInfo.php?workbook=14_02.xlsx&amp;sheet=U0&amp;row=881&amp;col=6&amp;number=4.7&amp;sourceID=14","4.7")</f>
        <v>4.7</v>
      </c>
      <c r="G881" s="4" t="str">
        <f>HYPERLINK("http://141.218.60.56/~jnz1568/getInfo.php?workbook=14_02.xlsx&amp;sheet=U0&amp;row=881&amp;col=7&amp;number=2.86e-06&amp;sourceID=14","2.86e-06")</f>
        <v>2.86e-06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HYPERLINK("http://141.218.60.56/~jnz1568/getInfo.php?workbook=14_02.xlsx&amp;sheet=U0&amp;row=882&amp;col=6&amp;number=4.8&amp;sourceID=14","4.8")</f>
        <v>4.8</v>
      </c>
      <c r="G882" s="4" t="str">
        <f>HYPERLINK("http://141.218.60.56/~jnz1568/getInfo.php?workbook=14_02.xlsx&amp;sheet=U0&amp;row=882&amp;col=7&amp;number=2.86e-06&amp;sourceID=14","2.86e-06")</f>
        <v>2.86e-06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HYPERLINK("http://141.218.60.56/~jnz1568/getInfo.php?workbook=14_02.xlsx&amp;sheet=U0&amp;row=883&amp;col=6&amp;number=4.9&amp;sourceID=14","4.9")</f>
        <v>4.9</v>
      </c>
      <c r="G883" s="4" t="str">
        <f>HYPERLINK("http://141.218.60.56/~jnz1568/getInfo.php?workbook=14_02.xlsx&amp;sheet=U0&amp;row=883&amp;col=7&amp;number=2.86e-06&amp;sourceID=14","2.86e-06")</f>
        <v>2.86e-06</v>
      </c>
    </row>
    <row r="884" spans="1:7">
      <c r="A884" s="3">
        <v>14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HYPERLINK("http://141.218.60.56/~jnz1568/getInfo.php?workbook=14_02.xlsx&amp;sheet=U0&amp;row=884&amp;col=6&amp;number=3&amp;sourceID=14","3")</f>
        <v>3</v>
      </c>
      <c r="G884" s="4" t="str">
        <f>HYPERLINK("http://141.218.60.56/~jnz1568/getInfo.php?workbook=14_02.xlsx&amp;sheet=U0&amp;row=884&amp;col=7&amp;number=7.62e-08&amp;sourceID=14","7.62e-08")</f>
        <v>7.62e-08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HYPERLINK("http://141.218.60.56/~jnz1568/getInfo.php?workbook=14_02.xlsx&amp;sheet=U0&amp;row=885&amp;col=6&amp;number=3.1&amp;sourceID=14","3.1")</f>
        <v>3.1</v>
      </c>
      <c r="G885" s="4" t="str">
        <f>HYPERLINK("http://141.218.60.56/~jnz1568/getInfo.php?workbook=14_02.xlsx&amp;sheet=U0&amp;row=885&amp;col=7&amp;number=7.62e-08&amp;sourceID=14","7.62e-08")</f>
        <v>7.62e-08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HYPERLINK("http://141.218.60.56/~jnz1568/getInfo.php?workbook=14_02.xlsx&amp;sheet=U0&amp;row=886&amp;col=6&amp;number=3.2&amp;sourceID=14","3.2")</f>
        <v>3.2</v>
      </c>
      <c r="G886" s="4" t="str">
        <f>HYPERLINK("http://141.218.60.56/~jnz1568/getInfo.php?workbook=14_02.xlsx&amp;sheet=U0&amp;row=886&amp;col=7&amp;number=7.62e-08&amp;sourceID=14","7.62e-08")</f>
        <v>7.62e-08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HYPERLINK("http://141.218.60.56/~jnz1568/getInfo.php?workbook=14_02.xlsx&amp;sheet=U0&amp;row=887&amp;col=6&amp;number=3.3&amp;sourceID=14","3.3")</f>
        <v>3.3</v>
      </c>
      <c r="G887" s="4" t="str">
        <f>HYPERLINK("http://141.218.60.56/~jnz1568/getInfo.php?workbook=14_02.xlsx&amp;sheet=U0&amp;row=887&amp;col=7&amp;number=7.62e-08&amp;sourceID=14","7.62e-08")</f>
        <v>7.62e-08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HYPERLINK("http://141.218.60.56/~jnz1568/getInfo.php?workbook=14_02.xlsx&amp;sheet=U0&amp;row=888&amp;col=6&amp;number=3.4&amp;sourceID=14","3.4")</f>
        <v>3.4</v>
      </c>
      <c r="G888" s="4" t="str">
        <f>HYPERLINK("http://141.218.60.56/~jnz1568/getInfo.php?workbook=14_02.xlsx&amp;sheet=U0&amp;row=888&amp;col=7&amp;number=7.62e-08&amp;sourceID=14","7.62e-08")</f>
        <v>7.62e-08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HYPERLINK("http://141.218.60.56/~jnz1568/getInfo.php?workbook=14_02.xlsx&amp;sheet=U0&amp;row=889&amp;col=6&amp;number=3.5&amp;sourceID=14","3.5")</f>
        <v>3.5</v>
      </c>
      <c r="G889" s="4" t="str">
        <f>HYPERLINK("http://141.218.60.56/~jnz1568/getInfo.php?workbook=14_02.xlsx&amp;sheet=U0&amp;row=889&amp;col=7&amp;number=7.62e-08&amp;sourceID=14","7.62e-08")</f>
        <v>7.62e-08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HYPERLINK("http://141.218.60.56/~jnz1568/getInfo.php?workbook=14_02.xlsx&amp;sheet=U0&amp;row=890&amp;col=6&amp;number=3.6&amp;sourceID=14","3.6")</f>
        <v>3.6</v>
      </c>
      <c r="G890" s="4" t="str">
        <f>HYPERLINK("http://141.218.60.56/~jnz1568/getInfo.php?workbook=14_02.xlsx&amp;sheet=U0&amp;row=890&amp;col=7&amp;number=7.62e-08&amp;sourceID=14","7.62e-08")</f>
        <v>7.62e-08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HYPERLINK("http://141.218.60.56/~jnz1568/getInfo.php?workbook=14_02.xlsx&amp;sheet=U0&amp;row=891&amp;col=6&amp;number=3.7&amp;sourceID=14","3.7")</f>
        <v>3.7</v>
      </c>
      <c r="G891" s="4" t="str">
        <f>HYPERLINK("http://141.218.60.56/~jnz1568/getInfo.php?workbook=14_02.xlsx&amp;sheet=U0&amp;row=891&amp;col=7&amp;number=7.61e-08&amp;sourceID=14","7.61e-08")</f>
        <v>7.61e-08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HYPERLINK("http://141.218.60.56/~jnz1568/getInfo.php?workbook=14_02.xlsx&amp;sheet=U0&amp;row=892&amp;col=6&amp;number=3.8&amp;sourceID=14","3.8")</f>
        <v>3.8</v>
      </c>
      <c r="G892" s="4" t="str">
        <f>HYPERLINK("http://141.218.60.56/~jnz1568/getInfo.php?workbook=14_02.xlsx&amp;sheet=U0&amp;row=892&amp;col=7&amp;number=7.61e-08&amp;sourceID=14","7.61e-08")</f>
        <v>7.61e-08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HYPERLINK("http://141.218.60.56/~jnz1568/getInfo.php?workbook=14_02.xlsx&amp;sheet=U0&amp;row=893&amp;col=6&amp;number=3.9&amp;sourceID=14","3.9")</f>
        <v>3.9</v>
      </c>
      <c r="G893" s="4" t="str">
        <f>HYPERLINK("http://141.218.60.56/~jnz1568/getInfo.php?workbook=14_02.xlsx&amp;sheet=U0&amp;row=893&amp;col=7&amp;number=7.61e-08&amp;sourceID=14","7.61e-08")</f>
        <v>7.61e-08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HYPERLINK("http://141.218.60.56/~jnz1568/getInfo.php?workbook=14_02.xlsx&amp;sheet=U0&amp;row=894&amp;col=6&amp;number=4&amp;sourceID=14","4")</f>
        <v>4</v>
      </c>
      <c r="G894" s="4" t="str">
        <f>HYPERLINK("http://141.218.60.56/~jnz1568/getInfo.php?workbook=14_02.xlsx&amp;sheet=U0&amp;row=894&amp;col=7&amp;number=7.61e-08&amp;sourceID=14","7.61e-08")</f>
        <v>7.61e-08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HYPERLINK("http://141.218.60.56/~jnz1568/getInfo.php?workbook=14_02.xlsx&amp;sheet=U0&amp;row=895&amp;col=6&amp;number=4.1&amp;sourceID=14","4.1")</f>
        <v>4.1</v>
      </c>
      <c r="G895" s="4" t="str">
        <f>HYPERLINK("http://141.218.60.56/~jnz1568/getInfo.php?workbook=14_02.xlsx&amp;sheet=U0&amp;row=895&amp;col=7&amp;number=7.61e-08&amp;sourceID=14","7.61e-08")</f>
        <v>7.61e-08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HYPERLINK("http://141.218.60.56/~jnz1568/getInfo.php?workbook=14_02.xlsx&amp;sheet=U0&amp;row=896&amp;col=6&amp;number=4.2&amp;sourceID=14","4.2")</f>
        <v>4.2</v>
      </c>
      <c r="G896" s="4" t="str">
        <f>HYPERLINK("http://141.218.60.56/~jnz1568/getInfo.php?workbook=14_02.xlsx&amp;sheet=U0&amp;row=896&amp;col=7&amp;number=7.6e-08&amp;sourceID=14","7.6e-08")</f>
        <v>7.6e-08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HYPERLINK("http://141.218.60.56/~jnz1568/getInfo.php?workbook=14_02.xlsx&amp;sheet=U0&amp;row=897&amp;col=6&amp;number=4.3&amp;sourceID=14","4.3")</f>
        <v>4.3</v>
      </c>
      <c r="G897" s="4" t="str">
        <f>HYPERLINK("http://141.218.60.56/~jnz1568/getInfo.php?workbook=14_02.xlsx&amp;sheet=U0&amp;row=897&amp;col=7&amp;number=7.6e-08&amp;sourceID=14","7.6e-08")</f>
        <v>7.6e-08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HYPERLINK("http://141.218.60.56/~jnz1568/getInfo.php?workbook=14_02.xlsx&amp;sheet=U0&amp;row=898&amp;col=6&amp;number=4.4&amp;sourceID=14","4.4")</f>
        <v>4.4</v>
      </c>
      <c r="G898" s="4" t="str">
        <f>HYPERLINK("http://141.218.60.56/~jnz1568/getInfo.php?workbook=14_02.xlsx&amp;sheet=U0&amp;row=898&amp;col=7&amp;number=7.6e-08&amp;sourceID=14","7.6e-08")</f>
        <v>7.6e-08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HYPERLINK("http://141.218.60.56/~jnz1568/getInfo.php?workbook=14_02.xlsx&amp;sheet=U0&amp;row=899&amp;col=6&amp;number=4.5&amp;sourceID=14","4.5")</f>
        <v>4.5</v>
      </c>
      <c r="G899" s="4" t="str">
        <f>HYPERLINK("http://141.218.60.56/~jnz1568/getInfo.php?workbook=14_02.xlsx&amp;sheet=U0&amp;row=899&amp;col=7&amp;number=7.59e-08&amp;sourceID=14","7.59e-08")</f>
        <v>7.59e-08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HYPERLINK("http://141.218.60.56/~jnz1568/getInfo.php?workbook=14_02.xlsx&amp;sheet=U0&amp;row=900&amp;col=6&amp;number=4.6&amp;sourceID=14","4.6")</f>
        <v>4.6</v>
      </c>
      <c r="G900" s="4" t="str">
        <f>HYPERLINK("http://141.218.60.56/~jnz1568/getInfo.php?workbook=14_02.xlsx&amp;sheet=U0&amp;row=900&amp;col=7&amp;number=7.58e-08&amp;sourceID=14","7.58e-08")</f>
        <v>7.58e-08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HYPERLINK("http://141.218.60.56/~jnz1568/getInfo.php?workbook=14_02.xlsx&amp;sheet=U0&amp;row=901&amp;col=6&amp;number=4.7&amp;sourceID=14","4.7")</f>
        <v>4.7</v>
      </c>
      <c r="G901" s="4" t="str">
        <f>HYPERLINK("http://141.218.60.56/~jnz1568/getInfo.php?workbook=14_02.xlsx&amp;sheet=U0&amp;row=901&amp;col=7&amp;number=7.57e-08&amp;sourceID=14","7.57e-08")</f>
        <v>7.57e-08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HYPERLINK("http://141.218.60.56/~jnz1568/getInfo.php?workbook=14_02.xlsx&amp;sheet=U0&amp;row=902&amp;col=6&amp;number=4.8&amp;sourceID=14","4.8")</f>
        <v>4.8</v>
      </c>
      <c r="G902" s="4" t="str">
        <f>HYPERLINK("http://141.218.60.56/~jnz1568/getInfo.php?workbook=14_02.xlsx&amp;sheet=U0&amp;row=902&amp;col=7&amp;number=7.56e-08&amp;sourceID=14","7.56e-08")</f>
        <v>7.56e-08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HYPERLINK("http://141.218.60.56/~jnz1568/getInfo.php?workbook=14_02.xlsx&amp;sheet=U0&amp;row=903&amp;col=6&amp;number=4.9&amp;sourceID=14","4.9")</f>
        <v>4.9</v>
      </c>
      <c r="G903" s="4" t="str">
        <f>HYPERLINK("http://141.218.60.56/~jnz1568/getInfo.php?workbook=14_02.xlsx&amp;sheet=U0&amp;row=903&amp;col=7&amp;number=7.55e-08&amp;sourceID=14","7.55e-08")</f>
        <v>7.55e-08</v>
      </c>
    </row>
    <row r="904" spans="1:7">
      <c r="A904" s="3">
        <v>14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HYPERLINK("http://141.218.60.56/~jnz1568/getInfo.php?workbook=14_02.xlsx&amp;sheet=U0&amp;row=904&amp;col=6&amp;number=3&amp;sourceID=14","3")</f>
        <v>3</v>
      </c>
      <c r="G904" s="4" t="str">
        <f>HYPERLINK("http://141.218.60.56/~jnz1568/getInfo.php?workbook=14_02.xlsx&amp;sheet=U0&amp;row=904&amp;col=7&amp;number=7.14e-08&amp;sourceID=14","7.14e-08")</f>
        <v>7.14e-08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HYPERLINK("http://141.218.60.56/~jnz1568/getInfo.php?workbook=14_02.xlsx&amp;sheet=U0&amp;row=905&amp;col=6&amp;number=3.1&amp;sourceID=14","3.1")</f>
        <v>3.1</v>
      </c>
      <c r="G905" s="4" t="str">
        <f>HYPERLINK("http://141.218.60.56/~jnz1568/getInfo.php?workbook=14_02.xlsx&amp;sheet=U0&amp;row=905&amp;col=7&amp;number=7.14e-08&amp;sourceID=14","7.14e-08")</f>
        <v>7.14e-08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HYPERLINK("http://141.218.60.56/~jnz1568/getInfo.php?workbook=14_02.xlsx&amp;sheet=U0&amp;row=906&amp;col=6&amp;number=3.2&amp;sourceID=14","3.2")</f>
        <v>3.2</v>
      </c>
      <c r="G906" s="4" t="str">
        <f>HYPERLINK("http://141.218.60.56/~jnz1568/getInfo.php?workbook=14_02.xlsx&amp;sheet=U0&amp;row=906&amp;col=7&amp;number=7.14e-08&amp;sourceID=14","7.14e-08")</f>
        <v>7.14e-08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HYPERLINK("http://141.218.60.56/~jnz1568/getInfo.php?workbook=14_02.xlsx&amp;sheet=U0&amp;row=907&amp;col=6&amp;number=3.3&amp;sourceID=14","3.3")</f>
        <v>3.3</v>
      </c>
      <c r="G907" s="4" t="str">
        <f>HYPERLINK("http://141.218.60.56/~jnz1568/getInfo.php?workbook=14_02.xlsx&amp;sheet=U0&amp;row=907&amp;col=7&amp;number=7.14e-08&amp;sourceID=14","7.14e-08")</f>
        <v>7.14e-08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HYPERLINK("http://141.218.60.56/~jnz1568/getInfo.php?workbook=14_02.xlsx&amp;sheet=U0&amp;row=908&amp;col=6&amp;number=3.4&amp;sourceID=14","3.4")</f>
        <v>3.4</v>
      </c>
      <c r="G908" s="4" t="str">
        <f>HYPERLINK("http://141.218.60.56/~jnz1568/getInfo.php?workbook=14_02.xlsx&amp;sheet=U0&amp;row=908&amp;col=7&amp;number=7.14e-08&amp;sourceID=14","7.14e-08")</f>
        <v>7.14e-08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HYPERLINK("http://141.218.60.56/~jnz1568/getInfo.php?workbook=14_02.xlsx&amp;sheet=U0&amp;row=909&amp;col=6&amp;number=3.5&amp;sourceID=14","3.5")</f>
        <v>3.5</v>
      </c>
      <c r="G909" s="4" t="str">
        <f>HYPERLINK("http://141.218.60.56/~jnz1568/getInfo.php?workbook=14_02.xlsx&amp;sheet=U0&amp;row=909&amp;col=7&amp;number=7.14e-08&amp;sourceID=14","7.14e-08")</f>
        <v>7.14e-08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HYPERLINK("http://141.218.60.56/~jnz1568/getInfo.php?workbook=14_02.xlsx&amp;sheet=U0&amp;row=910&amp;col=6&amp;number=3.6&amp;sourceID=14","3.6")</f>
        <v>3.6</v>
      </c>
      <c r="G910" s="4" t="str">
        <f>HYPERLINK("http://141.218.60.56/~jnz1568/getInfo.php?workbook=14_02.xlsx&amp;sheet=U0&amp;row=910&amp;col=7&amp;number=7.14e-08&amp;sourceID=14","7.14e-08")</f>
        <v>7.14e-08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HYPERLINK("http://141.218.60.56/~jnz1568/getInfo.php?workbook=14_02.xlsx&amp;sheet=U0&amp;row=911&amp;col=6&amp;number=3.7&amp;sourceID=14","3.7")</f>
        <v>3.7</v>
      </c>
      <c r="G911" s="4" t="str">
        <f>HYPERLINK("http://141.218.60.56/~jnz1568/getInfo.php?workbook=14_02.xlsx&amp;sheet=U0&amp;row=911&amp;col=7&amp;number=7.14e-08&amp;sourceID=14","7.14e-08")</f>
        <v>7.14e-08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HYPERLINK("http://141.218.60.56/~jnz1568/getInfo.php?workbook=14_02.xlsx&amp;sheet=U0&amp;row=912&amp;col=6&amp;number=3.8&amp;sourceID=14","3.8")</f>
        <v>3.8</v>
      </c>
      <c r="G912" s="4" t="str">
        <f>HYPERLINK("http://141.218.60.56/~jnz1568/getInfo.php?workbook=14_02.xlsx&amp;sheet=U0&amp;row=912&amp;col=7&amp;number=7.14e-08&amp;sourceID=14","7.14e-08")</f>
        <v>7.14e-08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HYPERLINK("http://141.218.60.56/~jnz1568/getInfo.php?workbook=14_02.xlsx&amp;sheet=U0&amp;row=913&amp;col=6&amp;number=3.9&amp;sourceID=14","3.9")</f>
        <v>3.9</v>
      </c>
      <c r="G913" s="4" t="str">
        <f>HYPERLINK("http://141.218.60.56/~jnz1568/getInfo.php?workbook=14_02.xlsx&amp;sheet=U0&amp;row=913&amp;col=7&amp;number=7.14e-08&amp;sourceID=14","7.14e-08")</f>
        <v>7.14e-08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HYPERLINK("http://141.218.60.56/~jnz1568/getInfo.php?workbook=14_02.xlsx&amp;sheet=U0&amp;row=914&amp;col=6&amp;number=4&amp;sourceID=14","4")</f>
        <v>4</v>
      </c>
      <c r="G914" s="4" t="str">
        <f>HYPERLINK("http://141.218.60.56/~jnz1568/getInfo.php?workbook=14_02.xlsx&amp;sheet=U0&amp;row=914&amp;col=7&amp;number=7.14e-08&amp;sourceID=14","7.14e-08")</f>
        <v>7.14e-08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HYPERLINK("http://141.218.60.56/~jnz1568/getInfo.php?workbook=14_02.xlsx&amp;sheet=U0&amp;row=915&amp;col=6&amp;number=4.1&amp;sourceID=14","4.1")</f>
        <v>4.1</v>
      </c>
      <c r="G915" s="4" t="str">
        <f>HYPERLINK("http://141.218.60.56/~jnz1568/getInfo.php?workbook=14_02.xlsx&amp;sheet=U0&amp;row=915&amp;col=7&amp;number=7.14e-08&amp;sourceID=14","7.14e-08")</f>
        <v>7.14e-08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HYPERLINK("http://141.218.60.56/~jnz1568/getInfo.php?workbook=14_02.xlsx&amp;sheet=U0&amp;row=916&amp;col=6&amp;number=4.2&amp;sourceID=14","4.2")</f>
        <v>4.2</v>
      </c>
      <c r="G916" s="4" t="str">
        <f>HYPERLINK("http://141.218.60.56/~jnz1568/getInfo.php?workbook=14_02.xlsx&amp;sheet=U0&amp;row=916&amp;col=7&amp;number=7.14e-08&amp;sourceID=14","7.14e-08")</f>
        <v>7.14e-08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HYPERLINK("http://141.218.60.56/~jnz1568/getInfo.php?workbook=14_02.xlsx&amp;sheet=U0&amp;row=917&amp;col=6&amp;number=4.3&amp;sourceID=14","4.3")</f>
        <v>4.3</v>
      </c>
      <c r="G917" s="4" t="str">
        <f>HYPERLINK("http://141.218.60.56/~jnz1568/getInfo.php?workbook=14_02.xlsx&amp;sheet=U0&amp;row=917&amp;col=7&amp;number=7.14e-08&amp;sourceID=14","7.14e-08")</f>
        <v>7.14e-08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HYPERLINK("http://141.218.60.56/~jnz1568/getInfo.php?workbook=14_02.xlsx&amp;sheet=U0&amp;row=918&amp;col=6&amp;number=4.4&amp;sourceID=14","4.4")</f>
        <v>4.4</v>
      </c>
      <c r="G918" s="4" t="str">
        <f>HYPERLINK("http://141.218.60.56/~jnz1568/getInfo.php?workbook=14_02.xlsx&amp;sheet=U0&amp;row=918&amp;col=7&amp;number=7.14e-08&amp;sourceID=14","7.14e-08")</f>
        <v>7.14e-08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HYPERLINK("http://141.218.60.56/~jnz1568/getInfo.php?workbook=14_02.xlsx&amp;sheet=U0&amp;row=919&amp;col=6&amp;number=4.5&amp;sourceID=14","4.5")</f>
        <v>4.5</v>
      </c>
      <c r="G919" s="4" t="str">
        <f>HYPERLINK("http://141.218.60.56/~jnz1568/getInfo.php?workbook=14_02.xlsx&amp;sheet=U0&amp;row=919&amp;col=7&amp;number=7.13e-08&amp;sourceID=14","7.13e-08")</f>
        <v>7.13e-08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HYPERLINK("http://141.218.60.56/~jnz1568/getInfo.php?workbook=14_02.xlsx&amp;sheet=U0&amp;row=920&amp;col=6&amp;number=4.6&amp;sourceID=14","4.6")</f>
        <v>4.6</v>
      </c>
      <c r="G920" s="4" t="str">
        <f>HYPERLINK("http://141.218.60.56/~jnz1568/getInfo.php?workbook=14_02.xlsx&amp;sheet=U0&amp;row=920&amp;col=7&amp;number=7.13e-08&amp;sourceID=14","7.13e-08")</f>
        <v>7.13e-08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HYPERLINK("http://141.218.60.56/~jnz1568/getInfo.php?workbook=14_02.xlsx&amp;sheet=U0&amp;row=921&amp;col=6&amp;number=4.7&amp;sourceID=14","4.7")</f>
        <v>4.7</v>
      </c>
      <c r="G921" s="4" t="str">
        <f>HYPERLINK("http://141.218.60.56/~jnz1568/getInfo.php?workbook=14_02.xlsx&amp;sheet=U0&amp;row=921&amp;col=7&amp;number=7.13e-08&amp;sourceID=14","7.13e-08")</f>
        <v>7.13e-08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HYPERLINK("http://141.218.60.56/~jnz1568/getInfo.php?workbook=14_02.xlsx&amp;sheet=U0&amp;row=922&amp;col=6&amp;number=4.8&amp;sourceID=14","4.8")</f>
        <v>4.8</v>
      </c>
      <c r="G922" s="4" t="str">
        <f>HYPERLINK("http://141.218.60.56/~jnz1568/getInfo.php?workbook=14_02.xlsx&amp;sheet=U0&amp;row=922&amp;col=7&amp;number=7.12e-08&amp;sourceID=14","7.12e-08")</f>
        <v>7.12e-08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HYPERLINK("http://141.218.60.56/~jnz1568/getInfo.php?workbook=14_02.xlsx&amp;sheet=U0&amp;row=923&amp;col=6&amp;number=4.9&amp;sourceID=14","4.9")</f>
        <v>4.9</v>
      </c>
      <c r="G923" s="4" t="str">
        <f>HYPERLINK("http://141.218.60.56/~jnz1568/getInfo.php?workbook=14_02.xlsx&amp;sheet=U0&amp;row=923&amp;col=7&amp;number=7.12e-08&amp;sourceID=14","7.12e-08")</f>
        <v>7.12e-08</v>
      </c>
    </row>
    <row r="924" spans="1:7">
      <c r="A924" s="3">
        <v>14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HYPERLINK("http://141.218.60.56/~jnz1568/getInfo.php?workbook=14_02.xlsx&amp;sheet=U0&amp;row=924&amp;col=6&amp;number=3&amp;sourceID=14","3")</f>
        <v>3</v>
      </c>
      <c r="G924" s="4" t="str">
        <f>HYPERLINK("http://141.218.60.56/~jnz1568/getInfo.php?workbook=14_02.xlsx&amp;sheet=U0&amp;row=924&amp;col=7&amp;number=1.05e-07&amp;sourceID=14","1.05e-07")</f>
        <v>1.05e-07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HYPERLINK("http://141.218.60.56/~jnz1568/getInfo.php?workbook=14_02.xlsx&amp;sheet=U0&amp;row=925&amp;col=6&amp;number=3.1&amp;sourceID=14","3.1")</f>
        <v>3.1</v>
      </c>
      <c r="G925" s="4" t="str">
        <f>HYPERLINK("http://141.218.60.56/~jnz1568/getInfo.php?workbook=14_02.xlsx&amp;sheet=U0&amp;row=925&amp;col=7&amp;number=1.05e-07&amp;sourceID=14","1.05e-07")</f>
        <v>1.05e-07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HYPERLINK("http://141.218.60.56/~jnz1568/getInfo.php?workbook=14_02.xlsx&amp;sheet=U0&amp;row=926&amp;col=6&amp;number=3.2&amp;sourceID=14","3.2")</f>
        <v>3.2</v>
      </c>
      <c r="G926" s="4" t="str">
        <f>HYPERLINK("http://141.218.60.56/~jnz1568/getInfo.php?workbook=14_02.xlsx&amp;sheet=U0&amp;row=926&amp;col=7&amp;number=1.05e-07&amp;sourceID=14","1.05e-07")</f>
        <v>1.05e-07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HYPERLINK("http://141.218.60.56/~jnz1568/getInfo.php?workbook=14_02.xlsx&amp;sheet=U0&amp;row=927&amp;col=6&amp;number=3.3&amp;sourceID=14","3.3")</f>
        <v>3.3</v>
      </c>
      <c r="G927" s="4" t="str">
        <f>HYPERLINK("http://141.218.60.56/~jnz1568/getInfo.php?workbook=14_02.xlsx&amp;sheet=U0&amp;row=927&amp;col=7&amp;number=1.05e-07&amp;sourceID=14","1.05e-07")</f>
        <v>1.05e-07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HYPERLINK("http://141.218.60.56/~jnz1568/getInfo.php?workbook=14_02.xlsx&amp;sheet=U0&amp;row=928&amp;col=6&amp;number=3.4&amp;sourceID=14","3.4")</f>
        <v>3.4</v>
      </c>
      <c r="G928" s="4" t="str">
        <f>HYPERLINK("http://141.218.60.56/~jnz1568/getInfo.php?workbook=14_02.xlsx&amp;sheet=U0&amp;row=928&amp;col=7&amp;number=1.05e-07&amp;sourceID=14","1.05e-07")</f>
        <v>1.05e-07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HYPERLINK("http://141.218.60.56/~jnz1568/getInfo.php?workbook=14_02.xlsx&amp;sheet=U0&amp;row=929&amp;col=6&amp;number=3.5&amp;sourceID=14","3.5")</f>
        <v>3.5</v>
      </c>
      <c r="G929" s="4" t="str">
        <f>HYPERLINK("http://141.218.60.56/~jnz1568/getInfo.php?workbook=14_02.xlsx&amp;sheet=U0&amp;row=929&amp;col=7&amp;number=1.05e-07&amp;sourceID=14","1.05e-07")</f>
        <v>1.05e-07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HYPERLINK("http://141.218.60.56/~jnz1568/getInfo.php?workbook=14_02.xlsx&amp;sheet=U0&amp;row=930&amp;col=6&amp;number=3.6&amp;sourceID=14","3.6")</f>
        <v>3.6</v>
      </c>
      <c r="G930" s="4" t="str">
        <f>HYPERLINK("http://141.218.60.56/~jnz1568/getInfo.php?workbook=14_02.xlsx&amp;sheet=U0&amp;row=930&amp;col=7&amp;number=1.05e-07&amp;sourceID=14","1.05e-07")</f>
        <v>1.05e-07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HYPERLINK("http://141.218.60.56/~jnz1568/getInfo.php?workbook=14_02.xlsx&amp;sheet=U0&amp;row=931&amp;col=6&amp;number=3.7&amp;sourceID=14","3.7")</f>
        <v>3.7</v>
      </c>
      <c r="G931" s="4" t="str">
        <f>HYPERLINK("http://141.218.60.56/~jnz1568/getInfo.php?workbook=14_02.xlsx&amp;sheet=U0&amp;row=931&amp;col=7&amp;number=1.05e-07&amp;sourceID=14","1.05e-07")</f>
        <v>1.05e-07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HYPERLINK("http://141.218.60.56/~jnz1568/getInfo.php?workbook=14_02.xlsx&amp;sheet=U0&amp;row=932&amp;col=6&amp;number=3.8&amp;sourceID=14","3.8")</f>
        <v>3.8</v>
      </c>
      <c r="G932" s="4" t="str">
        <f>HYPERLINK("http://141.218.60.56/~jnz1568/getInfo.php?workbook=14_02.xlsx&amp;sheet=U0&amp;row=932&amp;col=7&amp;number=1.05e-07&amp;sourceID=14","1.05e-07")</f>
        <v>1.05e-07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HYPERLINK("http://141.218.60.56/~jnz1568/getInfo.php?workbook=14_02.xlsx&amp;sheet=U0&amp;row=933&amp;col=6&amp;number=3.9&amp;sourceID=14","3.9")</f>
        <v>3.9</v>
      </c>
      <c r="G933" s="4" t="str">
        <f>HYPERLINK("http://141.218.60.56/~jnz1568/getInfo.php?workbook=14_02.xlsx&amp;sheet=U0&amp;row=933&amp;col=7&amp;number=1.05e-07&amp;sourceID=14","1.05e-07")</f>
        <v>1.05e-07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HYPERLINK("http://141.218.60.56/~jnz1568/getInfo.php?workbook=14_02.xlsx&amp;sheet=U0&amp;row=934&amp;col=6&amp;number=4&amp;sourceID=14","4")</f>
        <v>4</v>
      </c>
      <c r="G934" s="4" t="str">
        <f>HYPERLINK("http://141.218.60.56/~jnz1568/getInfo.php?workbook=14_02.xlsx&amp;sheet=U0&amp;row=934&amp;col=7&amp;number=1.05e-07&amp;sourceID=14","1.05e-07")</f>
        <v>1.05e-07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HYPERLINK("http://141.218.60.56/~jnz1568/getInfo.php?workbook=14_02.xlsx&amp;sheet=U0&amp;row=935&amp;col=6&amp;number=4.1&amp;sourceID=14","4.1")</f>
        <v>4.1</v>
      </c>
      <c r="G935" s="4" t="str">
        <f>HYPERLINK("http://141.218.60.56/~jnz1568/getInfo.php?workbook=14_02.xlsx&amp;sheet=U0&amp;row=935&amp;col=7&amp;number=1.05e-07&amp;sourceID=14","1.05e-07")</f>
        <v>1.05e-07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HYPERLINK("http://141.218.60.56/~jnz1568/getInfo.php?workbook=14_02.xlsx&amp;sheet=U0&amp;row=936&amp;col=6&amp;number=4.2&amp;sourceID=14","4.2")</f>
        <v>4.2</v>
      </c>
      <c r="G936" s="4" t="str">
        <f>HYPERLINK("http://141.218.60.56/~jnz1568/getInfo.php?workbook=14_02.xlsx&amp;sheet=U0&amp;row=936&amp;col=7&amp;number=1.05e-07&amp;sourceID=14","1.05e-07")</f>
        <v>1.05e-07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HYPERLINK("http://141.218.60.56/~jnz1568/getInfo.php?workbook=14_02.xlsx&amp;sheet=U0&amp;row=937&amp;col=6&amp;number=4.3&amp;sourceID=14","4.3")</f>
        <v>4.3</v>
      </c>
      <c r="G937" s="4" t="str">
        <f>HYPERLINK("http://141.218.60.56/~jnz1568/getInfo.php?workbook=14_02.xlsx&amp;sheet=U0&amp;row=937&amp;col=7&amp;number=1.05e-07&amp;sourceID=14","1.05e-07")</f>
        <v>1.05e-07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HYPERLINK("http://141.218.60.56/~jnz1568/getInfo.php?workbook=14_02.xlsx&amp;sheet=U0&amp;row=938&amp;col=6&amp;number=4.4&amp;sourceID=14","4.4")</f>
        <v>4.4</v>
      </c>
      <c r="G938" s="4" t="str">
        <f>HYPERLINK("http://141.218.60.56/~jnz1568/getInfo.php?workbook=14_02.xlsx&amp;sheet=U0&amp;row=938&amp;col=7&amp;number=1.05e-07&amp;sourceID=14","1.05e-07")</f>
        <v>1.05e-07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HYPERLINK("http://141.218.60.56/~jnz1568/getInfo.php?workbook=14_02.xlsx&amp;sheet=U0&amp;row=939&amp;col=6&amp;number=4.5&amp;sourceID=14","4.5")</f>
        <v>4.5</v>
      </c>
      <c r="G939" s="4" t="str">
        <f>HYPERLINK("http://141.218.60.56/~jnz1568/getInfo.php?workbook=14_02.xlsx&amp;sheet=U0&amp;row=939&amp;col=7&amp;number=1.05e-07&amp;sourceID=14","1.05e-07")</f>
        <v>1.05e-07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HYPERLINK("http://141.218.60.56/~jnz1568/getInfo.php?workbook=14_02.xlsx&amp;sheet=U0&amp;row=940&amp;col=6&amp;number=4.6&amp;sourceID=14","4.6")</f>
        <v>4.6</v>
      </c>
      <c r="G940" s="4" t="str">
        <f>HYPERLINK("http://141.218.60.56/~jnz1568/getInfo.php?workbook=14_02.xlsx&amp;sheet=U0&amp;row=940&amp;col=7&amp;number=1.05e-07&amp;sourceID=14","1.05e-07")</f>
        <v>1.05e-07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HYPERLINK("http://141.218.60.56/~jnz1568/getInfo.php?workbook=14_02.xlsx&amp;sheet=U0&amp;row=941&amp;col=6&amp;number=4.7&amp;sourceID=14","4.7")</f>
        <v>4.7</v>
      </c>
      <c r="G941" s="4" t="str">
        <f>HYPERLINK("http://141.218.60.56/~jnz1568/getInfo.php?workbook=14_02.xlsx&amp;sheet=U0&amp;row=941&amp;col=7&amp;number=1.05e-07&amp;sourceID=14","1.05e-07")</f>
        <v>1.05e-07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HYPERLINK("http://141.218.60.56/~jnz1568/getInfo.php?workbook=14_02.xlsx&amp;sheet=U0&amp;row=942&amp;col=6&amp;number=4.8&amp;sourceID=14","4.8")</f>
        <v>4.8</v>
      </c>
      <c r="G942" s="4" t="str">
        <f>HYPERLINK("http://141.218.60.56/~jnz1568/getInfo.php?workbook=14_02.xlsx&amp;sheet=U0&amp;row=942&amp;col=7&amp;number=1.05e-07&amp;sourceID=14","1.05e-07")</f>
        <v>1.05e-07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HYPERLINK("http://141.218.60.56/~jnz1568/getInfo.php?workbook=14_02.xlsx&amp;sheet=U0&amp;row=943&amp;col=6&amp;number=4.9&amp;sourceID=14","4.9")</f>
        <v>4.9</v>
      </c>
      <c r="G943" s="4" t="str">
        <f>HYPERLINK("http://141.218.60.56/~jnz1568/getInfo.php?workbook=14_02.xlsx&amp;sheet=U0&amp;row=943&amp;col=7&amp;number=1.04e-07&amp;sourceID=14","1.04e-07")</f>
        <v>1.04e-07</v>
      </c>
    </row>
    <row r="944" spans="1:7">
      <c r="A944" s="3">
        <v>14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HYPERLINK("http://141.218.60.56/~jnz1568/getInfo.php?workbook=14_02.xlsx&amp;sheet=U0&amp;row=944&amp;col=6&amp;number=3&amp;sourceID=14","3")</f>
        <v>3</v>
      </c>
      <c r="G944" s="4" t="str">
        <f>HYPERLINK("http://141.218.60.56/~jnz1568/getInfo.php?workbook=14_02.xlsx&amp;sheet=U0&amp;row=944&amp;col=7&amp;number=8.54e-08&amp;sourceID=14","8.54e-08")</f>
        <v>8.54e-08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HYPERLINK("http://141.218.60.56/~jnz1568/getInfo.php?workbook=14_02.xlsx&amp;sheet=U0&amp;row=945&amp;col=6&amp;number=3.1&amp;sourceID=14","3.1")</f>
        <v>3.1</v>
      </c>
      <c r="G945" s="4" t="str">
        <f>HYPERLINK("http://141.218.60.56/~jnz1568/getInfo.php?workbook=14_02.xlsx&amp;sheet=U0&amp;row=945&amp;col=7&amp;number=8.54e-08&amp;sourceID=14","8.54e-08")</f>
        <v>8.54e-08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HYPERLINK("http://141.218.60.56/~jnz1568/getInfo.php?workbook=14_02.xlsx&amp;sheet=U0&amp;row=946&amp;col=6&amp;number=3.2&amp;sourceID=14","3.2")</f>
        <v>3.2</v>
      </c>
      <c r="G946" s="4" t="str">
        <f>HYPERLINK("http://141.218.60.56/~jnz1568/getInfo.php?workbook=14_02.xlsx&amp;sheet=U0&amp;row=946&amp;col=7&amp;number=8.54e-08&amp;sourceID=14","8.54e-08")</f>
        <v>8.54e-08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HYPERLINK("http://141.218.60.56/~jnz1568/getInfo.php?workbook=14_02.xlsx&amp;sheet=U0&amp;row=947&amp;col=6&amp;number=3.3&amp;sourceID=14","3.3")</f>
        <v>3.3</v>
      </c>
      <c r="G947" s="4" t="str">
        <f>HYPERLINK("http://141.218.60.56/~jnz1568/getInfo.php?workbook=14_02.xlsx&amp;sheet=U0&amp;row=947&amp;col=7&amp;number=8.54e-08&amp;sourceID=14","8.54e-08")</f>
        <v>8.54e-08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HYPERLINK("http://141.218.60.56/~jnz1568/getInfo.php?workbook=14_02.xlsx&amp;sheet=U0&amp;row=948&amp;col=6&amp;number=3.4&amp;sourceID=14","3.4")</f>
        <v>3.4</v>
      </c>
      <c r="G948" s="4" t="str">
        <f>HYPERLINK("http://141.218.60.56/~jnz1568/getInfo.php?workbook=14_02.xlsx&amp;sheet=U0&amp;row=948&amp;col=7&amp;number=8.54e-08&amp;sourceID=14","8.54e-08")</f>
        <v>8.54e-08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HYPERLINK("http://141.218.60.56/~jnz1568/getInfo.php?workbook=14_02.xlsx&amp;sheet=U0&amp;row=949&amp;col=6&amp;number=3.5&amp;sourceID=14","3.5")</f>
        <v>3.5</v>
      </c>
      <c r="G949" s="4" t="str">
        <f>HYPERLINK("http://141.218.60.56/~jnz1568/getInfo.php?workbook=14_02.xlsx&amp;sheet=U0&amp;row=949&amp;col=7&amp;number=8.54e-08&amp;sourceID=14","8.54e-08")</f>
        <v>8.54e-08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HYPERLINK("http://141.218.60.56/~jnz1568/getInfo.php?workbook=14_02.xlsx&amp;sheet=U0&amp;row=950&amp;col=6&amp;number=3.6&amp;sourceID=14","3.6")</f>
        <v>3.6</v>
      </c>
      <c r="G950" s="4" t="str">
        <f>HYPERLINK("http://141.218.60.56/~jnz1568/getInfo.php?workbook=14_02.xlsx&amp;sheet=U0&amp;row=950&amp;col=7&amp;number=8.54e-08&amp;sourceID=14","8.54e-08")</f>
        <v>8.54e-08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HYPERLINK("http://141.218.60.56/~jnz1568/getInfo.php?workbook=14_02.xlsx&amp;sheet=U0&amp;row=951&amp;col=6&amp;number=3.7&amp;sourceID=14","3.7")</f>
        <v>3.7</v>
      </c>
      <c r="G951" s="4" t="str">
        <f>HYPERLINK("http://141.218.60.56/~jnz1568/getInfo.php?workbook=14_02.xlsx&amp;sheet=U0&amp;row=951&amp;col=7&amp;number=8.54e-08&amp;sourceID=14","8.54e-08")</f>
        <v>8.54e-08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HYPERLINK("http://141.218.60.56/~jnz1568/getInfo.php?workbook=14_02.xlsx&amp;sheet=U0&amp;row=952&amp;col=6&amp;number=3.8&amp;sourceID=14","3.8")</f>
        <v>3.8</v>
      </c>
      <c r="G952" s="4" t="str">
        <f>HYPERLINK("http://141.218.60.56/~jnz1568/getInfo.php?workbook=14_02.xlsx&amp;sheet=U0&amp;row=952&amp;col=7&amp;number=8.53e-08&amp;sourceID=14","8.53e-08")</f>
        <v>8.53e-08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HYPERLINK("http://141.218.60.56/~jnz1568/getInfo.php?workbook=14_02.xlsx&amp;sheet=U0&amp;row=953&amp;col=6&amp;number=3.9&amp;sourceID=14","3.9")</f>
        <v>3.9</v>
      </c>
      <c r="G953" s="4" t="str">
        <f>HYPERLINK("http://141.218.60.56/~jnz1568/getInfo.php?workbook=14_02.xlsx&amp;sheet=U0&amp;row=953&amp;col=7&amp;number=8.53e-08&amp;sourceID=14","8.53e-08")</f>
        <v>8.53e-08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HYPERLINK("http://141.218.60.56/~jnz1568/getInfo.php?workbook=14_02.xlsx&amp;sheet=U0&amp;row=954&amp;col=6&amp;number=4&amp;sourceID=14","4")</f>
        <v>4</v>
      </c>
      <c r="G954" s="4" t="str">
        <f>HYPERLINK("http://141.218.60.56/~jnz1568/getInfo.php?workbook=14_02.xlsx&amp;sheet=U0&amp;row=954&amp;col=7&amp;number=8.53e-08&amp;sourceID=14","8.53e-08")</f>
        <v>8.53e-08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HYPERLINK("http://141.218.60.56/~jnz1568/getInfo.php?workbook=14_02.xlsx&amp;sheet=U0&amp;row=955&amp;col=6&amp;number=4.1&amp;sourceID=14","4.1")</f>
        <v>4.1</v>
      </c>
      <c r="G955" s="4" t="str">
        <f>HYPERLINK("http://141.218.60.56/~jnz1568/getInfo.php?workbook=14_02.xlsx&amp;sheet=U0&amp;row=955&amp;col=7&amp;number=8.53e-08&amp;sourceID=14","8.53e-08")</f>
        <v>8.53e-08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HYPERLINK("http://141.218.60.56/~jnz1568/getInfo.php?workbook=14_02.xlsx&amp;sheet=U0&amp;row=956&amp;col=6&amp;number=4.2&amp;sourceID=14","4.2")</f>
        <v>4.2</v>
      </c>
      <c r="G956" s="4" t="str">
        <f>HYPERLINK("http://141.218.60.56/~jnz1568/getInfo.php?workbook=14_02.xlsx&amp;sheet=U0&amp;row=956&amp;col=7&amp;number=8.52e-08&amp;sourceID=14","8.52e-08")</f>
        <v>8.52e-08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HYPERLINK("http://141.218.60.56/~jnz1568/getInfo.php?workbook=14_02.xlsx&amp;sheet=U0&amp;row=957&amp;col=6&amp;number=4.3&amp;sourceID=14","4.3")</f>
        <v>4.3</v>
      </c>
      <c r="G957" s="4" t="str">
        <f>HYPERLINK("http://141.218.60.56/~jnz1568/getInfo.php?workbook=14_02.xlsx&amp;sheet=U0&amp;row=957&amp;col=7&amp;number=8.52e-08&amp;sourceID=14","8.52e-08")</f>
        <v>8.52e-08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HYPERLINK("http://141.218.60.56/~jnz1568/getInfo.php?workbook=14_02.xlsx&amp;sheet=U0&amp;row=958&amp;col=6&amp;number=4.4&amp;sourceID=14","4.4")</f>
        <v>4.4</v>
      </c>
      <c r="G958" s="4" t="str">
        <f>HYPERLINK("http://141.218.60.56/~jnz1568/getInfo.php?workbook=14_02.xlsx&amp;sheet=U0&amp;row=958&amp;col=7&amp;number=8.52e-08&amp;sourceID=14","8.52e-08")</f>
        <v>8.52e-08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HYPERLINK("http://141.218.60.56/~jnz1568/getInfo.php?workbook=14_02.xlsx&amp;sheet=U0&amp;row=959&amp;col=6&amp;number=4.5&amp;sourceID=14","4.5")</f>
        <v>4.5</v>
      </c>
      <c r="G959" s="4" t="str">
        <f>HYPERLINK("http://141.218.60.56/~jnz1568/getInfo.php?workbook=14_02.xlsx&amp;sheet=U0&amp;row=959&amp;col=7&amp;number=8.51e-08&amp;sourceID=14","8.51e-08")</f>
        <v>8.51e-08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HYPERLINK("http://141.218.60.56/~jnz1568/getInfo.php?workbook=14_02.xlsx&amp;sheet=U0&amp;row=960&amp;col=6&amp;number=4.6&amp;sourceID=14","4.6")</f>
        <v>4.6</v>
      </c>
      <c r="G960" s="4" t="str">
        <f>HYPERLINK("http://141.218.60.56/~jnz1568/getInfo.php?workbook=14_02.xlsx&amp;sheet=U0&amp;row=960&amp;col=7&amp;number=8.5e-08&amp;sourceID=14","8.5e-08")</f>
        <v>8.5e-08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HYPERLINK("http://141.218.60.56/~jnz1568/getInfo.php?workbook=14_02.xlsx&amp;sheet=U0&amp;row=961&amp;col=6&amp;number=4.7&amp;sourceID=14","4.7")</f>
        <v>4.7</v>
      </c>
      <c r="G961" s="4" t="str">
        <f>HYPERLINK("http://141.218.60.56/~jnz1568/getInfo.php?workbook=14_02.xlsx&amp;sheet=U0&amp;row=961&amp;col=7&amp;number=8.49e-08&amp;sourceID=14","8.49e-08")</f>
        <v>8.49e-08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HYPERLINK("http://141.218.60.56/~jnz1568/getInfo.php?workbook=14_02.xlsx&amp;sheet=U0&amp;row=962&amp;col=6&amp;number=4.8&amp;sourceID=14","4.8")</f>
        <v>4.8</v>
      </c>
      <c r="G962" s="4" t="str">
        <f>HYPERLINK("http://141.218.60.56/~jnz1568/getInfo.php?workbook=14_02.xlsx&amp;sheet=U0&amp;row=962&amp;col=7&amp;number=8.48e-08&amp;sourceID=14","8.48e-08")</f>
        <v>8.48e-08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HYPERLINK("http://141.218.60.56/~jnz1568/getInfo.php?workbook=14_02.xlsx&amp;sheet=U0&amp;row=963&amp;col=6&amp;number=4.9&amp;sourceID=14","4.9")</f>
        <v>4.9</v>
      </c>
      <c r="G963" s="4" t="str">
        <f>HYPERLINK("http://141.218.60.56/~jnz1568/getInfo.php?workbook=14_02.xlsx&amp;sheet=U0&amp;row=963&amp;col=7&amp;number=8.47e-08&amp;sourceID=14","8.47e-08")</f>
        <v>8.47e-08</v>
      </c>
    </row>
    <row r="964" spans="1:7">
      <c r="A964" s="3">
        <v>14</v>
      </c>
      <c r="B964" s="3">
        <v>2</v>
      </c>
      <c r="C964" s="3">
        <v>2</v>
      </c>
      <c r="D964" s="3">
        <v>3</v>
      </c>
      <c r="E964" s="3">
        <v>1</v>
      </c>
      <c r="F964" s="4" t="str">
        <f>HYPERLINK("http://141.218.60.56/~jnz1568/getInfo.php?workbook=14_02.xlsx&amp;sheet=U0&amp;row=964&amp;col=6&amp;number=3&amp;sourceID=14","3")</f>
        <v>3</v>
      </c>
      <c r="G964" s="4" t="str">
        <f>HYPERLINK("http://141.218.60.56/~jnz1568/getInfo.php?workbook=14_02.xlsx&amp;sheet=U0&amp;row=964&amp;col=7&amp;number=0.0145&amp;sourceID=14","0.0145")</f>
        <v>0.0145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HYPERLINK("http://141.218.60.56/~jnz1568/getInfo.php?workbook=14_02.xlsx&amp;sheet=U0&amp;row=965&amp;col=6&amp;number=3.1&amp;sourceID=14","3.1")</f>
        <v>3.1</v>
      </c>
      <c r="G965" s="4" t="str">
        <f>HYPERLINK("http://141.218.60.56/~jnz1568/getInfo.php?workbook=14_02.xlsx&amp;sheet=U0&amp;row=965&amp;col=7&amp;number=0.0145&amp;sourceID=14","0.0145")</f>
        <v>0.0145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HYPERLINK("http://141.218.60.56/~jnz1568/getInfo.php?workbook=14_02.xlsx&amp;sheet=U0&amp;row=966&amp;col=6&amp;number=3.2&amp;sourceID=14","3.2")</f>
        <v>3.2</v>
      </c>
      <c r="G966" s="4" t="str">
        <f>HYPERLINK("http://141.218.60.56/~jnz1568/getInfo.php?workbook=14_02.xlsx&amp;sheet=U0&amp;row=966&amp;col=7&amp;number=0.0145&amp;sourceID=14","0.0145")</f>
        <v>0.0145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HYPERLINK("http://141.218.60.56/~jnz1568/getInfo.php?workbook=14_02.xlsx&amp;sheet=U0&amp;row=967&amp;col=6&amp;number=3.3&amp;sourceID=14","3.3")</f>
        <v>3.3</v>
      </c>
      <c r="G967" s="4" t="str">
        <f>HYPERLINK("http://141.218.60.56/~jnz1568/getInfo.php?workbook=14_02.xlsx&amp;sheet=U0&amp;row=967&amp;col=7&amp;number=0.0145&amp;sourceID=14","0.0145")</f>
        <v>0.0145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HYPERLINK("http://141.218.60.56/~jnz1568/getInfo.php?workbook=14_02.xlsx&amp;sheet=U0&amp;row=968&amp;col=6&amp;number=3.4&amp;sourceID=14","3.4")</f>
        <v>3.4</v>
      </c>
      <c r="G968" s="4" t="str">
        <f>HYPERLINK("http://141.218.60.56/~jnz1568/getInfo.php?workbook=14_02.xlsx&amp;sheet=U0&amp;row=968&amp;col=7&amp;number=0.0145&amp;sourceID=14","0.0145")</f>
        <v>0.0145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HYPERLINK("http://141.218.60.56/~jnz1568/getInfo.php?workbook=14_02.xlsx&amp;sheet=U0&amp;row=969&amp;col=6&amp;number=3.5&amp;sourceID=14","3.5")</f>
        <v>3.5</v>
      </c>
      <c r="G969" s="4" t="str">
        <f>HYPERLINK("http://141.218.60.56/~jnz1568/getInfo.php?workbook=14_02.xlsx&amp;sheet=U0&amp;row=969&amp;col=7&amp;number=0.0145&amp;sourceID=14","0.0145")</f>
        <v>0.0145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HYPERLINK("http://141.218.60.56/~jnz1568/getInfo.php?workbook=14_02.xlsx&amp;sheet=U0&amp;row=970&amp;col=6&amp;number=3.6&amp;sourceID=14","3.6")</f>
        <v>3.6</v>
      </c>
      <c r="G970" s="4" t="str">
        <f>HYPERLINK("http://141.218.60.56/~jnz1568/getInfo.php?workbook=14_02.xlsx&amp;sheet=U0&amp;row=970&amp;col=7&amp;number=0.0145&amp;sourceID=14","0.0145")</f>
        <v>0.0145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HYPERLINK("http://141.218.60.56/~jnz1568/getInfo.php?workbook=14_02.xlsx&amp;sheet=U0&amp;row=971&amp;col=6&amp;number=3.7&amp;sourceID=14","3.7")</f>
        <v>3.7</v>
      </c>
      <c r="G971" s="4" t="str">
        <f>HYPERLINK("http://141.218.60.56/~jnz1568/getInfo.php?workbook=14_02.xlsx&amp;sheet=U0&amp;row=971&amp;col=7&amp;number=0.0145&amp;sourceID=14","0.0145")</f>
        <v>0.0145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HYPERLINK("http://141.218.60.56/~jnz1568/getInfo.php?workbook=14_02.xlsx&amp;sheet=U0&amp;row=972&amp;col=6&amp;number=3.8&amp;sourceID=14","3.8")</f>
        <v>3.8</v>
      </c>
      <c r="G972" s="4" t="str">
        <f>HYPERLINK("http://141.218.60.56/~jnz1568/getInfo.php?workbook=14_02.xlsx&amp;sheet=U0&amp;row=972&amp;col=7&amp;number=0.0145&amp;sourceID=14","0.0145")</f>
        <v>0.0145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HYPERLINK("http://141.218.60.56/~jnz1568/getInfo.php?workbook=14_02.xlsx&amp;sheet=U0&amp;row=973&amp;col=6&amp;number=3.9&amp;sourceID=14","3.9")</f>
        <v>3.9</v>
      </c>
      <c r="G973" s="4" t="str">
        <f>HYPERLINK("http://141.218.60.56/~jnz1568/getInfo.php?workbook=14_02.xlsx&amp;sheet=U0&amp;row=973&amp;col=7&amp;number=0.0146&amp;sourceID=14","0.0146")</f>
        <v>0.0146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HYPERLINK("http://141.218.60.56/~jnz1568/getInfo.php?workbook=14_02.xlsx&amp;sheet=U0&amp;row=974&amp;col=6&amp;number=4&amp;sourceID=14","4")</f>
        <v>4</v>
      </c>
      <c r="G974" s="4" t="str">
        <f>HYPERLINK("http://141.218.60.56/~jnz1568/getInfo.php?workbook=14_02.xlsx&amp;sheet=U0&amp;row=974&amp;col=7&amp;number=0.0146&amp;sourceID=14","0.0146")</f>
        <v>0.0146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HYPERLINK("http://141.218.60.56/~jnz1568/getInfo.php?workbook=14_02.xlsx&amp;sheet=U0&amp;row=975&amp;col=6&amp;number=4.1&amp;sourceID=14","4.1")</f>
        <v>4.1</v>
      </c>
      <c r="G975" s="4" t="str">
        <f>HYPERLINK("http://141.218.60.56/~jnz1568/getInfo.php?workbook=14_02.xlsx&amp;sheet=U0&amp;row=975&amp;col=7&amp;number=0.0146&amp;sourceID=14","0.0146")</f>
        <v>0.0146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HYPERLINK("http://141.218.60.56/~jnz1568/getInfo.php?workbook=14_02.xlsx&amp;sheet=U0&amp;row=976&amp;col=6&amp;number=4.2&amp;sourceID=14","4.2")</f>
        <v>4.2</v>
      </c>
      <c r="G976" s="4" t="str">
        <f>HYPERLINK("http://141.218.60.56/~jnz1568/getInfo.php?workbook=14_02.xlsx&amp;sheet=U0&amp;row=976&amp;col=7&amp;number=0.0146&amp;sourceID=14","0.0146")</f>
        <v>0.0146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HYPERLINK("http://141.218.60.56/~jnz1568/getInfo.php?workbook=14_02.xlsx&amp;sheet=U0&amp;row=977&amp;col=6&amp;number=4.3&amp;sourceID=14","4.3")</f>
        <v>4.3</v>
      </c>
      <c r="G977" s="4" t="str">
        <f>HYPERLINK("http://141.218.60.56/~jnz1568/getInfo.php?workbook=14_02.xlsx&amp;sheet=U0&amp;row=977&amp;col=7&amp;number=0.0146&amp;sourceID=14","0.0146")</f>
        <v>0.0146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HYPERLINK("http://141.218.60.56/~jnz1568/getInfo.php?workbook=14_02.xlsx&amp;sheet=U0&amp;row=978&amp;col=6&amp;number=4.4&amp;sourceID=14","4.4")</f>
        <v>4.4</v>
      </c>
      <c r="G978" s="4" t="str">
        <f>HYPERLINK("http://141.218.60.56/~jnz1568/getInfo.php?workbook=14_02.xlsx&amp;sheet=U0&amp;row=978&amp;col=7&amp;number=0.0146&amp;sourceID=14","0.0146")</f>
        <v>0.0146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HYPERLINK("http://141.218.60.56/~jnz1568/getInfo.php?workbook=14_02.xlsx&amp;sheet=U0&amp;row=979&amp;col=6&amp;number=4.5&amp;sourceID=14","4.5")</f>
        <v>4.5</v>
      </c>
      <c r="G979" s="4" t="str">
        <f>HYPERLINK("http://141.218.60.56/~jnz1568/getInfo.php?workbook=14_02.xlsx&amp;sheet=U0&amp;row=979&amp;col=7&amp;number=0.0146&amp;sourceID=14","0.0146")</f>
        <v>0.0146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HYPERLINK("http://141.218.60.56/~jnz1568/getInfo.php?workbook=14_02.xlsx&amp;sheet=U0&amp;row=980&amp;col=6&amp;number=4.6&amp;sourceID=14","4.6")</f>
        <v>4.6</v>
      </c>
      <c r="G980" s="4" t="str">
        <f>HYPERLINK("http://141.218.60.56/~jnz1568/getInfo.php?workbook=14_02.xlsx&amp;sheet=U0&amp;row=980&amp;col=7&amp;number=0.0146&amp;sourceID=14","0.0146")</f>
        <v>0.0146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HYPERLINK("http://141.218.60.56/~jnz1568/getInfo.php?workbook=14_02.xlsx&amp;sheet=U0&amp;row=981&amp;col=6&amp;number=4.7&amp;sourceID=14","4.7")</f>
        <v>4.7</v>
      </c>
      <c r="G981" s="4" t="str">
        <f>HYPERLINK("http://141.218.60.56/~jnz1568/getInfo.php?workbook=14_02.xlsx&amp;sheet=U0&amp;row=981&amp;col=7&amp;number=0.0146&amp;sourceID=14","0.0146")</f>
        <v>0.0146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HYPERLINK("http://141.218.60.56/~jnz1568/getInfo.php?workbook=14_02.xlsx&amp;sheet=U0&amp;row=982&amp;col=6&amp;number=4.8&amp;sourceID=14","4.8")</f>
        <v>4.8</v>
      </c>
      <c r="G982" s="4" t="str">
        <f>HYPERLINK("http://141.218.60.56/~jnz1568/getInfo.php?workbook=14_02.xlsx&amp;sheet=U0&amp;row=982&amp;col=7&amp;number=0.0146&amp;sourceID=14","0.0146")</f>
        <v>0.0146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HYPERLINK("http://141.218.60.56/~jnz1568/getInfo.php?workbook=14_02.xlsx&amp;sheet=U0&amp;row=983&amp;col=6&amp;number=4.9&amp;sourceID=14","4.9")</f>
        <v>4.9</v>
      </c>
      <c r="G983" s="4" t="str">
        <f>HYPERLINK("http://141.218.60.56/~jnz1568/getInfo.php?workbook=14_02.xlsx&amp;sheet=U0&amp;row=983&amp;col=7&amp;number=0.0147&amp;sourceID=14","0.0147")</f>
        <v>0.0147</v>
      </c>
    </row>
    <row r="984" spans="1:7">
      <c r="A984" s="3">
        <v>14</v>
      </c>
      <c r="B984" s="3">
        <v>2</v>
      </c>
      <c r="C984" s="3">
        <v>2</v>
      </c>
      <c r="D984" s="3">
        <v>4</v>
      </c>
      <c r="E984" s="3">
        <v>1</v>
      </c>
      <c r="F984" s="4" t="str">
        <f>HYPERLINK("http://141.218.60.56/~jnz1568/getInfo.php?workbook=14_02.xlsx&amp;sheet=U0&amp;row=984&amp;col=6&amp;number=3&amp;sourceID=14","3")</f>
        <v>3</v>
      </c>
      <c r="G984" s="4" t="str">
        <f>HYPERLINK("http://141.218.60.56/~jnz1568/getInfo.php?workbook=14_02.xlsx&amp;sheet=U0&amp;row=984&amp;col=7&amp;number=0.204&amp;sourceID=14","0.204")</f>
        <v>0.204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HYPERLINK("http://141.218.60.56/~jnz1568/getInfo.php?workbook=14_02.xlsx&amp;sheet=U0&amp;row=985&amp;col=6&amp;number=3.1&amp;sourceID=14","3.1")</f>
        <v>3.1</v>
      </c>
      <c r="G985" s="4" t="str">
        <f>HYPERLINK("http://141.218.60.56/~jnz1568/getInfo.php?workbook=14_02.xlsx&amp;sheet=U0&amp;row=985&amp;col=7&amp;number=0.204&amp;sourceID=14","0.204")</f>
        <v>0.204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HYPERLINK("http://141.218.60.56/~jnz1568/getInfo.php?workbook=14_02.xlsx&amp;sheet=U0&amp;row=986&amp;col=6&amp;number=3.2&amp;sourceID=14","3.2")</f>
        <v>3.2</v>
      </c>
      <c r="G986" s="4" t="str">
        <f>HYPERLINK("http://141.218.60.56/~jnz1568/getInfo.php?workbook=14_02.xlsx&amp;sheet=U0&amp;row=986&amp;col=7&amp;number=0.204&amp;sourceID=14","0.204")</f>
        <v>0.204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HYPERLINK("http://141.218.60.56/~jnz1568/getInfo.php?workbook=14_02.xlsx&amp;sheet=U0&amp;row=987&amp;col=6&amp;number=3.3&amp;sourceID=14","3.3")</f>
        <v>3.3</v>
      </c>
      <c r="G987" s="4" t="str">
        <f>HYPERLINK("http://141.218.60.56/~jnz1568/getInfo.php?workbook=14_02.xlsx&amp;sheet=U0&amp;row=987&amp;col=7&amp;number=0.204&amp;sourceID=14","0.204")</f>
        <v>0.204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HYPERLINK("http://141.218.60.56/~jnz1568/getInfo.php?workbook=14_02.xlsx&amp;sheet=U0&amp;row=988&amp;col=6&amp;number=3.4&amp;sourceID=14","3.4")</f>
        <v>3.4</v>
      </c>
      <c r="G988" s="4" t="str">
        <f>HYPERLINK("http://141.218.60.56/~jnz1568/getInfo.php?workbook=14_02.xlsx&amp;sheet=U0&amp;row=988&amp;col=7&amp;number=0.204&amp;sourceID=14","0.204")</f>
        <v>0.204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HYPERLINK("http://141.218.60.56/~jnz1568/getInfo.php?workbook=14_02.xlsx&amp;sheet=U0&amp;row=989&amp;col=6&amp;number=3.5&amp;sourceID=14","3.5")</f>
        <v>3.5</v>
      </c>
      <c r="G989" s="4" t="str">
        <f>HYPERLINK("http://141.218.60.56/~jnz1568/getInfo.php?workbook=14_02.xlsx&amp;sheet=U0&amp;row=989&amp;col=7&amp;number=0.204&amp;sourceID=14","0.204")</f>
        <v>0.204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HYPERLINK("http://141.218.60.56/~jnz1568/getInfo.php?workbook=14_02.xlsx&amp;sheet=U0&amp;row=990&amp;col=6&amp;number=3.6&amp;sourceID=14","3.6")</f>
        <v>3.6</v>
      </c>
      <c r="G990" s="4" t="str">
        <f>HYPERLINK("http://141.218.60.56/~jnz1568/getInfo.php?workbook=14_02.xlsx&amp;sheet=U0&amp;row=990&amp;col=7&amp;number=0.205&amp;sourceID=14","0.205")</f>
        <v>0.205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HYPERLINK("http://141.218.60.56/~jnz1568/getInfo.php?workbook=14_02.xlsx&amp;sheet=U0&amp;row=991&amp;col=6&amp;number=3.7&amp;sourceID=14","3.7")</f>
        <v>3.7</v>
      </c>
      <c r="G991" s="4" t="str">
        <f>HYPERLINK("http://141.218.60.56/~jnz1568/getInfo.php?workbook=14_02.xlsx&amp;sheet=U0&amp;row=991&amp;col=7&amp;number=0.205&amp;sourceID=14","0.205")</f>
        <v>0.205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HYPERLINK("http://141.218.60.56/~jnz1568/getInfo.php?workbook=14_02.xlsx&amp;sheet=U0&amp;row=992&amp;col=6&amp;number=3.8&amp;sourceID=14","3.8")</f>
        <v>3.8</v>
      </c>
      <c r="G992" s="4" t="str">
        <f>HYPERLINK("http://141.218.60.56/~jnz1568/getInfo.php?workbook=14_02.xlsx&amp;sheet=U0&amp;row=992&amp;col=7&amp;number=0.206&amp;sourceID=14","0.206")</f>
        <v>0.206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HYPERLINK("http://141.218.60.56/~jnz1568/getInfo.php?workbook=14_02.xlsx&amp;sheet=U0&amp;row=993&amp;col=6&amp;number=3.9&amp;sourceID=14","3.9")</f>
        <v>3.9</v>
      </c>
      <c r="G993" s="4" t="str">
        <f>HYPERLINK("http://141.218.60.56/~jnz1568/getInfo.php?workbook=14_02.xlsx&amp;sheet=U0&amp;row=993&amp;col=7&amp;number=0.206&amp;sourceID=14","0.206")</f>
        <v>0.206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HYPERLINK("http://141.218.60.56/~jnz1568/getInfo.php?workbook=14_02.xlsx&amp;sheet=U0&amp;row=994&amp;col=6&amp;number=4&amp;sourceID=14","4")</f>
        <v>4</v>
      </c>
      <c r="G994" s="4" t="str">
        <f>HYPERLINK("http://141.218.60.56/~jnz1568/getInfo.php?workbook=14_02.xlsx&amp;sheet=U0&amp;row=994&amp;col=7&amp;number=0.207&amp;sourceID=14","0.207")</f>
        <v>0.207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HYPERLINK("http://141.218.60.56/~jnz1568/getInfo.php?workbook=14_02.xlsx&amp;sheet=U0&amp;row=995&amp;col=6&amp;number=4.1&amp;sourceID=14","4.1")</f>
        <v>4.1</v>
      </c>
      <c r="G995" s="4" t="str">
        <f>HYPERLINK("http://141.218.60.56/~jnz1568/getInfo.php?workbook=14_02.xlsx&amp;sheet=U0&amp;row=995&amp;col=7&amp;number=0.208&amp;sourceID=14","0.208")</f>
        <v>0.208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HYPERLINK("http://141.218.60.56/~jnz1568/getInfo.php?workbook=14_02.xlsx&amp;sheet=U0&amp;row=996&amp;col=6&amp;number=4.2&amp;sourceID=14","4.2")</f>
        <v>4.2</v>
      </c>
      <c r="G996" s="4" t="str">
        <f>HYPERLINK("http://141.218.60.56/~jnz1568/getInfo.php?workbook=14_02.xlsx&amp;sheet=U0&amp;row=996&amp;col=7&amp;number=0.209&amp;sourceID=14","0.209")</f>
        <v>0.209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HYPERLINK("http://141.218.60.56/~jnz1568/getInfo.php?workbook=14_02.xlsx&amp;sheet=U0&amp;row=997&amp;col=6&amp;number=4.3&amp;sourceID=14","4.3")</f>
        <v>4.3</v>
      </c>
      <c r="G997" s="4" t="str">
        <f>HYPERLINK("http://141.218.60.56/~jnz1568/getInfo.php?workbook=14_02.xlsx&amp;sheet=U0&amp;row=997&amp;col=7&amp;number=0.21&amp;sourceID=14","0.21")</f>
        <v>0.21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HYPERLINK("http://141.218.60.56/~jnz1568/getInfo.php?workbook=14_02.xlsx&amp;sheet=U0&amp;row=998&amp;col=6&amp;number=4.4&amp;sourceID=14","4.4")</f>
        <v>4.4</v>
      </c>
      <c r="G998" s="4" t="str">
        <f>HYPERLINK("http://141.218.60.56/~jnz1568/getInfo.php?workbook=14_02.xlsx&amp;sheet=U0&amp;row=998&amp;col=7&amp;number=0.212&amp;sourceID=14","0.212")</f>
        <v>0.212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HYPERLINK("http://141.218.60.56/~jnz1568/getInfo.php?workbook=14_02.xlsx&amp;sheet=U0&amp;row=999&amp;col=6&amp;number=4.5&amp;sourceID=14","4.5")</f>
        <v>4.5</v>
      </c>
      <c r="G999" s="4" t="str">
        <f>HYPERLINK("http://141.218.60.56/~jnz1568/getInfo.php?workbook=14_02.xlsx&amp;sheet=U0&amp;row=999&amp;col=7&amp;number=0.214&amp;sourceID=14","0.214")</f>
        <v>0.214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HYPERLINK("http://141.218.60.56/~jnz1568/getInfo.php?workbook=14_02.xlsx&amp;sheet=U0&amp;row=1000&amp;col=6&amp;number=4.6&amp;sourceID=14","4.6")</f>
        <v>4.6</v>
      </c>
      <c r="G1000" s="4" t="str">
        <f>HYPERLINK("http://141.218.60.56/~jnz1568/getInfo.php?workbook=14_02.xlsx&amp;sheet=U0&amp;row=1000&amp;col=7&amp;number=0.216&amp;sourceID=14","0.216")</f>
        <v>0.216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HYPERLINK("http://141.218.60.56/~jnz1568/getInfo.php?workbook=14_02.xlsx&amp;sheet=U0&amp;row=1001&amp;col=6&amp;number=4.7&amp;sourceID=14","4.7")</f>
        <v>4.7</v>
      </c>
      <c r="G1001" s="4" t="str">
        <f>HYPERLINK("http://141.218.60.56/~jnz1568/getInfo.php?workbook=14_02.xlsx&amp;sheet=U0&amp;row=1001&amp;col=7&amp;number=0.219&amp;sourceID=14","0.219")</f>
        <v>0.219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HYPERLINK("http://141.218.60.56/~jnz1568/getInfo.php?workbook=14_02.xlsx&amp;sheet=U0&amp;row=1002&amp;col=6&amp;number=4.8&amp;sourceID=14","4.8")</f>
        <v>4.8</v>
      </c>
      <c r="G1002" s="4" t="str">
        <f>HYPERLINK("http://141.218.60.56/~jnz1568/getInfo.php?workbook=14_02.xlsx&amp;sheet=U0&amp;row=1002&amp;col=7&amp;number=0.223&amp;sourceID=14","0.223")</f>
        <v>0.223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HYPERLINK("http://141.218.60.56/~jnz1568/getInfo.php?workbook=14_02.xlsx&amp;sheet=U0&amp;row=1003&amp;col=6&amp;number=4.9&amp;sourceID=14","4.9")</f>
        <v>4.9</v>
      </c>
      <c r="G1003" s="4" t="str">
        <f>HYPERLINK("http://141.218.60.56/~jnz1568/getInfo.php?workbook=14_02.xlsx&amp;sheet=U0&amp;row=1003&amp;col=7&amp;number=0.228&amp;sourceID=14","0.228")</f>
        <v>0.228</v>
      </c>
    </row>
    <row r="1004" spans="1:7">
      <c r="A1004" s="3">
        <v>14</v>
      </c>
      <c r="B1004" s="3">
        <v>2</v>
      </c>
      <c r="C1004" s="3">
        <v>2</v>
      </c>
      <c r="D1004" s="3">
        <v>5</v>
      </c>
      <c r="E1004" s="3">
        <v>1</v>
      </c>
      <c r="F1004" s="4" t="str">
        <f>HYPERLINK("http://141.218.60.56/~jnz1568/getInfo.php?workbook=14_02.xlsx&amp;sheet=U0&amp;row=1004&amp;col=6&amp;number=3&amp;sourceID=14","3")</f>
        <v>3</v>
      </c>
      <c r="G1004" s="4" t="str">
        <f>HYPERLINK("http://141.218.60.56/~jnz1568/getInfo.php?workbook=14_02.xlsx&amp;sheet=U0&amp;row=1004&amp;col=7&amp;number=0.608&amp;sourceID=14","0.608")</f>
        <v>0.608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HYPERLINK("http://141.218.60.56/~jnz1568/getInfo.php?workbook=14_02.xlsx&amp;sheet=U0&amp;row=1005&amp;col=6&amp;number=3.1&amp;sourceID=14","3.1")</f>
        <v>3.1</v>
      </c>
      <c r="G1005" s="4" t="str">
        <f>HYPERLINK("http://141.218.60.56/~jnz1568/getInfo.php?workbook=14_02.xlsx&amp;sheet=U0&amp;row=1005&amp;col=7&amp;number=0.608&amp;sourceID=14","0.608")</f>
        <v>0.608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HYPERLINK("http://141.218.60.56/~jnz1568/getInfo.php?workbook=14_02.xlsx&amp;sheet=U0&amp;row=1006&amp;col=6&amp;number=3.2&amp;sourceID=14","3.2")</f>
        <v>3.2</v>
      </c>
      <c r="G1006" s="4" t="str">
        <f>HYPERLINK("http://141.218.60.56/~jnz1568/getInfo.php?workbook=14_02.xlsx&amp;sheet=U0&amp;row=1006&amp;col=7&amp;number=0.608&amp;sourceID=14","0.608")</f>
        <v>0.608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HYPERLINK("http://141.218.60.56/~jnz1568/getInfo.php?workbook=14_02.xlsx&amp;sheet=U0&amp;row=1007&amp;col=6&amp;number=3.3&amp;sourceID=14","3.3")</f>
        <v>3.3</v>
      </c>
      <c r="G1007" s="4" t="str">
        <f>HYPERLINK("http://141.218.60.56/~jnz1568/getInfo.php?workbook=14_02.xlsx&amp;sheet=U0&amp;row=1007&amp;col=7&amp;number=0.609&amp;sourceID=14","0.609")</f>
        <v>0.609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HYPERLINK("http://141.218.60.56/~jnz1568/getInfo.php?workbook=14_02.xlsx&amp;sheet=U0&amp;row=1008&amp;col=6&amp;number=3.4&amp;sourceID=14","3.4")</f>
        <v>3.4</v>
      </c>
      <c r="G1008" s="4" t="str">
        <f>HYPERLINK("http://141.218.60.56/~jnz1568/getInfo.php?workbook=14_02.xlsx&amp;sheet=U0&amp;row=1008&amp;col=7&amp;number=0.609&amp;sourceID=14","0.609")</f>
        <v>0.609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HYPERLINK("http://141.218.60.56/~jnz1568/getInfo.php?workbook=14_02.xlsx&amp;sheet=U0&amp;row=1009&amp;col=6&amp;number=3.5&amp;sourceID=14","3.5")</f>
        <v>3.5</v>
      </c>
      <c r="G1009" s="4" t="str">
        <f>HYPERLINK("http://141.218.60.56/~jnz1568/getInfo.php?workbook=14_02.xlsx&amp;sheet=U0&amp;row=1009&amp;col=7&amp;number=0.61&amp;sourceID=14","0.61")</f>
        <v>0.61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HYPERLINK("http://141.218.60.56/~jnz1568/getInfo.php?workbook=14_02.xlsx&amp;sheet=U0&amp;row=1010&amp;col=6&amp;number=3.6&amp;sourceID=14","3.6")</f>
        <v>3.6</v>
      </c>
      <c r="G1010" s="4" t="str">
        <f>HYPERLINK("http://141.218.60.56/~jnz1568/getInfo.php?workbook=14_02.xlsx&amp;sheet=U0&amp;row=1010&amp;col=7&amp;number=0.611&amp;sourceID=14","0.611")</f>
        <v>0.611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HYPERLINK("http://141.218.60.56/~jnz1568/getInfo.php?workbook=14_02.xlsx&amp;sheet=U0&amp;row=1011&amp;col=6&amp;number=3.7&amp;sourceID=14","3.7")</f>
        <v>3.7</v>
      </c>
      <c r="G1011" s="4" t="str">
        <f>HYPERLINK("http://141.218.60.56/~jnz1568/getInfo.php?workbook=14_02.xlsx&amp;sheet=U0&amp;row=1011&amp;col=7&amp;number=0.612&amp;sourceID=14","0.612")</f>
        <v>0.612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HYPERLINK("http://141.218.60.56/~jnz1568/getInfo.php?workbook=14_02.xlsx&amp;sheet=U0&amp;row=1012&amp;col=6&amp;number=3.8&amp;sourceID=14","3.8")</f>
        <v>3.8</v>
      </c>
      <c r="G1012" s="4" t="str">
        <f>HYPERLINK("http://141.218.60.56/~jnz1568/getInfo.php?workbook=14_02.xlsx&amp;sheet=U0&amp;row=1012&amp;col=7&amp;number=0.613&amp;sourceID=14","0.613")</f>
        <v>0.613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HYPERLINK("http://141.218.60.56/~jnz1568/getInfo.php?workbook=14_02.xlsx&amp;sheet=U0&amp;row=1013&amp;col=6&amp;number=3.9&amp;sourceID=14","3.9")</f>
        <v>3.9</v>
      </c>
      <c r="G1013" s="4" t="str">
        <f>HYPERLINK("http://141.218.60.56/~jnz1568/getInfo.php?workbook=14_02.xlsx&amp;sheet=U0&amp;row=1013&amp;col=7&amp;number=0.615&amp;sourceID=14","0.615")</f>
        <v>0.615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HYPERLINK("http://141.218.60.56/~jnz1568/getInfo.php?workbook=14_02.xlsx&amp;sheet=U0&amp;row=1014&amp;col=6&amp;number=4&amp;sourceID=14","4")</f>
        <v>4</v>
      </c>
      <c r="G1014" s="4" t="str">
        <f>HYPERLINK("http://141.218.60.56/~jnz1568/getInfo.php?workbook=14_02.xlsx&amp;sheet=U0&amp;row=1014&amp;col=7&amp;number=0.617&amp;sourceID=14","0.617")</f>
        <v>0.617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HYPERLINK("http://141.218.60.56/~jnz1568/getInfo.php?workbook=14_02.xlsx&amp;sheet=U0&amp;row=1015&amp;col=6&amp;number=4.1&amp;sourceID=14","4.1")</f>
        <v>4.1</v>
      </c>
      <c r="G1015" s="4" t="str">
        <f>HYPERLINK("http://141.218.60.56/~jnz1568/getInfo.php?workbook=14_02.xlsx&amp;sheet=U0&amp;row=1015&amp;col=7&amp;number=0.619&amp;sourceID=14","0.619")</f>
        <v>0.619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HYPERLINK("http://141.218.60.56/~jnz1568/getInfo.php?workbook=14_02.xlsx&amp;sheet=U0&amp;row=1016&amp;col=6&amp;number=4.2&amp;sourceID=14","4.2")</f>
        <v>4.2</v>
      </c>
      <c r="G1016" s="4" t="str">
        <f>HYPERLINK("http://141.218.60.56/~jnz1568/getInfo.php?workbook=14_02.xlsx&amp;sheet=U0&amp;row=1016&amp;col=7&amp;number=0.622&amp;sourceID=14","0.622")</f>
        <v>0.622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HYPERLINK("http://141.218.60.56/~jnz1568/getInfo.php?workbook=14_02.xlsx&amp;sheet=U0&amp;row=1017&amp;col=6&amp;number=4.3&amp;sourceID=14","4.3")</f>
        <v>4.3</v>
      </c>
      <c r="G1017" s="4" t="str">
        <f>HYPERLINK("http://141.218.60.56/~jnz1568/getInfo.php?workbook=14_02.xlsx&amp;sheet=U0&amp;row=1017&amp;col=7&amp;number=0.626&amp;sourceID=14","0.626")</f>
        <v>0.626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HYPERLINK("http://141.218.60.56/~jnz1568/getInfo.php?workbook=14_02.xlsx&amp;sheet=U0&amp;row=1018&amp;col=6&amp;number=4.4&amp;sourceID=14","4.4")</f>
        <v>4.4</v>
      </c>
      <c r="G1018" s="4" t="str">
        <f>HYPERLINK("http://141.218.60.56/~jnz1568/getInfo.php?workbook=14_02.xlsx&amp;sheet=U0&amp;row=1018&amp;col=7&amp;number=0.631&amp;sourceID=14","0.631")</f>
        <v>0.631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HYPERLINK("http://141.218.60.56/~jnz1568/getInfo.php?workbook=14_02.xlsx&amp;sheet=U0&amp;row=1019&amp;col=6&amp;number=4.5&amp;sourceID=14","4.5")</f>
        <v>4.5</v>
      </c>
      <c r="G1019" s="4" t="str">
        <f>HYPERLINK("http://141.218.60.56/~jnz1568/getInfo.php?workbook=14_02.xlsx&amp;sheet=U0&amp;row=1019&amp;col=7&amp;number=0.637&amp;sourceID=14","0.637")</f>
        <v>0.637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HYPERLINK("http://141.218.60.56/~jnz1568/getInfo.php?workbook=14_02.xlsx&amp;sheet=U0&amp;row=1020&amp;col=6&amp;number=4.6&amp;sourceID=14","4.6")</f>
        <v>4.6</v>
      </c>
      <c r="G1020" s="4" t="str">
        <f>HYPERLINK("http://141.218.60.56/~jnz1568/getInfo.php?workbook=14_02.xlsx&amp;sheet=U0&amp;row=1020&amp;col=7&amp;number=0.644&amp;sourceID=14","0.644")</f>
        <v>0.644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HYPERLINK("http://141.218.60.56/~jnz1568/getInfo.php?workbook=14_02.xlsx&amp;sheet=U0&amp;row=1021&amp;col=6&amp;number=4.7&amp;sourceID=14","4.7")</f>
        <v>4.7</v>
      </c>
      <c r="G1021" s="4" t="str">
        <f>HYPERLINK("http://141.218.60.56/~jnz1568/getInfo.php?workbook=14_02.xlsx&amp;sheet=U0&amp;row=1021&amp;col=7&amp;number=0.653&amp;sourceID=14","0.653")</f>
        <v>0.653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HYPERLINK("http://141.218.60.56/~jnz1568/getInfo.php?workbook=14_02.xlsx&amp;sheet=U0&amp;row=1022&amp;col=6&amp;number=4.8&amp;sourceID=14","4.8")</f>
        <v>4.8</v>
      </c>
      <c r="G1022" s="4" t="str">
        <f>HYPERLINK("http://141.218.60.56/~jnz1568/getInfo.php?workbook=14_02.xlsx&amp;sheet=U0&amp;row=1022&amp;col=7&amp;number=0.663&amp;sourceID=14","0.663")</f>
        <v>0.663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HYPERLINK("http://141.218.60.56/~jnz1568/getInfo.php?workbook=14_02.xlsx&amp;sheet=U0&amp;row=1023&amp;col=6&amp;number=4.9&amp;sourceID=14","4.9")</f>
        <v>4.9</v>
      </c>
      <c r="G1023" s="4" t="str">
        <f>HYPERLINK("http://141.218.60.56/~jnz1568/getInfo.php?workbook=14_02.xlsx&amp;sheet=U0&amp;row=1023&amp;col=7&amp;number=0.676&amp;sourceID=14","0.676")</f>
        <v>0.676</v>
      </c>
    </row>
    <row r="1024" spans="1:7">
      <c r="A1024" s="3">
        <v>14</v>
      </c>
      <c r="B1024" s="3">
        <v>2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HYPERLINK("http://141.218.60.56/~jnz1568/getInfo.php?workbook=14_02.xlsx&amp;sheet=U0&amp;row=1024&amp;col=6&amp;number=3&amp;sourceID=14","3")</f>
        <v>3</v>
      </c>
      <c r="G1024" s="4" t="str">
        <f>HYPERLINK("http://141.218.60.56/~jnz1568/getInfo.php?workbook=14_02.xlsx&amp;sheet=U0&amp;row=1024&amp;col=7&amp;number=1.03&amp;sourceID=14","1.03")</f>
        <v>1.03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HYPERLINK("http://141.218.60.56/~jnz1568/getInfo.php?workbook=14_02.xlsx&amp;sheet=U0&amp;row=1025&amp;col=6&amp;number=3.1&amp;sourceID=14","3.1")</f>
        <v>3.1</v>
      </c>
      <c r="G1025" s="4" t="str">
        <f>HYPERLINK("http://141.218.60.56/~jnz1568/getInfo.php?workbook=14_02.xlsx&amp;sheet=U0&amp;row=1025&amp;col=7&amp;number=1.03&amp;sourceID=14","1.03")</f>
        <v>1.03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HYPERLINK("http://141.218.60.56/~jnz1568/getInfo.php?workbook=14_02.xlsx&amp;sheet=U0&amp;row=1026&amp;col=6&amp;number=3.2&amp;sourceID=14","3.2")</f>
        <v>3.2</v>
      </c>
      <c r="G1026" s="4" t="str">
        <f>HYPERLINK("http://141.218.60.56/~jnz1568/getInfo.php?workbook=14_02.xlsx&amp;sheet=U0&amp;row=1026&amp;col=7&amp;number=1.03&amp;sourceID=14","1.03")</f>
        <v>1.03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HYPERLINK("http://141.218.60.56/~jnz1568/getInfo.php?workbook=14_02.xlsx&amp;sheet=U0&amp;row=1027&amp;col=6&amp;number=3.3&amp;sourceID=14","3.3")</f>
        <v>3.3</v>
      </c>
      <c r="G1027" s="4" t="str">
        <f>HYPERLINK("http://141.218.60.56/~jnz1568/getInfo.php?workbook=14_02.xlsx&amp;sheet=U0&amp;row=1027&amp;col=7&amp;number=1.03&amp;sourceID=14","1.03")</f>
        <v>1.03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HYPERLINK("http://141.218.60.56/~jnz1568/getInfo.php?workbook=14_02.xlsx&amp;sheet=U0&amp;row=1028&amp;col=6&amp;number=3.4&amp;sourceID=14","3.4")</f>
        <v>3.4</v>
      </c>
      <c r="G1028" s="4" t="str">
        <f>HYPERLINK("http://141.218.60.56/~jnz1568/getInfo.php?workbook=14_02.xlsx&amp;sheet=U0&amp;row=1028&amp;col=7&amp;number=1.03&amp;sourceID=14","1.03")</f>
        <v>1.03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HYPERLINK("http://141.218.60.56/~jnz1568/getInfo.php?workbook=14_02.xlsx&amp;sheet=U0&amp;row=1029&amp;col=6&amp;number=3.5&amp;sourceID=14","3.5")</f>
        <v>3.5</v>
      </c>
      <c r="G1029" s="4" t="str">
        <f>HYPERLINK("http://141.218.60.56/~jnz1568/getInfo.php?workbook=14_02.xlsx&amp;sheet=U0&amp;row=1029&amp;col=7&amp;number=1.03&amp;sourceID=14","1.03")</f>
        <v>1.03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HYPERLINK("http://141.218.60.56/~jnz1568/getInfo.php?workbook=14_02.xlsx&amp;sheet=U0&amp;row=1030&amp;col=6&amp;number=3.6&amp;sourceID=14","3.6")</f>
        <v>3.6</v>
      </c>
      <c r="G1030" s="4" t="str">
        <f>HYPERLINK("http://141.218.60.56/~jnz1568/getInfo.php?workbook=14_02.xlsx&amp;sheet=U0&amp;row=1030&amp;col=7&amp;number=1.04&amp;sourceID=14","1.04")</f>
        <v>1.04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HYPERLINK("http://141.218.60.56/~jnz1568/getInfo.php?workbook=14_02.xlsx&amp;sheet=U0&amp;row=1031&amp;col=6&amp;number=3.7&amp;sourceID=14","3.7")</f>
        <v>3.7</v>
      </c>
      <c r="G1031" s="4" t="str">
        <f>HYPERLINK("http://141.218.60.56/~jnz1568/getInfo.php?workbook=14_02.xlsx&amp;sheet=U0&amp;row=1031&amp;col=7&amp;number=1.04&amp;sourceID=14","1.04")</f>
        <v>1.04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HYPERLINK("http://141.218.60.56/~jnz1568/getInfo.php?workbook=14_02.xlsx&amp;sheet=U0&amp;row=1032&amp;col=6&amp;number=3.8&amp;sourceID=14","3.8")</f>
        <v>3.8</v>
      </c>
      <c r="G1032" s="4" t="str">
        <f>HYPERLINK("http://141.218.60.56/~jnz1568/getInfo.php?workbook=14_02.xlsx&amp;sheet=U0&amp;row=1032&amp;col=7&amp;number=1.04&amp;sourceID=14","1.04")</f>
        <v>1.04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HYPERLINK("http://141.218.60.56/~jnz1568/getInfo.php?workbook=14_02.xlsx&amp;sheet=U0&amp;row=1033&amp;col=6&amp;number=3.9&amp;sourceID=14","3.9")</f>
        <v>3.9</v>
      </c>
      <c r="G1033" s="4" t="str">
        <f>HYPERLINK("http://141.218.60.56/~jnz1568/getInfo.php?workbook=14_02.xlsx&amp;sheet=U0&amp;row=1033&amp;col=7&amp;number=1.04&amp;sourceID=14","1.04")</f>
        <v>1.04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HYPERLINK("http://141.218.60.56/~jnz1568/getInfo.php?workbook=14_02.xlsx&amp;sheet=U0&amp;row=1034&amp;col=6&amp;number=4&amp;sourceID=14","4")</f>
        <v>4</v>
      </c>
      <c r="G1034" s="4" t="str">
        <f>HYPERLINK("http://141.218.60.56/~jnz1568/getInfo.php?workbook=14_02.xlsx&amp;sheet=U0&amp;row=1034&amp;col=7&amp;number=1.04&amp;sourceID=14","1.04")</f>
        <v>1.04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HYPERLINK("http://141.218.60.56/~jnz1568/getInfo.php?workbook=14_02.xlsx&amp;sheet=U0&amp;row=1035&amp;col=6&amp;number=4.1&amp;sourceID=14","4.1")</f>
        <v>4.1</v>
      </c>
      <c r="G1035" s="4" t="str">
        <f>HYPERLINK("http://141.218.60.56/~jnz1568/getInfo.php?workbook=14_02.xlsx&amp;sheet=U0&amp;row=1035&amp;col=7&amp;number=1.05&amp;sourceID=14","1.05")</f>
        <v>1.05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HYPERLINK("http://141.218.60.56/~jnz1568/getInfo.php?workbook=14_02.xlsx&amp;sheet=U0&amp;row=1036&amp;col=6&amp;number=4.2&amp;sourceID=14","4.2")</f>
        <v>4.2</v>
      </c>
      <c r="G1036" s="4" t="str">
        <f>HYPERLINK("http://141.218.60.56/~jnz1568/getInfo.php?workbook=14_02.xlsx&amp;sheet=U0&amp;row=1036&amp;col=7&amp;number=1.05&amp;sourceID=14","1.05")</f>
        <v>1.05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HYPERLINK("http://141.218.60.56/~jnz1568/getInfo.php?workbook=14_02.xlsx&amp;sheet=U0&amp;row=1037&amp;col=6&amp;number=4.3&amp;sourceID=14","4.3")</f>
        <v>4.3</v>
      </c>
      <c r="G1037" s="4" t="str">
        <f>HYPERLINK("http://141.218.60.56/~jnz1568/getInfo.php?workbook=14_02.xlsx&amp;sheet=U0&amp;row=1037&amp;col=7&amp;number=1.06&amp;sourceID=14","1.06")</f>
        <v>1.06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HYPERLINK("http://141.218.60.56/~jnz1568/getInfo.php?workbook=14_02.xlsx&amp;sheet=U0&amp;row=1038&amp;col=6&amp;number=4.4&amp;sourceID=14","4.4")</f>
        <v>4.4</v>
      </c>
      <c r="G1038" s="4" t="str">
        <f>HYPERLINK("http://141.218.60.56/~jnz1568/getInfo.php?workbook=14_02.xlsx&amp;sheet=U0&amp;row=1038&amp;col=7&amp;number=1.07&amp;sourceID=14","1.07")</f>
        <v>1.07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HYPERLINK("http://141.218.60.56/~jnz1568/getInfo.php?workbook=14_02.xlsx&amp;sheet=U0&amp;row=1039&amp;col=6&amp;number=4.5&amp;sourceID=14","4.5")</f>
        <v>4.5</v>
      </c>
      <c r="G1039" s="4" t="str">
        <f>HYPERLINK("http://141.218.60.56/~jnz1568/getInfo.php?workbook=14_02.xlsx&amp;sheet=U0&amp;row=1039&amp;col=7&amp;number=1.08&amp;sourceID=14","1.08")</f>
        <v>1.08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HYPERLINK("http://141.218.60.56/~jnz1568/getInfo.php?workbook=14_02.xlsx&amp;sheet=U0&amp;row=1040&amp;col=6&amp;number=4.6&amp;sourceID=14","4.6")</f>
        <v>4.6</v>
      </c>
      <c r="G1040" s="4" t="str">
        <f>HYPERLINK("http://141.218.60.56/~jnz1568/getInfo.php?workbook=14_02.xlsx&amp;sheet=U0&amp;row=1040&amp;col=7&amp;number=1.09&amp;sourceID=14","1.09")</f>
        <v>1.09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HYPERLINK("http://141.218.60.56/~jnz1568/getInfo.php?workbook=14_02.xlsx&amp;sheet=U0&amp;row=1041&amp;col=6&amp;number=4.7&amp;sourceID=14","4.7")</f>
        <v>4.7</v>
      </c>
      <c r="G1041" s="4" t="str">
        <f>HYPERLINK("http://141.218.60.56/~jnz1568/getInfo.php?workbook=14_02.xlsx&amp;sheet=U0&amp;row=1041&amp;col=7&amp;number=1.1&amp;sourceID=14","1.1")</f>
        <v>1.1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HYPERLINK("http://141.218.60.56/~jnz1568/getInfo.php?workbook=14_02.xlsx&amp;sheet=U0&amp;row=1042&amp;col=6&amp;number=4.8&amp;sourceID=14","4.8")</f>
        <v>4.8</v>
      </c>
      <c r="G1042" s="4" t="str">
        <f>HYPERLINK("http://141.218.60.56/~jnz1568/getInfo.php?workbook=14_02.xlsx&amp;sheet=U0&amp;row=1042&amp;col=7&amp;number=1.12&amp;sourceID=14","1.12")</f>
        <v>1.12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HYPERLINK("http://141.218.60.56/~jnz1568/getInfo.php?workbook=14_02.xlsx&amp;sheet=U0&amp;row=1043&amp;col=6&amp;number=4.9&amp;sourceID=14","4.9")</f>
        <v>4.9</v>
      </c>
      <c r="G1043" s="4" t="str">
        <f>HYPERLINK("http://141.218.60.56/~jnz1568/getInfo.php?workbook=14_02.xlsx&amp;sheet=U0&amp;row=1043&amp;col=7&amp;number=1.14&amp;sourceID=14","1.14")</f>
        <v>1.14</v>
      </c>
    </row>
    <row r="1044" spans="1:7">
      <c r="A1044" s="3">
        <v>14</v>
      </c>
      <c r="B1044" s="3">
        <v>2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HYPERLINK("http://141.218.60.56/~jnz1568/getInfo.php?workbook=14_02.xlsx&amp;sheet=U0&amp;row=1044&amp;col=6&amp;number=3&amp;sourceID=14","3")</f>
        <v>3</v>
      </c>
      <c r="G1044" s="4" t="str">
        <f>HYPERLINK("http://141.218.60.56/~jnz1568/getInfo.php?workbook=14_02.xlsx&amp;sheet=U0&amp;row=1044&amp;col=7&amp;number=0.0377&amp;sourceID=14","0.0377")</f>
        <v>0.0377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HYPERLINK("http://141.218.60.56/~jnz1568/getInfo.php?workbook=14_02.xlsx&amp;sheet=U0&amp;row=1045&amp;col=6&amp;number=3.1&amp;sourceID=14","3.1")</f>
        <v>3.1</v>
      </c>
      <c r="G1045" s="4" t="str">
        <f>HYPERLINK("http://141.218.60.56/~jnz1568/getInfo.php?workbook=14_02.xlsx&amp;sheet=U0&amp;row=1045&amp;col=7&amp;number=0.0377&amp;sourceID=14","0.0377")</f>
        <v>0.0377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HYPERLINK("http://141.218.60.56/~jnz1568/getInfo.php?workbook=14_02.xlsx&amp;sheet=U0&amp;row=1046&amp;col=6&amp;number=3.2&amp;sourceID=14","3.2")</f>
        <v>3.2</v>
      </c>
      <c r="G1046" s="4" t="str">
        <f>HYPERLINK("http://141.218.60.56/~jnz1568/getInfo.php?workbook=14_02.xlsx&amp;sheet=U0&amp;row=1046&amp;col=7&amp;number=0.0377&amp;sourceID=14","0.0377")</f>
        <v>0.0377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HYPERLINK("http://141.218.60.56/~jnz1568/getInfo.php?workbook=14_02.xlsx&amp;sheet=U0&amp;row=1047&amp;col=6&amp;number=3.3&amp;sourceID=14","3.3")</f>
        <v>3.3</v>
      </c>
      <c r="G1047" s="4" t="str">
        <f>HYPERLINK("http://141.218.60.56/~jnz1568/getInfo.php?workbook=14_02.xlsx&amp;sheet=U0&amp;row=1047&amp;col=7&amp;number=0.0377&amp;sourceID=14","0.0377")</f>
        <v>0.0377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HYPERLINK("http://141.218.60.56/~jnz1568/getInfo.php?workbook=14_02.xlsx&amp;sheet=U0&amp;row=1048&amp;col=6&amp;number=3.4&amp;sourceID=14","3.4")</f>
        <v>3.4</v>
      </c>
      <c r="G1048" s="4" t="str">
        <f>HYPERLINK("http://141.218.60.56/~jnz1568/getInfo.php?workbook=14_02.xlsx&amp;sheet=U0&amp;row=1048&amp;col=7&amp;number=0.0377&amp;sourceID=14","0.0377")</f>
        <v>0.0377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HYPERLINK("http://141.218.60.56/~jnz1568/getInfo.php?workbook=14_02.xlsx&amp;sheet=U0&amp;row=1049&amp;col=6&amp;number=3.5&amp;sourceID=14","3.5")</f>
        <v>3.5</v>
      </c>
      <c r="G1049" s="4" t="str">
        <f>HYPERLINK("http://141.218.60.56/~jnz1568/getInfo.php?workbook=14_02.xlsx&amp;sheet=U0&amp;row=1049&amp;col=7&amp;number=0.0377&amp;sourceID=14","0.0377")</f>
        <v>0.0377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HYPERLINK("http://141.218.60.56/~jnz1568/getInfo.php?workbook=14_02.xlsx&amp;sheet=U0&amp;row=1050&amp;col=6&amp;number=3.6&amp;sourceID=14","3.6")</f>
        <v>3.6</v>
      </c>
      <c r="G1050" s="4" t="str">
        <f>HYPERLINK("http://141.218.60.56/~jnz1568/getInfo.php?workbook=14_02.xlsx&amp;sheet=U0&amp;row=1050&amp;col=7&amp;number=0.0377&amp;sourceID=14","0.0377")</f>
        <v>0.0377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HYPERLINK("http://141.218.60.56/~jnz1568/getInfo.php?workbook=14_02.xlsx&amp;sheet=U0&amp;row=1051&amp;col=6&amp;number=3.7&amp;sourceID=14","3.7")</f>
        <v>3.7</v>
      </c>
      <c r="G1051" s="4" t="str">
        <f>HYPERLINK("http://141.218.60.56/~jnz1568/getInfo.php?workbook=14_02.xlsx&amp;sheet=U0&amp;row=1051&amp;col=7&amp;number=0.0377&amp;sourceID=14","0.0377")</f>
        <v>0.0377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HYPERLINK("http://141.218.60.56/~jnz1568/getInfo.php?workbook=14_02.xlsx&amp;sheet=U0&amp;row=1052&amp;col=6&amp;number=3.8&amp;sourceID=14","3.8")</f>
        <v>3.8</v>
      </c>
      <c r="G1052" s="4" t="str">
        <f>HYPERLINK("http://141.218.60.56/~jnz1568/getInfo.php?workbook=14_02.xlsx&amp;sheet=U0&amp;row=1052&amp;col=7&amp;number=0.0377&amp;sourceID=14","0.0377")</f>
        <v>0.0377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HYPERLINK("http://141.218.60.56/~jnz1568/getInfo.php?workbook=14_02.xlsx&amp;sheet=U0&amp;row=1053&amp;col=6&amp;number=3.9&amp;sourceID=14","3.9")</f>
        <v>3.9</v>
      </c>
      <c r="G1053" s="4" t="str">
        <f>HYPERLINK("http://141.218.60.56/~jnz1568/getInfo.php?workbook=14_02.xlsx&amp;sheet=U0&amp;row=1053&amp;col=7&amp;number=0.0377&amp;sourceID=14","0.0377")</f>
        <v>0.0377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HYPERLINK("http://141.218.60.56/~jnz1568/getInfo.php?workbook=14_02.xlsx&amp;sheet=U0&amp;row=1054&amp;col=6&amp;number=4&amp;sourceID=14","4")</f>
        <v>4</v>
      </c>
      <c r="G1054" s="4" t="str">
        <f>HYPERLINK("http://141.218.60.56/~jnz1568/getInfo.php?workbook=14_02.xlsx&amp;sheet=U0&amp;row=1054&amp;col=7&amp;number=0.0377&amp;sourceID=14","0.0377")</f>
        <v>0.0377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HYPERLINK("http://141.218.60.56/~jnz1568/getInfo.php?workbook=14_02.xlsx&amp;sheet=U0&amp;row=1055&amp;col=6&amp;number=4.1&amp;sourceID=14","4.1")</f>
        <v>4.1</v>
      </c>
      <c r="G1055" s="4" t="str">
        <f>HYPERLINK("http://141.218.60.56/~jnz1568/getInfo.php?workbook=14_02.xlsx&amp;sheet=U0&amp;row=1055&amp;col=7&amp;number=0.0377&amp;sourceID=14","0.0377")</f>
        <v>0.0377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HYPERLINK("http://141.218.60.56/~jnz1568/getInfo.php?workbook=14_02.xlsx&amp;sheet=U0&amp;row=1056&amp;col=6&amp;number=4.2&amp;sourceID=14","4.2")</f>
        <v>4.2</v>
      </c>
      <c r="G1056" s="4" t="str">
        <f>HYPERLINK("http://141.218.60.56/~jnz1568/getInfo.php?workbook=14_02.xlsx&amp;sheet=U0&amp;row=1056&amp;col=7&amp;number=0.0377&amp;sourceID=14","0.0377")</f>
        <v>0.0377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HYPERLINK("http://141.218.60.56/~jnz1568/getInfo.php?workbook=14_02.xlsx&amp;sheet=U0&amp;row=1057&amp;col=6&amp;number=4.3&amp;sourceID=14","4.3")</f>
        <v>4.3</v>
      </c>
      <c r="G1057" s="4" t="str">
        <f>HYPERLINK("http://141.218.60.56/~jnz1568/getInfo.php?workbook=14_02.xlsx&amp;sheet=U0&amp;row=1057&amp;col=7&amp;number=0.0377&amp;sourceID=14","0.0377")</f>
        <v>0.0377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HYPERLINK("http://141.218.60.56/~jnz1568/getInfo.php?workbook=14_02.xlsx&amp;sheet=U0&amp;row=1058&amp;col=6&amp;number=4.4&amp;sourceID=14","4.4")</f>
        <v>4.4</v>
      </c>
      <c r="G1058" s="4" t="str">
        <f>HYPERLINK("http://141.218.60.56/~jnz1568/getInfo.php?workbook=14_02.xlsx&amp;sheet=U0&amp;row=1058&amp;col=7&amp;number=0.0377&amp;sourceID=14","0.0377")</f>
        <v>0.0377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HYPERLINK("http://141.218.60.56/~jnz1568/getInfo.php?workbook=14_02.xlsx&amp;sheet=U0&amp;row=1059&amp;col=6&amp;number=4.5&amp;sourceID=14","4.5")</f>
        <v>4.5</v>
      </c>
      <c r="G1059" s="4" t="str">
        <f>HYPERLINK("http://141.218.60.56/~jnz1568/getInfo.php?workbook=14_02.xlsx&amp;sheet=U0&amp;row=1059&amp;col=7&amp;number=0.0377&amp;sourceID=14","0.0377")</f>
        <v>0.0377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HYPERLINK("http://141.218.60.56/~jnz1568/getInfo.php?workbook=14_02.xlsx&amp;sheet=U0&amp;row=1060&amp;col=6&amp;number=4.6&amp;sourceID=14","4.6")</f>
        <v>4.6</v>
      </c>
      <c r="G1060" s="4" t="str">
        <f>HYPERLINK("http://141.218.60.56/~jnz1568/getInfo.php?workbook=14_02.xlsx&amp;sheet=U0&amp;row=1060&amp;col=7&amp;number=0.0377&amp;sourceID=14","0.0377")</f>
        <v>0.0377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HYPERLINK("http://141.218.60.56/~jnz1568/getInfo.php?workbook=14_02.xlsx&amp;sheet=U0&amp;row=1061&amp;col=6&amp;number=4.7&amp;sourceID=14","4.7")</f>
        <v>4.7</v>
      </c>
      <c r="G1061" s="4" t="str">
        <f>HYPERLINK("http://141.218.60.56/~jnz1568/getInfo.php?workbook=14_02.xlsx&amp;sheet=U0&amp;row=1061&amp;col=7&amp;number=0.0377&amp;sourceID=14","0.0377")</f>
        <v>0.0377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HYPERLINK("http://141.218.60.56/~jnz1568/getInfo.php?workbook=14_02.xlsx&amp;sheet=U0&amp;row=1062&amp;col=6&amp;number=4.8&amp;sourceID=14","4.8")</f>
        <v>4.8</v>
      </c>
      <c r="G1062" s="4" t="str">
        <f>HYPERLINK("http://141.218.60.56/~jnz1568/getInfo.php?workbook=14_02.xlsx&amp;sheet=U0&amp;row=1062&amp;col=7&amp;number=0.0377&amp;sourceID=14","0.0377")</f>
        <v>0.0377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HYPERLINK("http://141.218.60.56/~jnz1568/getInfo.php?workbook=14_02.xlsx&amp;sheet=U0&amp;row=1063&amp;col=6&amp;number=4.9&amp;sourceID=14","4.9")</f>
        <v>4.9</v>
      </c>
      <c r="G1063" s="4" t="str">
        <f>HYPERLINK("http://141.218.60.56/~jnz1568/getInfo.php?workbook=14_02.xlsx&amp;sheet=U0&amp;row=1063&amp;col=7&amp;number=0.0377&amp;sourceID=14","0.0377")</f>
        <v>0.0377</v>
      </c>
    </row>
    <row r="1064" spans="1:7">
      <c r="A1064" s="3">
        <v>14</v>
      </c>
      <c r="B1064" s="3">
        <v>2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HYPERLINK("http://141.218.60.56/~jnz1568/getInfo.php?workbook=14_02.xlsx&amp;sheet=U0&amp;row=1064&amp;col=6&amp;number=3&amp;sourceID=14","3")</f>
        <v>3</v>
      </c>
      <c r="G1064" s="4" t="str">
        <f>HYPERLINK("http://141.218.60.56/~jnz1568/getInfo.php?workbook=14_02.xlsx&amp;sheet=U0&amp;row=1064&amp;col=7&amp;number=0.0736&amp;sourceID=14","0.0736")</f>
        <v>0.0736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HYPERLINK("http://141.218.60.56/~jnz1568/getInfo.php?workbook=14_02.xlsx&amp;sheet=U0&amp;row=1065&amp;col=6&amp;number=3.1&amp;sourceID=14","3.1")</f>
        <v>3.1</v>
      </c>
      <c r="G1065" s="4" t="str">
        <f>HYPERLINK("http://141.218.60.56/~jnz1568/getInfo.php?workbook=14_02.xlsx&amp;sheet=U0&amp;row=1065&amp;col=7&amp;number=0.0736&amp;sourceID=14","0.0736")</f>
        <v>0.0736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HYPERLINK("http://141.218.60.56/~jnz1568/getInfo.php?workbook=14_02.xlsx&amp;sheet=U0&amp;row=1066&amp;col=6&amp;number=3.2&amp;sourceID=14","3.2")</f>
        <v>3.2</v>
      </c>
      <c r="G1066" s="4" t="str">
        <f>HYPERLINK("http://141.218.60.56/~jnz1568/getInfo.php?workbook=14_02.xlsx&amp;sheet=U0&amp;row=1066&amp;col=7&amp;number=0.0736&amp;sourceID=14","0.0736")</f>
        <v>0.0736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HYPERLINK("http://141.218.60.56/~jnz1568/getInfo.php?workbook=14_02.xlsx&amp;sheet=U0&amp;row=1067&amp;col=6&amp;number=3.3&amp;sourceID=14","3.3")</f>
        <v>3.3</v>
      </c>
      <c r="G1067" s="4" t="str">
        <f>HYPERLINK("http://141.218.60.56/~jnz1568/getInfo.php?workbook=14_02.xlsx&amp;sheet=U0&amp;row=1067&amp;col=7&amp;number=0.0736&amp;sourceID=14","0.0736")</f>
        <v>0.0736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HYPERLINK("http://141.218.60.56/~jnz1568/getInfo.php?workbook=14_02.xlsx&amp;sheet=U0&amp;row=1068&amp;col=6&amp;number=3.4&amp;sourceID=14","3.4")</f>
        <v>3.4</v>
      </c>
      <c r="G1068" s="4" t="str">
        <f>HYPERLINK("http://141.218.60.56/~jnz1568/getInfo.php?workbook=14_02.xlsx&amp;sheet=U0&amp;row=1068&amp;col=7&amp;number=0.0736&amp;sourceID=14","0.0736")</f>
        <v>0.0736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HYPERLINK("http://141.218.60.56/~jnz1568/getInfo.php?workbook=14_02.xlsx&amp;sheet=U0&amp;row=1069&amp;col=6&amp;number=3.5&amp;sourceID=14","3.5")</f>
        <v>3.5</v>
      </c>
      <c r="G1069" s="4" t="str">
        <f>HYPERLINK("http://141.218.60.56/~jnz1568/getInfo.php?workbook=14_02.xlsx&amp;sheet=U0&amp;row=1069&amp;col=7&amp;number=0.0736&amp;sourceID=14","0.0736")</f>
        <v>0.0736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HYPERLINK("http://141.218.60.56/~jnz1568/getInfo.php?workbook=14_02.xlsx&amp;sheet=U0&amp;row=1070&amp;col=6&amp;number=3.6&amp;sourceID=14","3.6")</f>
        <v>3.6</v>
      </c>
      <c r="G1070" s="4" t="str">
        <f>HYPERLINK("http://141.218.60.56/~jnz1568/getInfo.php?workbook=14_02.xlsx&amp;sheet=U0&amp;row=1070&amp;col=7&amp;number=0.0736&amp;sourceID=14","0.0736")</f>
        <v>0.0736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HYPERLINK("http://141.218.60.56/~jnz1568/getInfo.php?workbook=14_02.xlsx&amp;sheet=U0&amp;row=1071&amp;col=6&amp;number=3.7&amp;sourceID=14","3.7")</f>
        <v>3.7</v>
      </c>
      <c r="G1071" s="4" t="str">
        <f>HYPERLINK("http://141.218.60.56/~jnz1568/getInfo.php?workbook=14_02.xlsx&amp;sheet=U0&amp;row=1071&amp;col=7&amp;number=0.0736&amp;sourceID=14","0.0736")</f>
        <v>0.0736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HYPERLINK("http://141.218.60.56/~jnz1568/getInfo.php?workbook=14_02.xlsx&amp;sheet=U0&amp;row=1072&amp;col=6&amp;number=3.8&amp;sourceID=14","3.8")</f>
        <v>3.8</v>
      </c>
      <c r="G1072" s="4" t="str">
        <f>HYPERLINK("http://141.218.60.56/~jnz1568/getInfo.php?workbook=14_02.xlsx&amp;sheet=U0&amp;row=1072&amp;col=7&amp;number=0.0737&amp;sourceID=14","0.0737")</f>
        <v>0.0737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HYPERLINK("http://141.218.60.56/~jnz1568/getInfo.php?workbook=14_02.xlsx&amp;sheet=U0&amp;row=1073&amp;col=6&amp;number=3.9&amp;sourceID=14","3.9")</f>
        <v>3.9</v>
      </c>
      <c r="G1073" s="4" t="str">
        <f>HYPERLINK("http://141.218.60.56/~jnz1568/getInfo.php?workbook=14_02.xlsx&amp;sheet=U0&amp;row=1073&amp;col=7&amp;number=0.0737&amp;sourceID=14","0.0737")</f>
        <v>0.0737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HYPERLINK("http://141.218.60.56/~jnz1568/getInfo.php?workbook=14_02.xlsx&amp;sheet=U0&amp;row=1074&amp;col=6&amp;number=4&amp;sourceID=14","4")</f>
        <v>4</v>
      </c>
      <c r="G1074" s="4" t="str">
        <f>HYPERLINK("http://141.218.60.56/~jnz1568/getInfo.php?workbook=14_02.xlsx&amp;sheet=U0&amp;row=1074&amp;col=7&amp;number=0.0737&amp;sourceID=14","0.0737")</f>
        <v>0.0737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HYPERLINK("http://141.218.60.56/~jnz1568/getInfo.php?workbook=14_02.xlsx&amp;sheet=U0&amp;row=1075&amp;col=6&amp;number=4.1&amp;sourceID=14","4.1")</f>
        <v>4.1</v>
      </c>
      <c r="G1075" s="4" t="str">
        <f>HYPERLINK("http://141.218.60.56/~jnz1568/getInfo.php?workbook=14_02.xlsx&amp;sheet=U0&amp;row=1075&amp;col=7&amp;number=0.0737&amp;sourceID=14","0.0737")</f>
        <v>0.0737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HYPERLINK("http://141.218.60.56/~jnz1568/getInfo.php?workbook=14_02.xlsx&amp;sheet=U0&amp;row=1076&amp;col=6&amp;number=4.2&amp;sourceID=14","4.2")</f>
        <v>4.2</v>
      </c>
      <c r="G1076" s="4" t="str">
        <f>HYPERLINK("http://141.218.60.56/~jnz1568/getInfo.php?workbook=14_02.xlsx&amp;sheet=U0&amp;row=1076&amp;col=7&amp;number=0.0737&amp;sourceID=14","0.0737")</f>
        <v>0.0737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HYPERLINK("http://141.218.60.56/~jnz1568/getInfo.php?workbook=14_02.xlsx&amp;sheet=U0&amp;row=1077&amp;col=6&amp;number=4.3&amp;sourceID=14","4.3")</f>
        <v>4.3</v>
      </c>
      <c r="G1077" s="4" t="str">
        <f>HYPERLINK("http://141.218.60.56/~jnz1568/getInfo.php?workbook=14_02.xlsx&amp;sheet=U0&amp;row=1077&amp;col=7&amp;number=0.0737&amp;sourceID=14","0.0737")</f>
        <v>0.0737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HYPERLINK("http://141.218.60.56/~jnz1568/getInfo.php?workbook=14_02.xlsx&amp;sheet=U0&amp;row=1078&amp;col=6&amp;number=4.4&amp;sourceID=14","4.4")</f>
        <v>4.4</v>
      </c>
      <c r="G1078" s="4" t="str">
        <f>HYPERLINK("http://141.218.60.56/~jnz1568/getInfo.php?workbook=14_02.xlsx&amp;sheet=U0&amp;row=1078&amp;col=7&amp;number=0.0737&amp;sourceID=14","0.0737")</f>
        <v>0.0737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HYPERLINK("http://141.218.60.56/~jnz1568/getInfo.php?workbook=14_02.xlsx&amp;sheet=U0&amp;row=1079&amp;col=6&amp;number=4.5&amp;sourceID=14","4.5")</f>
        <v>4.5</v>
      </c>
      <c r="G1079" s="4" t="str">
        <f>HYPERLINK("http://141.218.60.56/~jnz1568/getInfo.php?workbook=14_02.xlsx&amp;sheet=U0&amp;row=1079&amp;col=7&amp;number=0.0737&amp;sourceID=14","0.0737")</f>
        <v>0.0737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HYPERLINK("http://141.218.60.56/~jnz1568/getInfo.php?workbook=14_02.xlsx&amp;sheet=U0&amp;row=1080&amp;col=6&amp;number=4.6&amp;sourceID=14","4.6")</f>
        <v>4.6</v>
      </c>
      <c r="G1080" s="4" t="str">
        <f>HYPERLINK("http://141.218.60.56/~jnz1568/getInfo.php?workbook=14_02.xlsx&amp;sheet=U0&amp;row=1080&amp;col=7&amp;number=0.0737&amp;sourceID=14","0.0737")</f>
        <v>0.0737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HYPERLINK("http://141.218.60.56/~jnz1568/getInfo.php?workbook=14_02.xlsx&amp;sheet=U0&amp;row=1081&amp;col=6&amp;number=4.7&amp;sourceID=14","4.7")</f>
        <v>4.7</v>
      </c>
      <c r="G1081" s="4" t="str">
        <f>HYPERLINK("http://141.218.60.56/~jnz1568/getInfo.php?workbook=14_02.xlsx&amp;sheet=U0&amp;row=1081&amp;col=7&amp;number=0.0737&amp;sourceID=14","0.0737")</f>
        <v>0.0737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HYPERLINK("http://141.218.60.56/~jnz1568/getInfo.php?workbook=14_02.xlsx&amp;sheet=U0&amp;row=1082&amp;col=6&amp;number=4.8&amp;sourceID=14","4.8")</f>
        <v>4.8</v>
      </c>
      <c r="G1082" s="4" t="str">
        <f>HYPERLINK("http://141.218.60.56/~jnz1568/getInfo.php?workbook=14_02.xlsx&amp;sheet=U0&amp;row=1082&amp;col=7&amp;number=0.0737&amp;sourceID=14","0.0737")</f>
        <v>0.0737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HYPERLINK("http://141.218.60.56/~jnz1568/getInfo.php?workbook=14_02.xlsx&amp;sheet=U0&amp;row=1083&amp;col=6&amp;number=4.9&amp;sourceID=14","4.9")</f>
        <v>4.9</v>
      </c>
      <c r="G1083" s="4" t="str">
        <f>HYPERLINK("http://141.218.60.56/~jnz1568/getInfo.php?workbook=14_02.xlsx&amp;sheet=U0&amp;row=1083&amp;col=7&amp;number=0.0738&amp;sourceID=14","0.0738")</f>
        <v>0.0738</v>
      </c>
    </row>
    <row r="1084" spans="1:7">
      <c r="A1084" s="3">
        <v>14</v>
      </c>
      <c r="B1084" s="3">
        <v>2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HYPERLINK("http://141.218.60.56/~jnz1568/getInfo.php?workbook=14_02.xlsx&amp;sheet=U0&amp;row=1084&amp;col=6&amp;number=3&amp;sourceID=14","3")</f>
        <v>3</v>
      </c>
      <c r="G1084" s="4" t="str">
        <f>HYPERLINK("http://141.218.60.56/~jnz1568/getInfo.php?workbook=14_02.xlsx&amp;sheet=U0&amp;row=1084&amp;col=7&amp;number=0.00179&amp;sourceID=14","0.00179")</f>
        <v>0.00179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HYPERLINK("http://141.218.60.56/~jnz1568/getInfo.php?workbook=14_02.xlsx&amp;sheet=U0&amp;row=1085&amp;col=6&amp;number=3.1&amp;sourceID=14","3.1")</f>
        <v>3.1</v>
      </c>
      <c r="G1085" s="4" t="str">
        <f>HYPERLINK("http://141.218.60.56/~jnz1568/getInfo.php?workbook=14_02.xlsx&amp;sheet=U0&amp;row=1085&amp;col=7&amp;number=0.00179&amp;sourceID=14","0.00179")</f>
        <v>0.00179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HYPERLINK("http://141.218.60.56/~jnz1568/getInfo.php?workbook=14_02.xlsx&amp;sheet=U0&amp;row=1086&amp;col=6&amp;number=3.2&amp;sourceID=14","3.2")</f>
        <v>3.2</v>
      </c>
      <c r="G1086" s="4" t="str">
        <f>HYPERLINK("http://141.218.60.56/~jnz1568/getInfo.php?workbook=14_02.xlsx&amp;sheet=U0&amp;row=1086&amp;col=7&amp;number=0.00179&amp;sourceID=14","0.00179")</f>
        <v>0.00179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HYPERLINK("http://141.218.60.56/~jnz1568/getInfo.php?workbook=14_02.xlsx&amp;sheet=U0&amp;row=1087&amp;col=6&amp;number=3.3&amp;sourceID=14","3.3")</f>
        <v>3.3</v>
      </c>
      <c r="G1087" s="4" t="str">
        <f>HYPERLINK("http://141.218.60.56/~jnz1568/getInfo.php?workbook=14_02.xlsx&amp;sheet=U0&amp;row=1087&amp;col=7&amp;number=0.00179&amp;sourceID=14","0.00179")</f>
        <v>0.00179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HYPERLINK("http://141.218.60.56/~jnz1568/getInfo.php?workbook=14_02.xlsx&amp;sheet=U0&amp;row=1088&amp;col=6&amp;number=3.4&amp;sourceID=14","3.4")</f>
        <v>3.4</v>
      </c>
      <c r="G1088" s="4" t="str">
        <f>HYPERLINK("http://141.218.60.56/~jnz1568/getInfo.php?workbook=14_02.xlsx&amp;sheet=U0&amp;row=1088&amp;col=7&amp;number=0.00179&amp;sourceID=14","0.00179")</f>
        <v>0.00179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HYPERLINK("http://141.218.60.56/~jnz1568/getInfo.php?workbook=14_02.xlsx&amp;sheet=U0&amp;row=1089&amp;col=6&amp;number=3.5&amp;sourceID=14","3.5")</f>
        <v>3.5</v>
      </c>
      <c r="G1089" s="4" t="str">
        <f>HYPERLINK("http://141.218.60.56/~jnz1568/getInfo.php?workbook=14_02.xlsx&amp;sheet=U0&amp;row=1089&amp;col=7&amp;number=0.00178&amp;sourceID=14","0.00178")</f>
        <v>0.00178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HYPERLINK("http://141.218.60.56/~jnz1568/getInfo.php?workbook=14_02.xlsx&amp;sheet=U0&amp;row=1090&amp;col=6&amp;number=3.6&amp;sourceID=14","3.6")</f>
        <v>3.6</v>
      </c>
      <c r="G1090" s="4" t="str">
        <f>HYPERLINK("http://141.218.60.56/~jnz1568/getInfo.php?workbook=14_02.xlsx&amp;sheet=U0&amp;row=1090&amp;col=7&amp;number=0.00178&amp;sourceID=14","0.00178")</f>
        <v>0.00178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HYPERLINK("http://141.218.60.56/~jnz1568/getInfo.php?workbook=14_02.xlsx&amp;sheet=U0&amp;row=1091&amp;col=6&amp;number=3.7&amp;sourceID=14","3.7")</f>
        <v>3.7</v>
      </c>
      <c r="G1091" s="4" t="str">
        <f>HYPERLINK("http://141.218.60.56/~jnz1568/getInfo.php?workbook=14_02.xlsx&amp;sheet=U0&amp;row=1091&amp;col=7&amp;number=0.00178&amp;sourceID=14","0.00178")</f>
        <v>0.00178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HYPERLINK("http://141.218.60.56/~jnz1568/getInfo.php?workbook=14_02.xlsx&amp;sheet=U0&amp;row=1092&amp;col=6&amp;number=3.8&amp;sourceID=14","3.8")</f>
        <v>3.8</v>
      </c>
      <c r="G1092" s="4" t="str">
        <f>HYPERLINK("http://141.218.60.56/~jnz1568/getInfo.php?workbook=14_02.xlsx&amp;sheet=U0&amp;row=1092&amp;col=7&amp;number=0.00178&amp;sourceID=14","0.00178")</f>
        <v>0.00178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HYPERLINK("http://141.218.60.56/~jnz1568/getInfo.php?workbook=14_02.xlsx&amp;sheet=U0&amp;row=1093&amp;col=6&amp;number=3.9&amp;sourceID=14","3.9")</f>
        <v>3.9</v>
      </c>
      <c r="G1093" s="4" t="str">
        <f>HYPERLINK("http://141.218.60.56/~jnz1568/getInfo.php?workbook=14_02.xlsx&amp;sheet=U0&amp;row=1093&amp;col=7&amp;number=0.00178&amp;sourceID=14","0.00178")</f>
        <v>0.00178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HYPERLINK("http://141.218.60.56/~jnz1568/getInfo.php?workbook=14_02.xlsx&amp;sheet=U0&amp;row=1094&amp;col=6&amp;number=4&amp;sourceID=14","4")</f>
        <v>4</v>
      </c>
      <c r="G1094" s="4" t="str">
        <f>HYPERLINK("http://141.218.60.56/~jnz1568/getInfo.php?workbook=14_02.xlsx&amp;sheet=U0&amp;row=1094&amp;col=7&amp;number=0.00178&amp;sourceID=14","0.00178")</f>
        <v>0.00178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HYPERLINK("http://141.218.60.56/~jnz1568/getInfo.php?workbook=14_02.xlsx&amp;sheet=U0&amp;row=1095&amp;col=6&amp;number=4.1&amp;sourceID=14","4.1")</f>
        <v>4.1</v>
      </c>
      <c r="G1095" s="4" t="str">
        <f>HYPERLINK("http://141.218.60.56/~jnz1568/getInfo.php?workbook=14_02.xlsx&amp;sheet=U0&amp;row=1095&amp;col=7&amp;number=0.00178&amp;sourceID=14","0.00178")</f>
        <v>0.00178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HYPERLINK("http://141.218.60.56/~jnz1568/getInfo.php?workbook=14_02.xlsx&amp;sheet=U0&amp;row=1096&amp;col=6&amp;number=4.2&amp;sourceID=14","4.2")</f>
        <v>4.2</v>
      </c>
      <c r="G1096" s="4" t="str">
        <f>HYPERLINK("http://141.218.60.56/~jnz1568/getInfo.php?workbook=14_02.xlsx&amp;sheet=U0&amp;row=1096&amp;col=7&amp;number=0.00178&amp;sourceID=14","0.00178")</f>
        <v>0.00178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HYPERLINK("http://141.218.60.56/~jnz1568/getInfo.php?workbook=14_02.xlsx&amp;sheet=U0&amp;row=1097&amp;col=6&amp;number=4.3&amp;sourceID=14","4.3")</f>
        <v>4.3</v>
      </c>
      <c r="G1097" s="4" t="str">
        <f>HYPERLINK("http://141.218.60.56/~jnz1568/getInfo.php?workbook=14_02.xlsx&amp;sheet=U0&amp;row=1097&amp;col=7&amp;number=0.00178&amp;sourceID=14","0.00178")</f>
        <v>0.00178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HYPERLINK("http://141.218.60.56/~jnz1568/getInfo.php?workbook=14_02.xlsx&amp;sheet=U0&amp;row=1098&amp;col=6&amp;number=4.4&amp;sourceID=14","4.4")</f>
        <v>4.4</v>
      </c>
      <c r="G1098" s="4" t="str">
        <f>HYPERLINK("http://141.218.60.56/~jnz1568/getInfo.php?workbook=14_02.xlsx&amp;sheet=U0&amp;row=1098&amp;col=7&amp;number=0.00178&amp;sourceID=14","0.00178")</f>
        <v>0.00178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HYPERLINK("http://141.218.60.56/~jnz1568/getInfo.php?workbook=14_02.xlsx&amp;sheet=U0&amp;row=1099&amp;col=6&amp;number=4.5&amp;sourceID=14","4.5")</f>
        <v>4.5</v>
      </c>
      <c r="G1099" s="4" t="str">
        <f>HYPERLINK("http://141.218.60.56/~jnz1568/getInfo.php?workbook=14_02.xlsx&amp;sheet=U0&amp;row=1099&amp;col=7&amp;number=0.00177&amp;sourceID=14","0.00177")</f>
        <v>0.00177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HYPERLINK("http://141.218.60.56/~jnz1568/getInfo.php?workbook=14_02.xlsx&amp;sheet=U0&amp;row=1100&amp;col=6&amp;number=4.6&amp;sourceID=14","4.6")</f>
        <v>4.6</v>
      </c>
      <c r="G1100" s="4" t="str">
        <f>HYPERLINK("http://141.218.60.56/~jnz1568/getInfo.php?workbook=14_02.xlsx&amp;sheet=U0&amp;row=1100&amp;col=7&amp;number=0.00177&amp;sourceID=14","0.00177")</f>
        <v>0.00177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HYPERLINK("http://141.218.60.56/~jnz1568/getInfo.php?workbook=14_02.xlsx&amp;sheet=U0&amp;row=1101&amp;col=6&amp;number=4.7&amp;sourceID=14","4.7")</f>
        <v>4.7</v>
      </c>
      <c r="G1101" s="4" t="str">
        <f>HYPERLINK("http://141.218.60.56/~jnz1568/getInfo.php?workbook=14_02.xlsx&amp;sheet=U0&amp;row=1101&amp;col=7&amp;number=0.00177&amp;sourceID=14","0.00177")</f>
        <v>0.00177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HYPERLINK("http://141.218.60.56/~jnz1568/getInfo.php?workbook=14_02.xlsx&amp;sheet=U0&amp;row=1102&amp;col=6&amp;number=4.8&amp;sourceID=14","4.8")</f>
        <v>4.8</v>
      </c>
      <c r="G1102" s="4" t="str">
        <f>HYPERLINK("http://141.218.60.56/~jnz1568/getInfo.php?workbook=14_02.xlsx&amp;sheet=U0&amp;row=1102&amp;col=7&amp;number=0.00176&amp;sourceID=14","0.00176")</f>
        <v>0.00176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HYPERLINK("http://141.218.60.56/~jnz1568/getInfo.php?workbook=14_02.xlsx&amp;sheet=U0&amp;row=1103&amp;col=6&amp;number=4.9&amp;sourceID=14","4.9")</f>
        <v>4.9</v>
      </c>
      <c r="G1103" s="4" t="str">
        <f>HYPERLINK("http://141.218.60.56/~jnz1568/getInfo.php?workbook=14_02.xlsx&amp;sheet=U0&amp;row=1103&amp;col=7&amp;number=0.00176&amp;sourceID=14","0.00176")</f>
        <v>0.00176</v>
      </c>
    </row>
    <row r="1104" spans="1:7">
      <c r="A1104" s="3">
        <v>14</v>
      </c>
      <c r="B1104" s="3">
        <v>2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HYPERLINK("http://141.218.60.56/~jnz1568/getInfo.php?workbook=14_02.xlsx&amp;sheet=U0&amp;row=1104&amp;col=6&amp;number=3&amp;sourceID=14","3")</f>
        <v>3</v>
      </c>
      <c r="G1104" s="4" t="str">
        <f>HYPERLINK("http://141.218.60.56/~jnz1568/getInfo.php?workbook=14_02.xlsx&amp;sheet=U0&amp;row=1104&amp;col=7&amp;number=0.00629&amp;sourceID=14","0.00629")</f>
        <v>0.00629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HYPERLINK("http://141.218.60.56/~jnz1568/getInfo.php?workbook=14_02.xlsx&amp;sheet=U0&amp;row=1105&amp;col=6&amp;number=3.1&amp;sourceID=14","3.1")</f>
        <v>3.1</v>
      </c>
      <c r="G1105" s="4" t="str">
        <f>HYPERLINK("http://141.218.60.56/~jnz1568/getInfo.php?workbook=14_02.xlsx&amp;sheet=U0&amp;row=1105&amp;col=7&amp;number=0.00629&amp;sourceID=14","0.00629")</f>
        <v>0.00629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HYPERLINK("http://141.218.60.56/~jnz1568/getInfo.php?workbook=14_02.xlsx&amp;sheet=U0&amp;row=1106&amp;col=6&amp;number=3.2&amp;sourceID=14","3.2")</f>
        <v>3.2</v>
      </c>
      <c r="G1106" s="4" t="str">
        <f>HYPERLINK("http://141.218.60.56/~jnz1568/getInfo.php?workbook=14_02.xlsx&amp;sheet=U0&amp;row=1106&amp;col=7&amp;number=0.00629&amp;sourceID=14","0.00629")</f>
        <v>0.00629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HYPERLINK("http://141.218.60.56/~jnz1568/getInfo.php?workbook=14_02.xlsx&amp;sheet=U0&amp;row=1107&amp;col=6&amp;number=3.3&amp;sourceID=14","3.3")</f>
        <v>3.3</v>
      </c>
      <c r="G1107" s="4" t="str">
        <f>HYPERLINK("http://141.218.60.56/~jnz1568/getInfo.php?workbook=14_02.xlsx&amp;sheet=U0&amp;row=1107&amp;col=7&amp;number=0.00629&amp;sourceID=14","0.00629")</f>
        <v>0.00629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HYPERLINK("http://141.218.60.56/~jnz1568/getInfo.php?workbook=14_02.xlsx&amp;sheet=U0&amp;row=1108&amp;col=6&amp;number=3.4&amp;sourceID=14","3.4")</f>
        <v>3.4</v>
      </c>
      <c r="G1108" s="4" t="str">
        <f>HYPERLINK("http://141.218.60.56/~jnz1568/getInfo.php?workbook=14_02.xlsx&amp;sheet=U0&amp;row=1108&amp;col=7&amp;number=0.00629&amp;sourceID=14","0.00629")</f>
        <v>0.00629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HYPERLINK("http://141.218.60.56/~jnz1568/getInfo.php?workbook=14_02.xlsx&amp;sheet=U0&amp;row=1109&amp;col=6&amp;number=3.5&amp;sourceID=14","3.5")</f>
        <v>3.5</v>
      </c>
      <c r="G1109" s="4" t="str">
        <f>HYPERLINK("http://141.218.60.56/~jnz1568/getInfo.php?workbook=14_02.xlsx&amp;sheet=U0&amp;row=1109&amp;col=7&amp;number=0.0063&amp;sourceID=14","0.0063")</f>
        <v>0.0063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HYPERLINK("http://141.218.60.56/~jnz1568/getInfo.php?workbook=14_02.xlsx&amp;sheet=U0&amp;row=1110&amp;col=6&amp;number=3.6&amp;sourceID=14","3.6")</f>
        <v>3.6</v>
      </c>
      <c r="G1110" s="4" t="str">
        <f>HYPERLINK("http://141.218.60.56/~jnz1568/getInfo.php?workbook=14_02.xlsx&amp;sheet=U0&amp;row=1110&amp;col=7&amp;number=0.0063&amp;sourceID=14","0.0063")</f>
        <v>0.0063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HYPERLINK("http://141.218.60.56/~jnz1568/getInfo.php?workbook=14_02.xlsx&amp;sheet=U0&amp;row=1111&amp;col=6&amp;number=3.7&amp;sourceID=14","3.7")</f>
        <v>3.7</v>
      </c>
      <c r="G1111" s="4" t="str">
        <f>HYPERLINK("http://141.218.60.56/~jnz1568/getInfo.php?workbook=14_02.xlsx&amp;sheet=U0&amp;row=1111&amp;col=7&amp;number=0.0063&amp;sourceID=14","0.0063")</f>
        <v>0.0063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HYPERLINK("http://141.218.60.56/~jnz1568/getInfo.php?workbook=14_02.xlsx&amp;sheet=U0&amp;row=1112&amp;col=6&amp;number=3.8&amp;sourceID=14","3.8")</f>
        <v>3.8</v>
      </c>
      <c r="G1112" s="4" t="str">
        <f>HYPERLINK("http://141.218.60.56/~jnz1568/getInfo.php?workbook=14_02.xlsx&amp;sheet=U0&amp;row=1112&amp;col=7&amp;number=0.0063&amp;sourceID=14","0.0063")</f>
        <v>0.0063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HYPERLINK("http://141.218.60.56/~jnz1568/getInfo.php?workbook=14_02.xlsx&amp;sheet=U0&amp;row=1113&amp;col=6&amp;number=3.9&amp;sourceID=14","3.9")</f>
        <v>3.9</v>
      </c>
      <c r="G1113" s="4" t="str">
        <f>HYPERLINK("http://141.218.60.56/~jnz1568/getInfo.php?workbook=14_02.xlsx&amp;sheet=U0&amp;row=1113&amp;col=7&amp;number=0.0063&amp;sourceID=14","0.0063")</f>
        <v>0.0063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HYPERLINK("http://141.218.60.56/~jnz1568/getInfo.php?workbook=14_02.xlsx&amp;sheet=U0&amp;row=1114&amp;col=6&amp;number=4&amp;sourceID=14","4")</f>
        <v>4</v>
      </c>
      <c r="G1114" s="4" t="str">
        <f>HYPERLINK("http://141.218.60.56/~jnz1568/getInfo.php?workbook=14_02.xlsx&amp;sheet=U0&amp;row=1114&amp;col=7&amp;number=0.0063&amp;sourceID=14","0.0063")</f>
        <v>0.0063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HYPERLINK("http://141.218.60.56/~jnz1568/getInfo.php?workbook=14_02.xlsx&amp;sheet=U0&amp;row=1115&amp;col=6&amp;number=4.1&amp;sourceID=14","4.1")</f>
        <v>4.1</v>
      </c>
      <c r="G1115" s="4" t="str">
        <f>HYPERLINK("http://141.218.60.56/~jnz1568/getInfo.php?workbook=14_02.xlsx&amp;sheet=U0&amp;row=1115&amp;col=7&amp;number=0.00631&amp;sourceID=14","0.00631")</f>
        <v>0.00631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HYPERLINK("http://141.218.60.56/~jnz1568/getInfo.php?workbook=14_02.xlsx&amp;sheet=U0&amp;row=1116&amp;col=6&amp;number=4.2&amp;sourceID=14","4.2")</f>
        <v>4.2</v>
      </c>
      <c r="G1116" s="4" t="str">
        <f>HYPERLINK("http://141.218.60.56/~jnz1568/getInfo.php?workbook=14_02.xlsx&amp;sheet=U0&amp;row=1116&amp;col=7&amp;number=0.00631&amp;sourceID=14","0.00631")</f>
        <v>0.00631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HYPERLINK("http://141.218.60.56/~jnz1568/getInfo.php?workbook=14_02.xlsx&amp;sheet=U0&amp;row=1117&amp;col=6&amp;number=4.3&amp;sourceID=14","4.3")</f>
        <v>4.3</v>
      </c>
      <c r="G1117" s="4" t="str">
        <f>HYPERLINK("http://141.218.60.56/~jnz1568/getInfo.php?workbook=14_02.xlsx&amp;sheet=U0&amp;row=1117&amp;col=7&amp;number=0.00632&amp;sourceID=14","0.00632")</f>
        <v>0.00632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HYPERLINK("http://141.218.60.56/~jnz1568/getInfo.php?workbook=14_02.xlsx&amp;sheet=U0&amp;row=1118&amp;col=6&amp;number=4.4&amp;sourceID=14","4.4")</f>
        <v>4.4</v>
      </c>
      <c r="G1118" s="4" t="str">
        <f>HYPERLINK("http://141.218.60.56/~jnz1568/getInfo.php?workbook=14_02.xlsx&amp;sheet=U0&amp;row=1118&amp;col=7&amp;number=0.00632&amp;sourceID=14","0.00632")</f>
        <v>0.00632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HYPERLINK("http://141.218.60.56/~jnz1568/getInfo.php?workbook=14_02.xlsx&amp;sheet=U0&amp;row=1119&amp;col=6&amp;number=4.5&amp;sourceID=14","4.5")</f>
        <v>4.5</v>
      </c>
      <c r="G1119" s="4" t="str">
        <f>HYPERLINK("http://141.218.60.56/~jnz1568/getInfo.php?workbook=14_02.xlsx&amp;sheet=U0&amp;row=1119&amp;col=7&amp;number=0.00633&amp;sourceID=14","0.00633")</f>
        <v>0.00633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HYPERLINK("http://141.218.60.56/~jnz1568/getInfo.php?workbook=14_02.xlsx&amp;sheet=U0&amp;row=1120&amp;col=6&amp;number=4.6&amp;sourceID=14","4.6")</f>
        <v>4.6</v>
      </c>
      <c r="G1120" s="4" t="str">
        <f>HYPERLINK("http://141.218.60.56/~jnz1568/getInfo.php?workbook=14_02.xlsx&amp;sheet=U0&amp;row=1120&amp;col=7&amp;number=0.00634&amp;sourceID=14","0.00634")</f>
        <v>0.00634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HYPERLINK("http://141.218.60.56/~jnz1568/getInfo.php?workbook=14_02.xlsx&amp;sheet=U0&amp;row=1121&amp;col=6&amp;number=4.7&amp;sourceID=14","4.7")</f>
        <v>4.7</v>
      </c>
      <c r="G1121" s="4" t="str">
        <f>HYPERLINK("http://141.218.60.56/~jnz1568/getInfo.php?workbook=14_02.xlsx&amp;sheet=U0&amp;row=1121&amp;col=7&amp;number=0.00635&amp;sourceID=14","0.00635")</f>
        <v>0.00635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HYPERLINK("http://141.218.60.56/~jnz1568/getInfo.php?workbook=14_02.xlsx&amp;sheet=U0&amp;row=1122&amp;col=6&amp;number=4.8&amp;sourceID=14","4.8")</f>
        <v>4.8</v>
      </c>
      <c r="G1122" s="4" t="str">
        <f>HYPERLINK("http://141.218.60.56/~jnz1568/getInfo.php?workbook=14_02.xlsx&amp;sheet=U0&amp;row=1122&amp;col=7&amp;number=0.00637&amp;sourceID=14","0.00637")</f>
        <v>0.00637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HYPERLINK("http://141.218.60.56/~jnz1568/getInfo.php?workbook=14_02.xlsx&amp;sheet=U0&amp;row=1123&amp;col=6&amp;number=4.9&amp;sourceID=14","4.9")</f>
        <v>4.9</v>
      </c>
      <c r="G1123" s="4" t="str">
        <f>HYPERLINK("http://141.218.60.56/~jnz1568/getInfo.php?workbook=14_02.xlsx&amp;sheet=U0&amp;row=1123&amp;col=7&amp;number=0.00638&amp;sourceID=14","0.00638")</f>
        <v>0.00638</v>
      </c>
    </row>
    <row r="1124" spans="1:7">
      <c r="A1124" s="3">
        <v>14</v>
      </c>
      <c r="B1124" s="3">
        <v>2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HYPERLINK("http://141.218.60.56/~jnz1568/getInfo.php?workbook=14_02.xlsx&amp;sheet=U0&amp;row=1124&amp;col=6&amp;number=3&amp;sourceID=14","3")</f>
        <v>3</v>
      </c>
      <c r="G1124" s="4" t="str">
        <f>HYPERLINK("http://141.218.60.56/~jnz1568/getInfo.php?workbook=14_02.xlsx&amp;sheet=U0&amp;row=1124&amp;col=7&amp;number=0.0188&amp;sourceID=14","0.0188")</f>
        <v>0.0188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HYPERLINK("http://141.218.60.56/~jnz1568/getInfo.php?workbook=14_02.xlsx&amp;sheet=U0&amp;row=1125&amp;col=6&amp;number=3.1&amp;sourceID=14","3.1")</f>
        <v>3.1</v>
      </c>
      <c r="G1125" s="4" t="str">
        <f>HYPERLINK("http://141.218.60.56/~jnz1568/getInfo.php?workbook=14_02.xlsx&amp;sheet=U0&amp;row=1125&amp;col=7&amp;number=0.0188&amp;sourceID=14","0.0188")</f>
        <v>0.0188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HYPERLINK("http://141.218.60.56/~jnz1568/getInfo.php?workbook=14_02.xlsx&amp;sheet=U0&amp;row=1126&amp;col=6&amp;number=3.2&amp;sourceID=14","3.2")</f>
        <v>3.2</v>
      </c>
      <c r="G1126" s="4" t="str">
        <f>HYPERLINK("http://141.218.60.56/~jnz1568/getInfo.php?workbook=14_02.xlsx&amp;sheet=U0&amp;row=1126&amp;col=7&amp;number=0.0188&amp;sourceID=14","0.0188")</f>
        <v>0.0188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HYPERLINK("http://141.218.60.56/~jnz1568/getInfo.php?workbook=14_02.xlsx&amp;sheet=U0&amp;row=1127&amp;col=6&amp;number=3.3&amp;sourceID=14","3.3")</f>
        <v>3.3</v>
      </c>
      <c r="G1127" s="4" t="str">
        <f>HYPERLINK("http://141.218.60.56/~jnz1568/getInfo.php?workbook=14_02.xlsx&amp;sheet=U0&amp;row=1127&amp;col=7&amp;number=0.0188&amp;sourceID=14","0.0188")</f>
        <v>0.0188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HYPERLINK("http://141.218.60.56/~jnz1568/getInfo.php?workbook=14_02.xlsx&amp;sheet=U0&amp;row=1128&amp;col=6&amp;number=3.4&amp;sourceID=14","3.4")</f>
        <v>3.4</v>
      </c>
      <c r="G1128" s="4" t="str">
        <f>HYPERLINK("http://141.218.60.56/~jnz1568/getInfo.php?workbook=14_02.xlsx&amp;sheet=U0&amp;row=1128&amp;col=7&amp;number=0.0188&amp;sourceID=14","0.0188")</f>
        <v>0.0188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HYPERLINK("http://141.218.60.56/~jnz1568/getInfo.php?workbook=14_02.xlsx&amp;sheet=U0&amp;row=1129&amp;col=6&amp;number=3.5&amp;sourceID=14","3.5")</f>
        <v>3.5</v>
      </c>
      <c r="G1129" s="4" t="str">
        <f>HYPERLINK("http://141.218.60.56/~jnz1568/getInfo.php?workbook=14_02.xlsx&amp;sheet=U0&amp;row=1129&amp;col=7&amp;number=0.0188&amp;sourceID=14","0.0188")</f>
        <v>0.0188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HYPERLINK("http://141.218.60.56/~jnz1568/getInfo.php?workbook=14_02.xlsx&amp;sheet=U0&amp;row=1130&amp;col=6&amp;number=3.6&amp;sourceID=14","3.6")</f>
        <v>3.6</v>
      </c>
      <c r="G1130" s="4" t="str">
        <f>HYPERLINK("http://141.218.60.56/~jnz1568/getInfo.php?workbook=14_02.xlsx&amp;sheet=U0&amp;row=1130&amp;col=7&amp;number=0.0188&amp;sourceID=14","0.0188")</f>
        <v>0.0188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HYPERLINK("http://141.218.60.56/~jnz1568/getInfo.php?workbook=14_02.xlsx&amp;sheet=U0&amp;row=1131&amp;col=6&amp;number=3.7&amp;sourceID=14","3.7")</f>
        <v>3.7</v>
      </c>
      <c r="G1131" s="4" t="str">
        <f>HYPERLINK("http://141.218.60.56/~jnz1568/getInfo.php?workbook=14_02.xlsx&amp;sheet=U0&amp;row=1131&amp;col=7&amp;number=0.0188&amp;sourceID=14","0.0188")</f>
        <v>0.0188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HYPERLINK("http://141.218.60.56/~jnz1568/getInfo.php?workbook=14_02.xlsx&amp;sheet=U0&amp;row=1132&amp;col=6&amp;number=3.8&amp;sourceID=14","3.8")</f>
        <v>3.8</v>
      </c>
      <c r="G1132" s="4" t="str">
        <f>HYPERLINK("http://141.218.60.56/~jnz1568/getInfo.php?workbook=14_02.xlsx&amp;sheet=U0&amp;row=1132&amp;col=7&amp;number=0.0188&amp;sourceID=14","0.0188")</f>
        <v>0.0188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HYPERLINK("http://141.218.60.56/~jnz1568/getInfo.php?workbook=14_02.xlsx&amp;sheet=U0&amp;row=1133&amp;col=6&amp;number=3.9&amp;sourceID=14","3.9")</f>
        <v>3.9</v>
      </c>
      <c r="G1133" s="4" t="str">
        <f>HYPERLINK("http://141.218.60.56/~jnz1568/getInfo.php?workbook=14_02.xlsx&amp;sheet=U0&amp;row=1133&amp;col=7&amp;number=0.0188&amp;sourceID=14","0.0188")</f>
        <v>0.0188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HYPERLINK("http://141.218.60.56/~jnz1568/getInfo.php?workbook=14_02.xlsx&amp;sheet=U0&amp;row=1134&amp;col=6&amp;number=4&amp;sourceID=14","4")</f>
        <v>4</v>
      </c>
      <c r="G1134" s="4" t="str">
        <f>HYPERLINK("http://141.218.60.56/~jnz1568/getInfo.php?workbook=14_02.xlsx&amp;sheet=U0&amp;row=1134&amp;col=7&amp;number=0.0188&amp;sourceID=14","0.0188")</f>
        <v>0.0188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HYPERLINK("http://141.218.60.56/~jnz1568/getInfo.php?workbook=14_02.xlsx&amp;sheet=U0&amp;row=1135&amp;col=6&amp;number=4.1&amp;sourceID=14","4.1")</f>
        <v>4.1</v>
      </c>
      <c r="G1135" s="4" t="str">
        <f>HYPERLINK("http://141.218.60.56/~jnz1568/getInfo.php?workbook=14_02.xlsx&amp;sheet=U0&amp;row=1135&amp;col=7&amp;number=0.0189&amp;sourceID=14","0.0189")</f>
        <v>0.0189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HYPERLINK("http://141.218.60.56/~jnz1568/getInfo.php?workbook=14_02.xlsx&amp;sheet=U0&amp;row=1136&amp;col=6&amp;number=4.2&amp;sourceID=14","4.2")</f>
        <v>4.2</v>
      </c>
      <c r="G1136" s="4" t="str">
        <f>HYPERLINK("http://141.218.60.56/~jnz1568/getInfo.php?workbook=14_02.xlsx&amp;sheet=U0&amp;row=1136&amp;col=7&amp;number=0.0189&amp;sourceID=14","0.0189")</f>
        <v>0.0189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HYPERLINK("http://141.218.60.56/~jnz1568/getInfo.php?workbook=14_02.xlsx&amp;sheet=U0&amp;row=1137&amp;col=6&amp;number=4.3&amp;sourceID=14","4.3")</f>
        <v>4.3</v>
      </c>
      <c r="G1137" s="4" t="str">
        <f>HYPERLINK("http://141.218.60.56/~jnz1568/getInfo.php?workbook=14_02.xlsx&amp;sheet=U0&amp;row=1137&amp;col=7&amp;number=0.0189&amp;sourceID=14","0.0189")</f>
        <v>0.0189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HYPERLINK("http://141.218.60.56/~jnz1568/getInfo.php?workbook=14_02.xlsx&amp;sheet=U0&amp;row=1138&amp;col=6&amp;number=4.4&amp;sourceID=14","4.4")</f>
        <v>4.4</v>
      </c>
      <c r="G1138" s="4" t="str">
        <f>HYPERLINK("http://141.218.60.56/~jnz1568/getInfo.php?workbook=14_02.xlsx&amp;sheet=U0&amp;row=1138&amp;col=7&amp;number=0.0189&amp;sourceID=14","0.0189")</f>
        <v>0.0189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HYPERLINK("http://141.218.60.56/~jnz1568/getInfo.php?workbook=14_02.xlsx&amp;sheet=U0&amp;row=1139&amp;col=6&amp;number=4.5&amp;sourceID=14","4.5")</f>
        <v>4.5</v>
      </c>
      <c r="G1139" s="4" t="str">
        <f>HYPERLINK("http://141.218.60.56/~jnz1568/getInfo.php?workbook=14_02.xlsx&amp;sheet=U0&amp;row=1139&amp;col=7&amp;number=0.0189&amp;sourceID=14","0.0189")</f>
        <v>0.0189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HYPERLINK("http://141.218.60.56/~jnz1568/getInfo.php?workbook=14_02.xlsx&amp;sheet=U0&amp;row=1140&amp;col=6&amp;number=4.6&amp;sourceID=14","4.6")</f>
        <v>4.6</v>
      </c>
      <c r="G1140" s="4" t="str">
        <f>HYPERLINK("http://141.218.60.56/~jnz1568/getInfo.php?workbook=14_02.xlsx&amp;sheet=U0&amp;row=1140&amp;col=7&amp;number=0.0189&amp;sourceID=14","0.0189")</f>
        <v>0.0189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HYPERLINK("http://141.218.60.56/~jnz1568/getInfo.php?workbook=14_02.xlsx&amp;sheet=U0&amp;row=1141&amp;col=6&amp;number=4.7&amp;sourceID=14","4.7")</f>
        <v>4.7</v>
      </c>
      <c r="G1141" s="4" t="str">
        <f>HYPERLINK("http://141.218.60.56/~jnz1568/getInfo.php?workbook=14_02.xlsx&amp;sheet=U0&amp;row=1141&amp;col=7&amp;number=0.019&amp;sourceID=14","0.019")</f>
        <v>0.019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HYPERLINK("http://141.218.60.56/~jnz1568/getInfo.php?workbook=14_02.xlsx&amp;sheet=U0&amp;row=1142&amp;col=6&amp;number=4.8&amp;sourceID=14","4.8")</f>
        <v>4.8</v>
      </c>
      <c r="G1142" s="4" t="str">
        <f>HYPERLINK("http://141.218.60.56/~jnz1568/getInfo.php?workbook=14_02.xlsx&amp;sheet=U0&amp;row=1142&amp;col=7&amp;number=0.019&amp;sourceID=14","0.019")</f>
        <v>0.019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HYPERLINK("http://141.218.60.56/~jnz1568/getInfo.php?workbook=14_02.xlsx&amp;sheet=U0&amp;row=1143&amp;col=6&amp;number=4.9&amp;sourceID=14","4.9")</f>
        <v>4.9</v>
      </c>
      <c r="G1143" s="4" t="str">
        <f>HYPERLINK("http://141.218.60.56/~jnz1568/getInfo.php?workbook=14_02.xlsx&amp;sheet=U0&amp;row=1143&amp;col=7&amp;number=0.0191&amp;sourceID=14","0.0191")</f>
        <v>0.0191</v>
      </c>
    </row>
    <row r="1144" spans="1:7">
      <c r="A1144" s="3">
        <v>14</v>
      </c>
      <c r="B1144" s="3">
        <v>2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HYPERLINK("http://141.218.60.56/~jnz1568/getInfo.php?workbook=14_02.xlsx&amp;sheet=U0&amp;row=1144&amp;col=6&amp;number=3&amp;sourceID=14","3")</f>
        <v>3</v>
      </c>
      <c r="G1144" s="4" t="str">
        <f>HYPERLINK("http://141.218.60.56/~jnz1568/getInfo.php?workbook=14_02.xlsx&amp;sheet=U0&amp;row=1144&amp;col=7&amp;number=0.0315&amp;sourceID=14","0.0315")</f>
        <v>0.0315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HYPERLINK("http://141.218.60.56/~jnz1568/getInfo.php?workbook=14_02.xlsx&amp;sheet=U0&amp;row=1145&amp;col=6&amp;number=3.1&amp;sourceID=14","3.1")</f>
        <v>3.1</v>
      </c>
      <c r="G1145" s="4" t="str">
        <f>HYPERLINK("http://141.218.60.56/~jnz1568/getInfo.php?workbook=14_02.xlsx&amp;sheet=U0&amp;row=1145&amp;col=7&amp;number=0.0315&amp;sourceID=14","0.0315")</f>
        <v>0.0315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HYPERLINK("http://141.218.60.56/~jnz1568/getInfo.php?workbook=14_02.xlsx&amp;sheet=U0&amp;row=1146&amp;col=6&amp;number=3.2&amp;sourceID=14","3.2")</f>
        <v>3.2</v>
      </c>
      <c r="G1146" s="4" t="str">
        <f>HYPERLINK("http://141.218.60.56/~jnz1568/getInfo.php?workbook=14_02.xlsx&amp;sheet=U0&amp;row=1146&amp;col=7&amp;number=0.0315&amp;sourceID=14","0.0315")</f>
        <v>0.0315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HYPERLINK("http://141.218.60.56/~jnz1568/getInfo.php?workbook=14_02.xlsx&amp;sheet=U0&amp;row=1147&amp;col=6&amp;number=3.3&amp;sourceID=14","3.3")</f>
        <v>3.3</v>
      </c>
      <c r="G1147" s="4" t="str">
        <f>HYPERLINK("http://141.218.60.56/~jnz1568/getInfo.php?workbook=14_02.xlsx&amp;sheet=U0&amp;row=1147&amp;col=7&amp;number=0.0315&amp;sourceID=14","0.0315")</f>
        <v>0.0315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HYPERLINK("http://141.218.60.56/~jnz1568/getInfo.php?workbook=14_02.xlsx&amp;sheet=U0&amp;row=1148&amp;col=6&amp;number=3.4&amp;sourceID=14","3.4")</f>
        <v>3.4</v>
      </c>
      <c r="G1148" s="4" t="str">
        <f>HYPERLINK("http://141.218.60.56/~jnz1568/getInfo.php?workbook=14_02.xlsx&amp;sheet=U0&amp;row=1148&amp;col=7&amp;number=0.0315&amp;sourceID=14","0.0315")</f>
        <v>0.0315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HYPERLINK("http://141.218.60.56/~jnz1568/getInfo.php?workbook=14_02.xlsx&amp;sheet=U0&amp;row=1149&amp;col=6&amp;number=3.5&amp;sourceID=14","3.5")</f>
        <v>3.5</v>
      </c>
      <c r="G1149" s="4" t="str">
        <f>HYPERLINK("http://141.218.60.56/~jnz1568/getInfo.php?workbook=14_02.xlsx&amp;sheet=U0&amp;row=1149&amp;col=7&amp;number=0.0315&amp;sourceID=14","0.0315")</f>
        <v>0.0315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HYPERLINK("http://141.218.60.56/~jnz1568/getInfo.php?workbook=14_02.xlsx&amp;sheet=U0&amp;row=1150&amp;col=6&amp;number=3.6&amp;sourceID=14","3.6")</f>
        <v>3.6</v>
      </c>
      <c r="G1150" s="4" t="str">
        <f>HYPERLINK("http://141.218.60.56/~jnz1568/getInfo.php?workbook=14_02.xlsx&amp;sheet=U0&amp;row=1150&amp;col=7&amp;number=0.0315&amp;sourceID=14","0.0315")</f>
        <v>0.0315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HYPERLINK("http://141.218.60.56/~jnz1568/getInfo.php?workbook=14_02.xlsx&amp;sheet=U0&amp;row=1151&amp;col=6&amp;number=3.7&amp;sourceID=14","3.7")</f>
        <v>3.7</v>
      </c>
      <c r="G1151" s="4" t="str">
        <f>HYPERLINK("http://141.218.60.56/~jnz1568/getInfo.php?workbook=14_02.xlsx&amp;sheet=U0&amp;row=1151&amp;col=7&amp;number=0.0315&amp;sourceID=14","0.0315")</f>
        <v>0.0315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HYPERLINK("http://141.218.60.56/~jnz1568/getInfo.php?workbook=14_02.xlsx&amp;sheet=U0&amp;row=1152&amp;col=6&amp;number=3.8&amp;sourceID=14","3.8")</f>
        <v>3.8</v>
      </c>
      <c r="G1152" s="4" t="str">
        <f>HYPERLINK("http://141.218.60.56/~jnz1568/getInfo.php?workbook=14_02.xlsx&amp;sheet=U0&amp;row=1152&amp;col=7&amp;number=0.0315&amp;sourceID=14","0.0315")</f>
        <v>0.0315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HYPERLINK("http://141.218.60.56/~jnz1568/getInfo.php?workbook=14_02.xlsx&amp;sheet=U0&amp;row=1153&amp;col=6&amp;number=3.9&amp;sourceID=14","3.9")</f>
        <v>3.9</v>
      </c>
      <c r="G1153" s="4" t="str">
        <f>HYPERLINK("http://141.218.60.56/~jnz1568/getInfo.php?workbook=14_02.xlsx&amp;sheet=U0&amp;row=1153&amp;col=7&amp;number=0.0315&amp;sourceID=14","0.0315")</f>
        <v>0.0315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HYPERLINK("http://141.218.60.56/~jnz1568/getInfo.php?workbook=14_02.xlsx&amp;sheet=U0&amp;row=1154&amp;col=6&amp;number=4&amp;sourceID=14","4")</f>
        <v>4</v>
      </c>
      <c r="G1154" s="4" t="str">
        <f>HYPERLINK("http://141.218.60.56/~jnz1568/getInfo.php?workbook=14_02.xlsx&amp;sheet=U0&amp;row=1154&amp;col=7&amp;number=0.0315&amp;sourceID=14","0.0315")</f>
        <v>0.0315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HYPERLINK("http://141.218.60.56/~jnz1568/getInfo.php?workbook=14_02.xlsx&amp;sheet=U0&amp;row=1155&amp;col=6&amp;number=4.1&amp;sourceID=14","4.1")</f>
        <v>4.1</v>
      </c>
      <c r="G1155" s="4" t="str">
        <f>HYPERLINK("http://141.218.60.56/~jnz1568/getInfo.php?workbook=14_02.xlsx&amp;sheet=U0&amp;row=1155&amp;col=7&amp;number=0.0315&amp;sourceID=14","0.0315")</f>
        <v>0.0315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HYPERLINK("http://141.218.60.56/~jnz1568/getInfo.php?workbook=14_02.xlsx&amp;sheet=U0&amp;row=1156&amp;col=6&amp;number=4.2&amp;sourceID=14","4.2")</f>
        <v>4.2</v>
      </c>
      <c r="G1156" s="4" t="str">
        <f>HYPERLINK("http://141.218.60.56/~jnz1568/getInfo.php?workbook=14_02.xlsx&amp;sheet=U0&amp;row=1156&amp;col=7&amp;number=0.0316&amp;sourceID=14","0.0316")</f>
        <v>0.0316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HYPERLINK("http://141.218.60.56/~jnz1568/getInfo.php?workbook=14_02.xlsx&amp;sheet=U0&amp;row=1157&amp;col=6&amp;number=4.3&amp;sourceID=14","4.3")</f>
        <v>4.3</v>
      </c>
      <c r="G1157" s="4" t="str">
        <f>HYPERLINK("http://141.218.60.56/~jnz1568/getInfo.php?workbook=14_02.xlsx&amp;sheet=U0&amp;row=1157&amp;col=7&amp;number=0.0316&amp;sourceID=14","0.0316")</f>
        <v>0.0316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HYPERLINK("http://141.218.60.56/~jnz1568/getInfo.php?workbook=14_02.xlsx&amp;sheet=U0&amp;row=1158&amp;col=6&amp;number=4.4&amp;sourceID=14","4.4")</f>
        <v>4.4</v>
      </c>
      <c r="G1158" s="4" t="str">
        <f>HYPERLINK("http://141.218.60.56/~jnz1568/getInfo.php?workbook=14_02.xlsx&amp;sheet=U0&amp;row=1158&amp;col=7&amp;number=0.0316&amp;sourceID=14","0.0316")</f>
        <v>0.0316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HYPERLINK("http://141.218.60.56/~jnz1568/getInfo.php?workbook=14_02.xlsx&amp;sheet=U0&amp;row=1159&amp;col=6&amp;number=4.5&amp;sourceID=14","4.5")</f>
        <v>4.5</v>
      </c>
      <c r="G1159" s="4" t="str">
        <f>HYPERLINK("http://141.218.60.56/~jnz1568/getInfo.php?workbook=14_02.xlsx&amp;sheet=U0&amp;row=1159&amp;col=7&amp;number=0.0316&amp;sourceID=14","0.0316")</f>
        <v>0.0316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HYPERLINK("http://141.218.60.56/~jnz1568/getInfo.php?workbook=14_02.xlsx&amp;sheet=U0&amp;row=1160&amp;col=6&amp;number=4.6&amp;sourceID=14","4.6")</f>
        <v>4.6</v>
      </c>
      <c r="G1160" s="4" t="str">
        <f>HYPERLINK("http://141.218.60.56/~jnz1568/getInfo.php?workbook=14_02.xlsx&amp;sheet=U0&amp;row=1160&amp;col=7&amp;number=0.0317&amp;sourceID=14","0.0317")</f>
        <v>0.0317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HYPERLINK("http://141.218.60.56/~jnz1568/getInfo.php?workbook=14_02.xlsx&amp;sheet=U0&amp;row=1161&amp;col=6&amp;number=4.7&amp;sourceID=14","4.7")</f>
        <v>4.7</v>
      </c>
      <c r="G1161" s="4" t="str">
        <f>HYPERLINK("http://141.218.60.56/~jnz1568/getInfo.php?workbook=14_02.xlsx&amp;sheet=U0&amp;row=1161&amp;col=7&amp;number=0.0318&amp;sourceID=14","0.0318")</f>
        <v>0.0318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HYPERLINK("http://141.218.60.56/~jnz1568/getInfo.php?workbook=14_02.xlsx&amp;sheet=U0&amp;row=1162&amp;col=6&amp;number=4.8&amp;sourceID=14","4.8")</f>
        <v>4.8</v>
      </c>
      <c r="G1162" s="4" t="str">
        <f>HYPERLINK("http://141.218.60.56/~jnz1568/getInfo.php?workbook=14_02.xlsx&amp;sheet=U0&amp;row=1162&amp;col=7&amp;number=0.0318&amp;sourceID=14","0.0318")</f>
        <v>0.0318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HYPERLINK("http://141.218.60.56/~jnz1568/getInfo.php?workbook=14_02.xlsx&amp;sheet=U0&amp;row=1163&amp;col=6&amp;number=4.9&amp;sourceID=14","4.9")</f>
        <v>4.9</v>
      </c>
      <c r="G1163" s="4" t="str">
        <f>HYPERLINK("http://141.218.60.56/~jnz1568/getInfo.php?workbook=14_02.xlsx&amp;sheet=U0&amp;row=1163&amp;col=7&amp;number=0.0319&amp;sourceID=14","0.0319")</f>
        <v>0.0319</v>
      </c>
    </row>
    <row r="1164" spans="1:7">
      <c r="A1164" s="3">
        <v>14</v>
      </c>
      <c r="B1164" s="3">
        <v>2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HYPERLINK("http://141.218.60.56/~jnz1568/getInfo.php?workbook=14_02.xlsx&amp;sheet=U0&amp;row=1164&amp;col=6&amp;number=3&amp;sourceID=14","3")</f>
        <v>3</v>
      </c>
      <c r="G1164" s="4" t="str">
        <f>HYPERLINK("http://141.218.60.56/~jnz1568/getInfo.php?workbook=14_02.xlsx&amp;sheet=U0&amp;row=1164&amp;col=7&amp;number=0.00456&amp;sourceID=14","0.00456")</f>
        <v>0.00456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HYPERLINK("http://141.218.60.56/~jnz1568/getInfo.php?workbook=14_02.xlsx&amp;sheet=U0&amp;row=1165&amp;col=6&amp;number=3.1&amp;sourceID=14","3.1")</f>
        <v>3.1</v>
      </c>
      <c r="G1165" s="4" t="str">
        <f>HYPERLINK("http://141.218.60.56/~jnz1568/getInfo.php?workbook=14_02.xlsx&amp;sheet=U0&amp;row=1165&amp;col=7&amp;number=0.00456&amp;sourceID=14","0.00456")</f>
        <v>0.00456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HYPERLINK("http://141.218.60.56/~jnz1568/getInfo.php?workbook=14_02.xlsx&amp;sheet=U0&amp;row=1166&amp;col=6&amp;number=3.2&amp;sourceID=14","3.2")</f>
        <v>3.2</v>
      </c>
      <c r="G1166" s="4" t="str">
        <f>HYPERLINK("http://141.218.60.56/~jnz1568/getInfo.php?workbook=14_02.xlsx&amp;sheet=U0&amp;row=1166&amp;col=7&amp;number=0.00456&amp;sourceID=14","0.00456")</f>
        <v>0.00456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HYPERLINK("http://141.218.60.56/~jnz1568/getInfo.php?workbook=14_02.xlsx&amp;sheet=U0&amp;row=1167&amp;col=6&amp;number=3.3&amp;sourceID=14","3.3")</f>
        <v>3.3</v>
      </c>
      <c r="G1167" s="4" t="str">
        <f>HYPERLINK("http://141.218.60.56/~jnz1568/getInfo.php?workbook=14_02.xlsx&amp;sheet=U0&amp;row=1167&amp;col=7&amp;number=0.00456&amp;sourceID=14","0.00456")</f>
        <v>0.00456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HYPERLINK("http://141.218.60.56/~jnz1568/getInfo.php?workbook=14_02.xlsx&amp;sheet=U0&amp;row=1168&amp;col=6&amp;number=3.4&amp;sourceID=14","3.4")</f>
        <v>3.4</v>
      </c>
      <c r="G1168" s="4" t="str">
        <f>HYPERLINK("http://141.218.60.56/~jnz1568/getInfo.php?workbook=14_02.xlsx&amp;sheet=U0&amp;row=1168&amp;col=7&amp;number=0.00456&amp;sourceID=14","0.00456")</f>
        <v>0.00456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HYPERLINK("http://141.218.60.56/~jnz1568/getInfo.php?workbook=14_02.xlsx&amp;sheet=U0&amp;row=1169&amp;col=6&amp;number=3.5&amp;sourceID=14","3.5")</f>
        <v>3.5</v>
      </c>
      <c r="G1169" s="4" t="str">
        <f>HYPERLINK("http://141.218.60.56/~jnz1568/getInfo.php?workbook=14_02.xlsx&amp;sheet=U0&amp;row=1169&amp;col=7&amp;number=0.00456&amp;sourceID=14","0.00456")</f>
        <v>0.00456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HYPERLINK("http://141.218.60.56/~jnz1568/getInfo.php?workbook=14_02.xlsx&amp;sheet=U0&amp;row=1170&amp;col=6&amp;number=3.6&amp;sourceID=14","3.6")</f>
        <v>3.6</v>
      </c>
      <c r="G1170" s="4" t="str">
        <f>HYPERLINK("http://141.218.60.56/~jnz1568/getInfo.php?workbook=14_02.xlsx&amp;sheet=U0&amp;row=1170&amp;col=7&amp;number=0.00456&amp;sourceID=14","0.00456")</f>
        <v>0.00456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HYPERLINK("http://141.218.60.56/~jnz1568/getInfo.php?workbook=14_02.xlsx&amp;sheet=U0&amp;row=1171&amp;col=6&amp;number=3.7&amp;sourceID=14","3.7")</f>
        <v>3.7</v>
      </c>
      <c r="G1171" s="4" t="str">
        <f>HYPERLINK("http://141.218.60.56/~jnz1568/getInfo.php?workbook=14_02.xlsx&amp;sheet=U0&amp;row=1171&amp;col=7&amp;number=0.00456&amp;sourceID=14","0.00456")</f>
        <v>0.00456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HYPERLINK("http://141.218.60.56/~jnz1568/getInfo.php?workbook=14_02.xlsx&amp;sheet=U0&amp;row=1172&amp;col=6&amp;number=3.8&amp;sourceID=14","3.8")</f>
        <v>3.8</v>
      </c>
      <c r="G1172" s="4" t="str">
        <f>HYPERLINK("http://141.218.60.56/~jnz1568/getInfo.php?workbook=14_02.xlsx&amp;sheet=U0&amp;row=1172&amp;col=7&amp;number=0.00456&amp;sourceID=14","0.00456")</f>
        <v>0.00456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HYPERLINK("http://141.218.60.56/~jnz1568/getInfo.php?workbook=14_02.xlsx&amp;sheet=U0&amp;row=1173&amp;col=6&amp;number=3.9&amp;sourceID=14","3.9")</f>
        <v>3.9</v>
      </c>
      <c r="G1173" s="4" t="str">
        <f>HYPERLINK("http://141.218.60.56/~jnz1568/getInfo.php?workbook=14_02.xlsx&amp;sheet=U0&amp;row=1173&amp;col=7&amp;number=0.00456&amp;sourceID=14","0.00456")</f>
        <v>0.00456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HYPERLINK("http://141.218.60.56/~jnz1568/getInfo.php?workbook=14_02.xlsx&amp;sheet=U0&amp;row=1174&amp;col=6&amp;number=4&amp;sourceID=14","4")</f>
        <v>4</v>
      </c>
      <c r="G1174" s="4" t="str">
        <f>HYPERLINK("http://141.218.60.56/~jnz1568/getInfo.php?workbook=14_02.xlsx&amp;sheet=U0&amp;row=1174&amp;col=7&amp;number=0.00455&amp;sourceID=14","0.00455")</f>
        <v>0.00455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HYPERLINK("http://141.218.60.56/~jnz1568/getInfo.php?workbook=14_02.xlsx&amp;sheet=U0&amp;row=1175&amp;col=6&amp;number=4.1&amp;sourceID=14","4.1")</f>
        <v>4.1</v>
      </c>
      <c r="G1175" s="4" t="str">
        <f>HYPERLINK("http://141.218.60.56/~jnz1568/getInfo.php?workbook=14_02.xlsx&amp;sheet=U0&amp;row=1175&amp;col=7&amp;number=0.00455&amp;sourceID=14","0.00455")</f>
        <v>0.00455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HYPERLINK("http://141.218.60.56/~jnz1568/getInfo.php?workbook=14_02.xlsx&amp;sheet=U0&amp;row=1176&amp;col=6&amp;number=4.2&amp;sourceID=14","4.2")</f>
        <v>4.2</v>
      </c>
      <c r="G1176" s="4" t="str">
        <f>HYPERLINK("http://141.218.60.56/~jnz1568/getInfo.php?workbook=14_02.xlsx&amp;sheet=U0&amp;row=1176&amp;col=7&amp;number=0.00455&amp;sourceID=14","0.00455")</f>
        <v>0.00455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HYPERLINK("http://141.218.60.56/~jnz1568/getInfo.php?workbook=14_02.xlsx&amp;sheet=U0&amp;row=1177&amp;col=6&amp;number=4.3&amp;sourceID=14","4.3")</f>
        <v>4.3</v>
      </c>
      <c r="G1177" s="4" t="str">
        <f>HYPERLINK("http://141.218.60.56/~jnz1568/getInfo.php?workbook=14_02.xlsx&amp;sheet=U0&amp;row=1177&amp;col=7&amp;number=0.00455&amp;sourceID=14","0.00455")</f>
        <v>0.00455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HYPERLINK("http://141.218.60.56/~jnz1568/getInfo.php?workbook=14_02.xlsx&amp;sheet=U0&amp;row=1178&amp;col=6&amp;number=4.4&amp;sourceID=14","4.4")</f>
        <v>4.4</v>
      </c>
      <c r="G1178" s="4" t="str">
        <f>HYPERLINK("http://141.218.60.56/~jnz1568/getInfo.php?workbook=14_02.xlsx&amp;sheet=U0&amp;row=1178&amp;col=7&amp;number=0.00454&amp;sourceID=14","0.00454")</f>
        <v>0.00454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HYPERLINK("http://141.218.60.56/~jnz1568/getInfo.php?workbook=14_02.xlsx&amp;sheet=U0&amp;row=1179&amp;col=6&amp;number=4.5&amp;sourceID=14","4.5")</f>
        <v>4.5</v>
      </c>
      <c r="G1179" s="4" t="str">
        <f>HYPERLINK("http://141.218.60.56/~jnz1568/getInfo.php?workbook=14_02.xlsx&amp;sheet=U0&amp;row=1179&amp;col=7&amp;number=0.00454&amp;sourceID=14","0.00454")</f>
        <v>0.00454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HYPERLINK("http://141.218.60.56/~jnz1568/getInfo.php?workbook=14_02.xlsx&amp;sheet=U0&amp;row=1180&amp;col=6&amp;number=4.6&amp;sourceID=14","4.6")</f>
        <v>4.6</v>
      </c>
      <c r="G1180" s="4" t="str">
        <f>HYPERLINK("http://141.218.60.56/~jnz1568/getInfo.php?workbook=14_02.xlsx&amp;sheet=U0&amp;row=1180&amp;col=7&amp;number=0.00453&amp;sourceID=14","0.00453")</f>
        <v>0.00453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HYPERLINK("http://141.218.60.56/~jnz1568/getInfo.php?workbook=14_02.xlsx&amp;sheet=U0&amp;row=1181&amp;col=6&amp;number=4.7&amp;sourceID=14","4.7")</f>
        <v>4.7</v>
      </c>
      <c r="G1181" s="4" t="str">
        <f>HYPERLINK("http://141.218.60.56/~jnz1568/getInfo.php?workbook=14_02.xlsx&amp;sheet=U0&amp;row=1181&amp;col=7&amp;number=0.00452&amp;sourceID=14","0.00452")</f>
        <v>0.00452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HYPERLINK("http://141.218.60.56/~jnz1568/getInfo.php?workbook=14_02.xlsx&amp;sheet=U0&amp;row=1182&amp;col=6&amp;number=4.8&amp;sourceID=14","4.8")</f>
        <v>4.8</v>
      </c>
      <c r="G1182" s="4" t="str">
        <f>HYPERLINK("http://141.218.60.56/~jnz1568/getInfo.php?workbook=14_02.xlsx&amp;sheet=U0&amp;row=1182&amp;col=7&amp;number=0.00451&amp;sourceID=14","0.00451")</f>
        <v>0.00451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HYPERLINK("http://141.218.60.56/~jnz1568/getInfo.php?workbook=14_02.xlsx&amp;sheet=U0&amp;row=1183&amp;col=6&amp;number=4.9&amp;sourceID=14","4.9")</f>
        <v>4.9</v>
      </c>
      <c r="G1183" s="4" t="str">
        <f>HYPERLINK("http://141.218.60.56/~jnz1568/getInfo.php?workbook=14_02.xlsx&amp;sheet=U0&amp;row=1183&amp;col=7&amp;number=0.0045&amp;sourceID=14","0.0045")</f>
        <v>0.0045</v>
      </c>
    </row>
    <row r="1184" spans="1:7">
      <c r="A1184" s="3">
        <v>14</v>
      </c>
      <c r="B1184" s="3">
        <v>2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HYPERLINK("http://141.218.60.56/~jnz1568/getInfo.php?workbook=14_02.xlsx&amp;sheet=U0&amp;row=1184&amp;col=6&amp;number=3&amp;sourceID=14","3")</f>
        <v>3</v>
      </c>
      <c r="G1184" s="4" t="str">
        <f>HYPERLINK("http://141.218.60.56/~jnz1568/getInfo.php?workbook=14_02.xlsx&amp;sheet=U0&amp;row=1184&amp;col=7&amp;number=0.0193&amp;sourceID=14","0.0193")</f>
        <v>0.0193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HYPERLINK("http://141.218.60.56/~jnz1568/getInfo.php?workbook=14_02.xlsx&amp;sheet=U0&amp;row=1185&amp;col=6&amp;number=3.1&amp;sourceID=14","3.1")</f>
        <v>3.1</v>
      </c>
      <c r="G1185" s="4" t="str">
        <f>HYPERLINK("http://141.218.60.56/~jnz1568/getInfo.php?workbook=14_02.xlsx&amp;sheet=U0&amp;row=1185&amp;col=7&amp;number=0.0193&amp;sourceID=14","0.0193")</f>
        <v>0.0193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HYPERLINK("http://141.218.60.56/~jnz1568/getInfo.php?workbook=14_02.xlsx&amp;sheet=U0&amp;row=1186&amp;col=6&amp;number=3.2&amp;sourceID=14","3.2")</f>
        <v>3.2</v>
      </c>
      <c r="G1186" s="4" t="str">
        <f>HYPERLINK("http://141.218.60.56/~jnz1568/getInfo.php?workbook=14_02.xlsx&amp;sheet=U0&amp;row=1186&amp;col=7&amp;number=0.0193&amp;sourceID=14","0.0193")</f>
        <v>0.0193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HYPERLINK("http://141.218.60.56/~jnz1568/getInfo.php?workbook=14_02.xlsx&amp;sheet=U0&amp;row=1187&amp;col=6&amp;number=3.3&amp;sourceID=14","3.3")</f>
        <v>3.3</v>
      </c>
      <c r="G1187" s="4" t="str">
        <f>HYPERLINK("http://141.218.60.56/~jnz1568/getInfo.php?workbook=14_02.xlsx&amp;sheet=U0&amp;row=1187&amp;col=7&amp;number=0.0193&amp;sourceID=14","0.0193")</f>
        <v>0.0193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HYPERLINK("http://141.218.60.56/~jnz1568/getInfo.php?workbook=14_02.xlsx&amp;sheet=U0&amp;row=1188&amp;col=6&amp;number=3.4&amp;sourceID=14","3.4")</f>
        <v>3.4</v>
      </c>
      <c r="G1188" s="4" t="str">
        <f>HYPERLINK("http://141.218.60.56/~jnz1568/getInfo.php?workbook=14_02.xlsx&amp;sheet=U0&amp;row=1188&amp;col=7&amp;number=0.0193&amp;sourceID=14","0.0193")</f>
        <v>0.0193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HYPERLINK("http://141.218.60.56/~jnz1568/getInfo.php?workbook=14_02.xlsx&amp;sheet=U0&amp;row=1189&amp;col=6&amp;number=3.5&amp;sourceID=14","3.5")</f>
        <v>3.5</v>
      </c>
      <c r="G1189" s="4" t="str">
        <f>HYPERLINK("http://141.218.60.56/~jnz1568/getInfo.php?workbook=14_02.xlsx&amp;sheet=U0&amp;row=1189&amp;col=7&amp;number=0.0193&amp;sourceID=14","0.0193")</f>
        <v>0.0193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HYPERLINK("http://141.218.60.56/~jnz1568/getInfo.php?workbook=14_02.xlsx&amp;sheet=U0&amp;row=1190&amp;col=6&amp;number=3.6&amp;sourceID=14","3.6")</f>
        <v>3.6</v>
      </c>
      <c r="G1190" s="4" t="str">
        <f>HYPERLINK("http://141.218.60.56/~jnz1568/getInfo.php?workbook=14_02.xlsx&amp;sheet=U0&amp;row=1190&amp;col=7&amp;number=0.0193&amp;sourceID=14","0.0193")</f>
        <v>0.0193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HYPERLINK("http://141.218.60.56/~jnz1568/getInfo.php?workbook=14_02.xlsx&amp;sheet=U0&amp;row=1191&amp;col=6&amp;number=3.7&amp;sourceID=14","3.7")</f>
        <v>3.7</v>
      </c>
      <c r="G1191" s="4" t="str">
        <f>HYPERLINK("http://141.218.60.56/~jnz1568/getInfo.php?workbook=14_02.xlsx&amp;sheet=U0&amp;row=1191&amp;col=7&amp;number=0.0193&amp;sourceID=14","0.0193")</f>
        <v>0.0193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HYPERLINK("http://141.218.60.56/~jnz1568/getInfo.php?workbook=14_02.xlsx&amp;sheet=U0&amp;row=1192&amp;col=6&amp;number=3.8&amp;sourceID=14","3.8")</f>
        <v>3.8</v>
      </c>
      <c r="G1192" s="4" t="str">
        <f>HYPERLINK("http://141.218.60.56/~jnz1568/getInfo.php?workbook=14_02.xlsx&amp;sheet=U0&amp;row=1192&amp;col=7&amp;number=0.0193&amp;sourceID=14","0.0193")</f>
        <v>0.0193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HYPERLINK("http://141.218.60.56/~jnz1568/getInfo.php?workbook=14_02.xlsx&amp;sheet=U0&amp;row=1193&amp;col=6&amp;number=3.9&amp;sourceID=14","3.9")</f>
        <v>3.9</v>
      </c>
      <c r="G1193" s="4" t="str">
        <f>HYPERLINK("http://141.218.60.56/~jnz1568/getInfo.php?workbook=14_02.xlsx&amp;sheet=U0&amp;row=1193&amp;col=7&amp;number=0.0193&amp;sourceID=14","0.0193")</f>
        <v>0.0193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HYPERLINK("http://141.218.60.56/~jnz1568/getInfo.php?workbook=14_02.xlsx&amp;sheet=U0&amp;row=1194&amp;col=6&amp;number=4&amp;sourceID=14","4")</f>
        <v>4</v>
      </c>
      <c r="G1194" s="4" t="str">
        <f>HYPERLINK("http://141.218.60.56/~jnz1568/getInfo.php?workbook=14_02.xlsx&amp;sheet=U0&amp;row=1194&amp;col=7&amp;number=0.0193&amp;sourceID=14","0.0193")</f>
        <v>0.0193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HYPERLINK("http://141.218.60.56/~jnz1568/getInfo.php?workbook=14_02.xlsx&amp;sheet=U0&amp;row=1195&amp;col=6&amp;number=4.1&amp;sourceID=14","4.1")</f>
        <v>4.1</v>
      </c>
      <c r="G1195" s="4" t="str">
        <f>HYPERLINK("http://141.218.60.56/~jnz1568/getInfo.php?workbook=14_02.xlsx&amp;sheet=U0&amp;row=1195&amp;col=7&amp;number=0.0193&amp;sourceID=14","0.0193")</f>
        <v>0.0193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HYPERLINK("http://141.218.60.56/~jnz1568/getInfo.php?workbook=14_02.xlsx&amp;sheet=U0&amp;row=1196&amp;col=6&amp;number=4.2&amp;sourceID=14","4.2")</f>
        <v>4.2</v>
      </c>
      <c r="G1196" s="4" t="str">
        <f>HYPERLINK("http://141.218.60.56/~jnz1568/getInfo.php?workbook=14_02.xlsx&amp;sheet=U0&amp;row=1196&amp;col=7&amp;number=0.0193&amp;sourceID=14","0.0193")</f>
        <v>0.0193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HYPERLINK("http://141.218.60.56/~jnz1568/getInfo.php?workbook=14_02.xlsx&amp;sheet=U0&amp;row=1197&amp;col=6&amp;number=4.3&amp;sourceID=14","4.3")</f>
        <v>4.3</v>
      </c>
      <c r="G1197" s="4" t="str">
        <f>HYPERLINK("http://141.218.60.56/~jnz1568/getInfo.php?workbook=14_02.xlsx&amp;sheet=U0&amp;row=1197&amp;col=7&amp;number=0.0193&amp;sourceID=14","0.0193")</f>
        <v>0.0193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HYPERLINK("http://141.218.60.56/~jnz1568/getInfo.php?workbook=14_02.xlsx&amp;sheet=U0&amp;row=1198&amp;col=6&amp;number=4.4&amp;sourceID=14","4.4")</f>
        <v>4.4</v>
      </c>
      <c r="G1198" s="4" t="str">
        <f>HYPERLINK("http://141.218.60.56/~jnz1568/getInfo.php?workbook=14_02.xlsx&amp;sheet=U0&amp;row=1198&amp;col=7&amp;number=0.0194&amp;sourceID=14","0.0194")</f>
        <v>0.0194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HYPERLINK("http://141.218.60.56/~jnz1568/getInfo.php?workbook=14_02.xlsx&amp;sheet=U0&amp;row=1199&amp;col=6&amp;number=4.5&amp;sourceID=14","4.5")</f>
        <v>4.5</v>
      </c>
      <c r="G1199" s="4" t="str">
        <f>HYPERLINK("http://141.218.60.56/~jnz1568/getInfo.php?workbook=14_02.xlsx&amp;sheet=U0&amp;row=1199&amp;col=7&amp;number=0.0194&amp;sourceID=14","0.0194")</f>
        <v>0.0194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HYPERLINK("http://141.218.60.56/~jnz1568/getInfo.php?workbook=14_02.xlsx&amp;sheet=U0&amp;row=1200&amp;col=6&amp;number=4.6&amp;sourceID=14","4.6")</f>
        <v>4.6</v>
      </c>
      <c r="G1200" s="4" t="str">
        <f>HYPERLINK("http://141.218.60.56/~jnz1568/getInfo.php?workbook=14_02.xlsx&amp;sheet=U0&amp;row=1200&amp;col=7&amp;number=0.0194&amp;sourceID=14","0.0194")</f>
        <v>0.0194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HYPERLINK("http://141.218.60.56/~jnz1568/getInfo.php?workbook=14_02.xlsx&amp;sheet=U0&amp;row=1201&amp;col=6&amp;number=4.7&amp;sourceID=14","4.7")</f>
        <v>4.7</v>
      </c>
      <c r="G1201" s="4" t="str">
        <f>HYPERLINK("http://141.218.60.56/~jnz1568/getInfo.php?workbook=14_02.xlsx&amp;sheet=U0&amp;row=1201&amp;col=7&amp;number=0.0194&amp;sourceID=14","0.0194")</f>
        <v>0.0194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HYPERLINK("http://141.218.60.56/~jnz1568/getInfo.php?workbook=14_02.xlsx&amp;sheet=U0&amp;row=1202&amp;col=6&amp;number=4.8&amp;sourceID=14","4.8")</f>
        <v>4.8</v>
      </c>
      <c r="G1202" s="4" t="str">
        <f>HYPERLINK("http://141.218.60.56/~jnz1568/getInfo.php?workbook=14_02.xlsx&amp;sheet=U0&amp;row=1202&amp;col=7&amp;number=0.0194&amp;sourceID=14","0.0194")</f>
        <v>0.0194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HYPERLINK("http://141.218.60.56/~jnz1568/getInfo.php?workbook=14_02.xlsx&amp;sheet=U0&amp;row=1203&amp;col=6&amp;number=4.9&amp;sourceID=14","4.9")</f>
        <v>4.9</v>
      </c>
      <c r="G1203" s="4" t="str">
        <f>HYPERLINK("http://141.218.60.56/~jnz1568/getInfo.php?workbook=14_02.xlsx&amp;sheet=U0&amp;row=1203&amp;col=7&amp;number=0.0194&amp;sourceID=14","0.0194")</f>
        <v>0.0194</v>
      </c>
    </row>
    <row r="1204" spans="1:7">
      <c r="A1204" s="3">
        <v>14</v>
      </c>
      <c r="B1204" s="3">
        <v>2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HYPERLINK("http://141.218.60.56/~jnz1568/getInfo.php?workbook=14_02.xlsx&amp;sheet=U0&amp;row=1204&amp;col=6&amp;number=3&amp;sourceID=14","3")</f>
        <v>3</v>
      </c>
      <c r="G1204" s="4" t="str">
        <f>HYPERLINK("http://141.218.60.56/~jnz1568/getInfo.php?workbook=14_02.xlsx&amp;sheet=U0&amp;row=1204&amp;col=7&amp;number=0.0418&amp;sourceID=14","0.0418")</f>
        <v>0.0418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HYPERLINK("http://141.218.60.56/~jnz1568/getInfo.php?workbook=14_02.xlsx&amp;sheet=U0&amp;row=1205&amp;col=6&amp;number=3.1&amp;sourceID=14","3.1")</f>
        <v>3.1</v>
      </c>
      <c r="G1205" s="4" t="str">
        <f>HYPERLINK("http://141.218.60.56/~jnz1568/getInfo.php?workbook=14_02.xlsx&amp;sheet=U0&amp;row=1205&amp;col=7&amp;number=0.0418&amp;sourceID=14","0.0418")</f>
        <v>0.0418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HYPERLINK("http://141.218.60.56/~jnz1568/getInfo.php?workbook=14_02.xlsx&amp;sheet=U0&amp;row=1206&amp;col=6&amp;number=3.2&amp;sourceID=14","3.2")</f>
        <v>3.2</v>
      </c>
      <c r="G1206" s="4" t="str">
        <f>HYPERLINK("http://141.218.60.56/~jnz1568/getInfo.php?workbook=14_02.xlsx&amp;sheet=U0&amp;row=1206&amp;col=7&amp;number=0.0418&amp;sourceID=14","0.0418")</f>
        <v>0.0418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HYPERLINK("http://141.218.60.56/~jnz1568/getInfo.php?workbook=14_02.xlsx&amp;sheet=U0&amp;row=1207&amp;col=6&amp;number=3.3&amp;sourceID=14","3.3")</f>
        <v>3.3</v>
      </c>
      <c r="G1207" s="4" t="str">
        <f>HYPERLINK("http://141.218.60.56/~jnz1568/getInfo.php?workbook=14_02.xlsx&amp;sheet=U0&amp;row=1207&amp;col=7&amp;number=0.0418&amp;sourceID=14","0.0418")</f>
        <v>0.0418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HYPERLINK("http://141.218.60.56/~jnz1568/getInfo.php?workbook=14_02.xlsx&amp;sheet=U0&amp;row=1208&amp;col=6&amp;number=3.4&amp;sourceID=14","3.4")</f>
        <v>3.4</v>
      </c>
      <c r="G1208" s="4" t="str">
        <f>HYPERLINK("http://141.218.60.56/~jnz1568/getInfo.php?workbook=14_02.xlsx&amp;sheet=U0&amp;row=1208&amp;col=7&amp;number=0.0418&amp;sourceID=14","0.0418")</f>
        <v>0.0418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HYPERLINK("http://141.218.60.56/~jnz1568/getInfo.php?workbook=14_02.xlsx&amp;sheet=U0&amp;row=1209&amp;col=6&amp;number=3.5&amp;sourceID=14","3.5")</f>
        <v>3.5</v>
      </c>
      <c r="G1209" s="4" t="str">
        <f>HYPERLINK("http://141.218.60.56/~jnz1568/getInfo.php?workbook=14_02.xlsx&amp;sheet=U0&amp;row=1209&amp;col=7&amp;number=0.0418&amp;sourceID=14","0.0418")</f>
        <v>0.0418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HYPERLINK("http://141.218.60.56/~jnz1568/getInfo.php?workbook=14_02.xlsx&amp;sheet=U0&amp;row=1210&amp;col=6&amp;number=3.6&amp;sourceID=14","3.6")</f>
        <v>3.6</v>
      </c>
      <c r="G1210" s="4" t="str">
        <f>HYPERLINK("http://141.218.60.56/~jnz1568/getInfo.php?workbook=14_02.xlsx&amp;sheet=U0&amp;row=1210&amp;col=7&amp;number=0.0418&amp;sourceID=14","0.0418")</f>
        <v>0.0418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HYPERLINK("http://141.218.60.56/~jnz1568/getInfo.php?workbook=14_02.xlsx&amp;sheet=U0&amp;row=1211&amp;col=6&amp;number=3.7&amp;sourceID=14","3.7")</f>
        <v>3.7</v>
      </c>
      <c r="G1211" s="4" t="str">
        <f>HYPERLINK("http://141.218.60.56/~jnz1568/getInfo.php?workbook=14_02.xlsx&amp;sheet=U0&amp;row=1211&amp;col=7&amp;number=0.0418&amp;sourceID=14","0.0418")</f>
        <v>0.0418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HYPERLINK("http://141.218.60.56/~jnz1568/getInfo.php?workbook=14_02.xlsx&amp;sheet=U0&amp;row=1212&amp;col=6&amp;number=3.8&amp;sourceID=14","3.8")</f>
        <v>3.8</v>
      </c>
      <c r="G1212" s="4" t="str">
        <f>HYPERLINK("http://141.218.60.56/~jnz1568/getInfo.php?workbook=14_02.xlsx&amp;sheet=U0&amp;row=1212&amp;col=7&amp;number=0.0418&amp;sourceID=14","0.0418")</f>
        <v>0.0418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HYPERLINK("http://141.218.60.56/~jnz1568/getInfo.php?workbook=14_02.xlsx&amp;sheet=U0&amp;row=1213&amp;col=6&amp;number=3.9&amp;sourceID=14","3.9")</f>
        <v>3.9</v>
      </c>
      <c r="G1213" s="4" t="str">
        <f>HYPERLINK("http://141.218.60.56/~jnz1568/getInfo.php?workbook=14_02.xlsx&amp;sheet=U0&amp;row=1213&amp;col=7&amp;number=0.0418&amp;sourceID=14","0.0418")</f>
        <v>0.0418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HYPERLINK("http://141.218.60.56/~jnz1568/getInfo.php?workbook=14_02.xlsx&amp;sheet=U0&amp;row=1214&amp;col=6&amp;number=4&amp;sourceID=14","4")</f>
        <v>4</v>
      </c>
      <c r="G1214" s="4" t="str">
        <f>HYPERLINK("http://141.218.60.56/~jnz1568/getInfo.php?workbook=14_02.xlsx&amp;sheet=U0&amp;row=1214&amp;col=7&amp;number=0.0418&amp;sourceID=14","0.0418")</f>
        <v>0.0418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HYPERLINK("http://141.218.60.56/~jnz1568/getInfo.php?workbook=14_02.xlsx&amp;sheet=U0&amp;row=1215&amp;col=6&amp;number=4.1&amp;sourceID=14","4.1")</f>
        <v>4.1</v>
      </c>
      <c r="G1215" s="4" t="str">
        <f>HYPERLINK("http://141.218.60.56/~jnz1568/getInfo.php?workbook=14_02.xlsx&amp;sheet=U0&amp;row=1215&amp;col=7&amp;number=0.0418&amp;sourceID=14","0.0418")</f>
        <v>0.0418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HYPERLINK("http://141.218.60.56/~jnz1568/getInfo.php?workbook=14_02.xlsx&amp;sheet=U0&amp;row=1216&amp;col=6&amp;number=4.2&amp;sourceID=14","4.2")</f>
        <v>4.2</v>
      </c>
      <c r="G1216" s="4" t="str">
        <f>HYPERLINK("http://141.218.60.56/~jnz1568/getInfo.php?workbook=14_02.xlsx&amp;sheet=U0&amp;row=1216&amp;col=7&amp;number=0.0418&amp;sourceID=14","0.0418")</f>
        <v>0.0418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HYPERLINK("http://141.218.60.56/~jnz1568/getInfo.php?workbook=14_02.xlsx&amp;sheet=U0&amp;row=1217&amp;col=6&amp;number=4.3&amp;sourceID=14","4.3")</f>
        <v>4.3</v>
      </c>
      <c r="G1217" s="4" t="str">
        <f>HYPERLINK("http://141.218.60.56/~jnz1568/getInfo.php?workbook=14_02.xlsx&amp;sheet=U0&amp;row=1217&amp;col=7&amp;number=0.0418&amp;sourceID=14","0.0418")</f>
        <v>0.0418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HYPERLINK("http://141.218.60.56/~jnz1568/getInfo.php?workbook=14_02.xlsx&amp;sheet=U0&amp;row=1218&amp;col=6&amp;number=4.4&amp;sourceID=14","4.4")</f>
        <v>4.4</v>
      </c>
      <c r="G1218" s="4" t="str">
        <f>HYPERLINK("http://141.218.60.56/~jnz1568/getInfo.php?workbook=14_02.xlsx&amp;sheet=U0&amp;row=1218&amp;col=7&amp;number=0.0418&amp;sourceID=14","0.0418")</f>
        <v>0.0418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HYPERLINK("http://141.218.60.56/~jnz1568/getInfo.php?workbook=14_02.xlsx&amp;sheet=U0&amp;row=1219&amp;col=6&amp;number=4.5&amp;sourceID=14","4.5")</f>
        <v>4.5</v>
      </c>
      <c r="G1219" s="4" t="str">
        <f>HYPERLINK("http://141.218.60.56/~jnz1568/getInfo.php?workbook=14_02.xlsx&amp;sheet=U0&amp;row=1219&amp;col=7&amp;number=0.0419&amp;sourceID=14","0.0419")</f>
        <v>0.0419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HYPERLINK("http://141.218.60.56/~jnz1568/getInfo.php?workbook=14_02.xlsx&amp;sheet=U0&amp;row=1220&amp;col=6&amp;number=4.6&amp;sourceID=14","4.6")</f>
        <v>4.6</v>
      </c>
      <c r="G1220" s="4" t="str">
        <f>HYPERLINK("http://141.218.60.56/~jnz1568/getInfo.php?workbook=14_02.xlsx&amp;sheet=U0&amp;row=1220&amp;col=7&amp;number=0.0419&amp;sourceID=14","0.0419")</f>
        <v>0.0419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HYPERLINK("http://141.218.60.56/~jnz1568/getInfo.php?workbook=14_02.xlsx&amp;sheet=U0&amp;row=1221&amp;col=6&amp;number=4.7&amp;sourceID=14","4.7")</f>
        <v>4.7</v>
      </c>
      <c r="G1221" s="4" t="str">
        <f>HYPERLINK("http://141.218.60.56/~jnz1568/getInfo.php?workbook=14_02.xlsx&amp;sheet=U0&amp;row=1221&amp;col=7&amp;number=0.0419&amp;sourceID=14","0.0419")</f>
        <v>0.0419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HYPERLINK("http://141.218.60.56/~jnz1568/getInfo.php?workbook=14_02.xlsx&amp;sheet=U0&amp;row=1222&amp;col=6&amp;number=4.8&amp;sourceID=14","4.8")</f>
        <v>4.8</v>
      </c>
      <c r="G1222" s="4" t="str">
        <f>HYPERLINK("http://141.218.60.56/~jnz1568/getInfo.php?workbook=14_02.xlsx&amp;sheet=U0&amp;row=1222&amp;col=7&amp;number=0.0419&amp;sourceID=14","0.0419")</f>
        <v>0.0419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HYPERLINK("http://141.218.60.56/~jnz1568/getInfo.php?workbook=14_02.xlsx&amp;sheet=U0&amp;row=1223&amp;col=6&amp;number=4.9&amp;sourceID=14","4.9")</f>
        <v>4.9</v>
      </c>
      <c r="G1223" s="4" t="str">
        <f>HYPERLINK("http://141.218.60.56/~jnz1568/getInfo.php?workbook=14_02.xlsx&amp;sheet=U0&amp;row=1223&amp;col=7&amp;number=0.042&amp;sourceID=14","0.042")</f>
        <v>0.042</v>
      </c>
    </row>
    <row r="1224" spans="1:7">
      <c r="A1224" s="3">
        <v>14</v>
      </c>
      <c r="B1224" s="3">
        <v>2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HYPERLINK("http://141.218.60.56/~jnz1568/getInfo.php?workbook=14_02.xlsx&amp;sheet=U0&amp;row=1224&amp;col=6&amp;number=3&amp;sourceID=14","3")</f>
        <v>3</v>
      </c>
      <c r="G1224" s="4" t="str">
        <f>HYPERLINK("http://141.218.60.56/~jnz1568/getInfo.php?workbook=14_02.xlsx&amp;sheet=U0&amp;row=1224&amp;col=7&amp;number=0.0631&amp;sourceID=14","0.0631")</f>
        <v>0.0631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HYPERLINK("http://141.218.60.56/~jnz1568/getInfo.php?workbook=14_02.xlsx&amp;sheet=U0&amp;row=1225&amp;col=6&amp;number=3.1&amp;sourceID=14","3.1")</f>
        <v>3.1</v>
      </c>
      <c r="G1225" s="4" t="str">
        <f>HYPERLINK("http://141.218.60.56/~jnz1568/getInfo.php?workbook=14_02.xlsx&amp;sheet=U0&amp;row=1225&amp;col=7&amp;number=0.0631&amp;sourceID=14","0.0631")</f>
        <v>0.0631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HYPERLINK("http://141.218.60.56/~jnz1568/getInfo.php?workbook=14_02.xlsx&amp;sheet=U0&amp;row=1226&amp;col=6&amp;number=3.2&amp;sourceID=14","3.2")</f>
        <v>3.2</v>
      </c>
      <c r="G1226" s="4" t="str">
        <f>HYPERLINK("http://141.218.60.56/~jnz1568/getInfo.php?workbook=14_02.xlsx&amp;sheet=U0&amp;row=1226&amp;col=7&amp;number=0.0631&amp;sourceID=14","0.0631")</f>
        <v>0.0631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HYPERLINK("http://141.218.60.56/~jnz1568/getInfo.php?workbook=14_02.xlsx&amp;sheet=U0&amp;row=1227&amp;col=6&amp;number=3.3&amp;sourceID=14","3.3")</f>
        <v>3.3</v>
      </c>
      <c r="G1227" s="4" t="str">
        <f>HYPERLINK("http://141.218.60.56/~jnz1568/getInfo.php?workbook=14_02.xlsx&amp;sheet=U0&amp;row=1227&amp;col=7&amp;number=0.0631&amp;sourceID=14","0.0631")</f>
        <v>0.0631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HYPERLINK("http://141.218.60.56/~jnz1568/getInfo.php?workbook=14_02.xlsx&amp;sheet=U0&amp;row=1228&amp;col=6&amp;number=3.4&amp;sourceID=14","3.4")</f>
        <v>3.4</v>
      </c>
      <c r="G1228" s="4" t="str">
        <f>HYPERLINK("http://141.218.60.56/~jnz1568/getInfo.php?workbook=14_02.xlsx&amp;sheet=U0&amp;row=1228&amp;col=7&amp;number=0.0631&amp;sourceID=14","0.0631")</f>
        <v>0.0631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HYPERLINK("http://141.218.60.56/~jnz1568/getInfo.php?workbook=14_02.xlsx&amp;sheet=U0&amp;row=1229&amp;col=6&amp;number=3.5&amp;sourceID=14","3.5")</f>
        <v>3.5</v>
      </c>
      <c r="G1229" s="4" t="str">
        <f>HYPERLINK("http://141.218.60.56/~jnz1568/getInfo.php?workbook=14_02.xlsx&amp;sheet=U0&amp;row=1229&amp;col=7&amp;number=0.0631&amp;sourceID=14","0.0631")</f>
        <v>0.0631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HYPERLINK("http://141.218.60.56/~jnz1568/getInfo.php?workbook=14_02.xlsx&amp;sheet=U0&amp;row=1230&amp;col=6&amp;number=3.6&amp;sourceID=14","3.6")</f>
        <v>3.6</v>
      </c>
      <c r="G1230" s="4" t="str">
        <f>HYPERLINK("http://141.218.60.56/~jnz1568/getInfo.php?workbook=14_02.xlsx&amp;sheet=U0&amp;row=1230&amp;col=7&amp;number=0.0631&amp;sourceID=14","0.0631")</f>
        <v>0.0631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HYPERLINK("http://141.218.60.56/~jnz1568/getInfo.php?workbook=14_02.xlsx&amp;sheet=U0&amp;row=1231&amp;col=6&amp;number=3.7&amp;sourceID=14","3.7")</f>
        <v>3.7</v>
      </c>
      <c r="G1231" s="4" t="str">
        <f>HYPERLINK("http://141.218.60.56/~jnz1568/getInfo.php?workbook=14_02.xlsx&amp;sheet=U0&amp;row=1231&amp;col=7&amp;number=0.0631&amp;sourceID=14","0.0631")</f>
        <v>0.0631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HYPERLINK("http://141.218.60.56/~jnz1568/getInfo.php?workbook=14_02.xlsx&amp;sheet=U0&amp;row=1232&amp;col=6&amp;number=3.8&amp;sourceID=14","3.8")</f>
        <v>3.8</v>
      </c>
      <c r="G1232" s="4" t="str">
        <f>HYPERLINK("http://141.218.60.56/~jnz1568/getInfo.php?workbook=14_02.xlsx&amp;sheet=U0&amp;row=1232&amp;col=7&amp;number=0.0631&amp;sourceID=14","0.0631")</f>
        <v>0.0631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HYPERLINK("http://141.218.60.56/~jnz1568/getInfo.php?workbook=14_02.xlsx&amp;sheet=U0&amp;row=1233&amp;col=6&amp;number=3.9&amp;sourceID=14","3.9")</f>
        <v>3.9</v>
      </c>
      <c r="G1233" s="4" t="str">
        <f>HYPERLINK("http://141.218.60.56/~jnz1568/getInfo.php?workbook=14_02.xlsx&amp;sheet=U0&amp;row=1233&amp;col=7&amp;number=0.0632&amp;sourceID=14","0.0632")</f>
        <v>0.0632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HYPERLINK("http://141.218.60.56/~jnz1568/getInfo.php?workbook=14_02.xlsx&amp;sheet=U0&amp;row=1234&amp;col=6&amp;number=4&amp;sourceID=14","4")</f>
        <v>4</v>
      </c>
      <c r="G1234" s="4" t="str">
        <f>HYPERLINK("http://141.218.60.56/~jnz1568/getInfo.php?workbook=14_02.xlsx&amp;sheet=U0&amp;row=1234&amp;col=7&amp;number=0.0632&amp;sourceID=14","0.0632")</f>
        <v>0.0632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HYPERLINK("http://141.218.60.56/~jnz1568/getInfo.php?workbook=14_02.xlsx&amp;sheet=U0&amp;row=1235&amp;col=6&amp;number=4.1&amp;sourceID=14","4.1")</f>
        <v>4.1</v>
      </c>
      <c r="G1235" s="4" t="str">
        <f>HYPERLINK("http://141.218.60.56/~jnz1568/getInfo.php?workbook=14_02.xlsx&amp;sheet=U0&amp;row=1235&amp;col=7&amp;number=0.0632&amp;sourceID=14","0.0632")</f>
        <v>0.0632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HYPERLINK("http://141.218.60.56/~jnz1568/getInfo.php?workbook=14_02.xlsx&amp;sheet=U0&amp;row=1236&amp;col=6&amp;number=4.2&amp;sourceID=14","4.2")</f>
        <v>4.2</v>
      </c>
      <c r="G1236" s="4" t="str">
        <f>HYPERLINK("http://141.218.60.56/~jnz1568/getInfo.php?workbook=14_02.xlsx&amp;sheet=U0&amp;row=1236&amp;col=7&amp;number=0.0632&amp;sourceID=14","0.0632")</f>
        <v>0.0632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HYPERLINK("http://141.218.60.56/~jnz1568/getInfo.php?workbook=14_02.xlsx&amp;sheet=U0&amp;row=1237&amp;col=6&amp;number=4.3&amp;sourceID=14","4.3")</f>
        <v>4.3</v>
      </c>
      <c r="G1237" s="4" t="str">
        <f>HYPERLINK("http://141.218.60.56/~jnz1568/getInfo.php?workbook=14_02.xlsx&amp;sheet=U0&amp;row=1237&amp;col=7&amp;number=0.0632&amp;sourceID=14","0.0632")</f>
        <v>0.0632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HYPERLINK("http://141.218.60.56/~jnz1568/getInfo.php?workbook=14_02.xlsx&amp;sheet=U0&amp;row=1238&amp;col=6&amp;number=4.4&amp;sourceID=14","4.4")</f>
        <v>4.4</v>
      </c>
      <c r="G1238" s="4" t="str">
        <f>HYPERLINK("http://141.218.60.56/~jnz1568/getInfo.php?workbook=14_02.xlsx&amp;sheet=U0&amp;row=1238&amp;col=7&amp;number=0.0632&amp;sourceID=14","0.0632")</f>
        <v>0.0632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HYPERLINK("http://141.218.60.56/~jnz1568/getInfo.php?workbook=14_02.xlsx&amp;sheet=U0&amp;row=1239&amp;col=6&amp;number=4.5&amp;sourceID=14","4.5")</f>
        <v>4.5</v>
      </c>
      <c r="G1239" s="4" t="str">
        <f>HYPERLINK("http://141.218.60.56/~jnz1568/getInfo.php?workbook=14_02.xlsx&amp;sheet=U0&amp;row=1239&amp;col=7&amp;number=0.0633&amp;sourceID=14","0.0633")</f>
        <v>0.0633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HYPERLINK("http://141.218.60.56/~jnz1568/getInfo.php?workbook=14_02.xlsx&amp;sheet=U0&amp;row=1240&amp;col=6&amp;number=4.6&amp;sourceID=14","4.6")</f>
        <v>4.6</v>
      </c>
      <c r="G1240" s="4" t="str">
        <f>HYPERLINK("http://141.218.60.56/~jnz1568/getInfo.php?workbook=14_02.xlsx&amp;sheet=U0&amp;row=1240&amp;col=7&amp;number=0.0633&amp;sourceID=14","0.0633")</f>
        <v>0.0633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HYPERLINK("http://141.218.60.56/~jnz1568/getInfo.php?workbook=14_02.xlsx&amp;sheet=U0&amp;row=1241&amp;col=6&amp;number=4.7&amp;sourceID=14","4.7")</f>
        <v>4.7</v>
      </c>
      <c r="G1241" s="4" t="str">
        <f>HYPERLINK("http://141.218.60.56/~jnz1568/getInfo.php?workbook=14_02.xlsx&amp;sheet=U0&amp;row=1241&amp;col=7&amp;number=0.0633&amp;sourceID=14","0.0633")</f>
        <v>0.0633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HYPERLINK("http://141.218.60.56/~jnz1568/getInfo.php?workbook=14_02.xlsx&amp;sheet=U0&amp;row=1242&amp;col=6&amp;number=4.8&amp;sourceID=14","4.8")</f>
        <v>4.8</v>
      </c>
      <c r="G1242" s="4" t="str">
        <f>HYPERLINK("http://141.218.60.56/~jnz1568/getInfo.php?workbook=14_02.xlsx&amp;sheet=U0&amp;row=1242&amp;col=7&amp;number=0.0634&amp;sourceID=14","0.0634")</f>
        <v>0.0634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HYPERLINK("http://141.218.60.56/~jnz1568/getInfo.php?workbook=14_02.xlsx&amp;sheet=U0&amp;row=1243&amp;col=6&amp;number=4.9&amp;sourceID=14","4.9")</f>
        <v>4.9</v>
      </c>
      <c r="G1243" s="4" t="str">
        <f>HYPERLINK("http://141.218.60.56/~jnz1568/getInfo.php?workbook=14_02.xlsx&amp;sheet=U0&amp;row=1243&amp;col=7&amp;number=0.0634&amp;sourceID=14","0.0634")</f>
        <v>0.0634</v>
      </c>
    </row>
    <row r="1244" spans="1:7">
      <c r="A1244" s="3">
        <v>14</v>
      </c>
      <c r="B1244" s="3">
        <v>2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HYPERLINK("http://141.218.60.56/~jnz1568/getInfo.php?workbook=14_02.xlsx&amp;sheet=U0&amp;row=1244&amp;col=6&amp;number=3&amp;sourceID=14","3")</f>
        <v>3</v>
      </c>
      <c r="G1244" s="4" t="str">
        <f>HYPERLINK("http://141.218.60.56/~jnz1568/getInfo.php?workbook=14_02.xlsx&amp;sheet=U0&amp;row=1244&amp;col=7&amp;number=0.016&amp;sourceID=14","0.016")</f>
        <v>0.016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HYPERLINK("http://141.218.60.56/~jnz1568/getInfo.php?workbook=14_02.xlsx&amp;sheet=U0&amp;row=1245&amp;col=6&amp;number=3.1&amp;sourceID=14","3.1")</f>
        <v>3.1</v>
      </c>
      <c r="G1245" s="4" t="str">
        <f>HYPERLINK("http://141.218.60.56/~jnz1568/getInfo.php?workbook=14_02.xlsx&amp;sheet=U0&amp;row=1245&amp;col=7&amp;number=0.016&amp;sourceID=14","0.016")</f>
        <v>0.016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HYPERLINK("http://141.218.60.56/~jnz1568/getInfo.php?workbook=14_02.xlsx&amp;sheet=U0&amp;row=1246&amp;col=6&amp;number=3.2&amp;sourceID=14","3.2")</f>
        <v>3.2</v>
      </c>
      <c r="G1246" s="4" t="str">
        <f>HYPERLINK("http://141.218.60.56/~jnz1568/getInfo.php?workbook=14_02.xlsx&amp;sheet=U0&amp;row=1246&amp;col=7&amp;number=0.016&amp;sourceID=14","0.016")</f>
        <v>0.016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HYPERLINK("http://141.218.60.56/~jnz1568/getInfo.php?workbook=14_02.xlsx&amp;sheet=U0&amp;row=1247&amp;col=6&amp;number=3.3&amp;sourceID=14","3.3")</f>
        <v>3.3</v>
      </c>
      <c r="G1247" s="4" t="str">
        <f>HYPERLINK("http://141.218.60.56/~jnz1568/getInfo.php?workbook=14_02.xlsx&amp;sheet=U0&amp;row=1247&amp;col=7&amp;number=0.016&amp;sourceID=14","0.016")</f>
        <v>0.016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HYPERLINK("http://141.218.60.56/~jnz1568/getInfo.php?workbook=14_02.xlsx&amp;sheet=U0&amp;row=1248&amp;col=6&amp;number=3.4&amp;sourceID=14","3.4")</f>
        <v>3.4</v>
      </c>
      <c r="G1248" s="4" t="str">
        <f>HYPERLINK("http://141.218.60.56/~jnz1568/getInfo.php?workbook=14_02.xlsx&amp;sheet=U0&amp;row=1248&amp;col=7&amp;number=0.016&amp;sourceID=14","0.016")</f>
        <v>0.016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HYPERLINK("http://141.218.60.56/~jnz1568/getInfo.php?workbook=14_02.xlsx&amp;sheet=U0&amp;row=1249&amp;col=6&amp;number=3.5&amp;sourceID=14","3.5")</f>
        <v>3.5</v>
      </c>
      <c r="G1249" s="4" t="str">
        <f>HYPERLINK("http://141.218.60.56/~jnz1568/getInfo.php?workbook=14_02.xlsx&amp;sheet=U0&amp;row=1249&amp;col=7&amp;number=0.016&amp;sourceID=14","0.016")</f>
        <v>0.016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HYPERLINK("http://141.218.60.56/~jnz1568/getInfo.php?workbook=14_02.xlsx&amp;sheet=U0&amp;row=1250&amp;col=6&amp;number=3.6&amp;sourceID=14","3.6")</f>
        <v>3.6</v>
      </c>
      <c r="G1250" s="4" t="str">
        <f>HYPERLINK("http://141.218.60.56/~jnz1568/getInfo.php?workbook=14_02.xlsx&amp;sheet=U0&amp;row=1250&amp;col=7&amp;number=0.016&amp;sourceID=14","0.016")</f>
        <v>0.016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HYPERLINK("http://141.218.60.56/~jnz1568/getInfo.php?workbook=14_02.xlsx&amp;sheet=U0&amp;row=1251&amp;col=6&amp;number=3.7&amp;sourceID=14","3.7")</f>
        <v>3.7</v>
      </c>
      <c r="G1251" s="4" t="str">
        <f>HYPERLINK("http://141.218.60.56/~jnz1568/getInfo.php?workbook=14_02.xlsx&amp;sheet=U0&amp;row=1251&amp;col=7&amp;number=0.016&amp;sourceID=14","0.016")</f>
        <v>0.016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HYPERLINK("http://141.218.60.56/~jnz1568/getInfo.php?workbook=14_02.xlsx&amp;sheet=U0&amp;row=1252&amp;col=6&amp;number=3.8&amp;sourceID=14","3.8")</f>
        <v>3.8</v>
      </c>
      <c r="G1252" s="4" t="str">
        <f>HYPERLINK("http://141.218.60.56/~jnz1568/getInfo.php?workbook=14_02.xlsx&amp;sheet=U0&amp;row=1252&amp;col=7&amp;number=0.016&amp;sourceID=14","0.016")</f>
        <v>0.016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HYPERLINK("http://141.218.60.56/~jnz1568/getInfo.php?workbook=14_02.xlsx&amp;sheet=U0&amp;row=1253&amp;col=6&amp;number=3.9&amp;sourceID=14","3.9")</f>
        <v>3.9</v>
      </c>
      <c r="G1253" s="4" t="str">
        <f>HYPERLINK("http://141.218.60.56/~jnz1568/getInfo.php?workbook=14_02.xlsx&amp;sheet=U0&amp;row=1253&amp;col=7&amp;number=0.016&amp;sourceID=14","0.016")</f>
        <v>0.016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HYPERLINK("http://141.218.60.56/~jnz1568/getInfo.php?workbook=14_02.xlsx&amp;sheet=U0&amp;row=1254&amp;col=6&amp;number=4&amp;sourceID=14","4")</f>
        <v>4</v>
      </c>
      <c r="G1254" s="4" t="str">
        <f>HYPERLINK("http://141.218.60.56/~jnz1568/getInfo.php?workbook=14_02.xlsx&amp;sheet=U0&amp;row=1254&amp;col=7&amp;number=0.016&amp;sourceID=14","0.016")</f>
        <v>0.016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HYPERLINK("http://141.218.60.56/~jnz1568/getInfo.php?workbook=14_02.xlsx&amp;sheet=U0&amp;row=1255&amp;col=6&amp;number=4.1&amp;sourceID=14","4.1")</f>
        <v>4.1</v>
      </c>
      <c r="G1255" s="4" t="str">
        <f>HYPERLINK("http://141.218.60.56/~jnz1568/getInfo.php?workbook=14_02.xlsx&amp;sheet=U0&amp;row=1255&amp;col=7&amp;number=0.016&amp;sourceID=14","0.016")</f>
        <v>0.016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HYPERLINK("http://141.218.60.56/~jnz1568/getInfo.php?workbook=14_02.xlsx&amp;sheet=U0&amp;row=1256&amp;col=6&amp;number=4.2&amp;sourceID=14","4.2")</f>
        <v>4.2</v>
      </c>
      <c r="G1256" s="4" t="str">
        <f>HYPERLINK("http://141.218.60.56/~jnz1568/getInfo.php?workbook=14_02.xlsx&amp;sheet=U0&amp;row=1256&amp;col=7&amp;number=0.016&amp;sourceID=14","0.016")</f>
        <v>0.016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HYPERLINK("http://141.218.60.56/~jnz1568/getInfo.php?workbook=14_02.xlsx&amp;sheet=U0&amp;row=1257&amp;col=6&amp;number=4.3&amp;sourceID=14","4.3")</f>
        <v>4.3</v>
      </c>
      <c r="G1257" s="4" t="str">
        <f>HYPERLINK("http://141.218.60.56/~jnz1568/getInfo.php?workbook=14_02.xlsx&amp;sheet=U0&amp;row=1257&amp;col=7&amp;number=0.0159&amp;sourceID=14","0.0159")</f>
        <v>0.0159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HYPERLINK("http://141.218.60.56/~jnz1568/getInfo.php?workbook=14_02.xlsx&amp;sheet=U0&amp;row=1258&amp;col=6&amp;number=4.4&amp;sourceID=14","4.4")</f>
        <v>4.4</v>
      </c>
      <c r="G1258" s="4" t="str">
        <f>HYPERLINK("http://141.218.60.56/~jnz1568/getInfo.php?workbook=14_02.xlsx&amp;sheet=U0&amp;row=1258&amp;col=7&amp;number=0.0159&amp;sourceID=14","0.0159")</f>
        <v>0.0159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HYPERLINK("http://141.218.60.56/~jnz1568/getInfo.php?workbook=14_02.xlsx&amp;sheet=U0&amp;row=1259&amp;col=6&amp;number=4.5&amp;sourceID=14","4.5")</f>
        <v>4.5</v>
      </c>
      <c r="G1259" s="4" t="str">
        <f>HYPERLINK("http://141.218.60.56/~jnz1568/getInfo.php?workbook=14_02.xlsx&amp;sheet=U0&amp;row=1259&amp;col=7&amp;number=0.0159&amp;sourceID=14","0.0159")</f>
        <v>0.0159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HYPERLINK("http://141.218.60.56/~jnz1568/getInfo.php?workbook=14_02.xlsx&amp;sheet=U0&amp;row=1260&amp;col=6&amp;number=4.6&amp;sourceID=14","4.6")</f>
        <v>4.6</v>
      </c>
      <c r="G1260" s="4" t="str">
        <f>HYPERLINK("http://141.218.60.56/~jnz1568/getInfo.php?workbook=14_02.xlsx&amp;sheet=U0&amp;row=1260&amp;col=7&amp;number=0.0159&amp;sourceID=14","0.0159")</f>
        <v>0.0159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HYPERLINK("http://141.218.60.56/~jnz1568/getInfo.php?workbook=14_02.xlsx&amp;sheet=U0&amp;row=1261&amp;col=6&amp;number=4.7&amp;sourceID=14","4.7")</f>
        <v>4.7</v>
      </c>
      <c r="G1261" s="4" t="str">
        <f>HYPERLINK("http://141.218.60.56/~jnz1568/getInfo.php?workbook=14_02.xlsx&amp;sheet=U0&amp;row=1261&amp;col=7&amp;number=0.0159&amp;sourceID=14","0.0159")</f>
        <v>0.0159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HYPERLINK("http://141.218.60.56/~jnz1568/getInfo.php?workbook=14_02.xlsx&amp;sheet=U0&amp;row=1262&amp;col=6&amp;number=4.8&amp;sourceID=14","4.8")</f>
        <v>4.8</v>
      </c>
      <c r="G1262" s="4" t="str">
        <f>HYPERLINK("http://141.218.60.56/~jnz1568/getInfo.php?workbook=14_02.xlsx&amp;sheet=U0&amp;row=1262&amp;col=7&amp;number=0.0159&amp;sourceID=14","0.0159")</f>
        <v>0.0159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HYPERLINK("http://141.218.60.56/~jnz1568/getInfo.php?workbook=14_02.xlsx&amp;sheet=U0&amp;row=1263&amp;col=6&amp;number=4.9&amp;sourceID=14","4.9")</f>
        <v>4.9</v>
      </c>
      <c r="G1263" s="4" t="str">
        <f>HYPERLINK("http://141.218.60.56/~jnz1568/getInfo.php?workbook=14_02.xlsx&amp;sheet=U0&amp;row=1263&amp;col=7&amp;number=0.0159&amp;sourceID=14","0.0159")</f>
        <v>0.0159</v>
      </c>
    </row>
    <row r="1264" spans="1:7">
      <c r="A1264" s="3">
        <v>14</v>
      </c>
      <c r="B1264" s="3">
        <v>2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HYPERLINK("http://141.218.60.56/~jnz1568/getInfo.php?workbook=14_02.xlsx&amp;sheet=U0&amp;row=1264&amp;col=6&amp;number=3&amp;sourceID=14","3")</f>
        <v>3</v>
      </c>
      <c r="G1264" s="4" t="str">
        <f>HYPERLINK("http://141.218.60.56/~jnz1568/getInfo.php?workbook=14_02.xlsx&amp;sheet=U0&amp;row=1264&amp;col=7&amp;number=0.0143&amp;sourceID=14","0.0143")</f>
        <v>0.0143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HYPERLINK("http://141.218.60.56/~jnz1568/getInfo.php?workbook=14_02.xlsx&amp;sheet=U0&amp;row=1265&amp;col=6&amp;number=3.1&amp;sourceID=14","3.1")</f>
        <v>3.1</v>
      </c>
      <c r="G1265" s="4" t="str">
        <f>HYPERLINK("http://141.218.60.56/~jnz1568/getInfo.php?workbook=14_02.xlsx&amp;sheet=U0&amp;row=1265&amp;col=7&amp;number=0.0143&amp;sourceID=14","0.0143")</f>
        <v>0.0143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HYPERLINK("http://141.218.60.56/~jnz1568/getInfo.php?workbook=14_02.xlsx&amp;sheet=U0&amp;row=1266&amp;col=6&amp;number=3.2&amp;sourceID=14","3.2")</f>
        <v>3.2</v>
      </c>
      <c r="G1266" s="4" t="str">
        <f>HYPERLINK("http://141.218.60.56/~jnz1568/getInfo.php?workbook=14_02.xlsx&amp;sheet=U0&amp;row=1266&amp;col=7&amp;number=0.0143&amp;sourceID=14","0.0143")</f>
        <v>0.0143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HYPERLINK("http://141.218.60.56/~jnz1568/getInfo.php?workbook=14_02.xlsx&amp;sheet=U0&amp;row=1267&amp;col=6&amp;number=3.3&amp;sourceID=14","3.3")</f>
        <v>3.3</v>
      </c>
      <c r="G1267" s="4" t="str">
        <f>HYPERLINK("http://141.218.60.56/~jnz1568/getInfo.php?workbook=14_02.xlsx&amp;sheet=U0&amp;row=1267&amp;col=7&amp;number=0.0143&amp;sourceID=14","0.0143")</f>
        <v>0.0143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HYPERLINK("http://141.218.60.56/~jnz1568/getInfo.php?workbook=14_02.xlsx&amp;sheet=U0&amp;row=1268&amp;col=6&amp;number=3.4&amp;sourceID=14","3.4")</f>
        <v>3.4</v>
      </c>
      <c r="G1268" s="4" t="str">
        <f>HYPERLINK("http://141.218.60.56/~jnz1568/getInfo.php?workbook=14_02.xlsx&amp;sheet=U0&amp;row=1268&amp;col=7&amp;number=0.0143&amp;sourceID=14","0.0143")</f>
        <v>0.0143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HYPERLINK("http://141.218.60.56/~jnz1568/getInfo.php?workbook=14_02.xlsx&amp;sheet=U0&amp;row=1269&amp;col=6&amp;number=3.5&amp;sourceID=14","3.5")</f>
        <v>3.5</v>
      </c>
      <c r="G1269" s="4" t="str">
        <f>HYPERLINK("http://141.218.60.56/~jnz1568/getInfo.php?workbook=14_02.xlsx&amp;sheet=U0&amp;row=1269&amp;col=7&amp;number=0.0143&amp;sourceID=14","0.0143")</f>
        <v>0.0143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HYPERLINK("http://141.218.60.56/~jnz1568/getInfo.php?workbook=14_02.xlsx&amp;sheet=U0&amp;row=1270&amp;col=6&amp;number=3.6&amp;sourceID=14","3.6")</f>
        <v>3.6</v>
      </c>
      <c r="G1270" s="4" t="str">
        <f>HYPERLINK("http://141.218.60.56/~jnz1568/getInfo.php?workbook=14_02.xlsx&amp;sheet=U0&amp;row=1270&amp;col=7&amp;number=0.0143&amp;sourceID=14","0.0143")</f>
        <v>0.0143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HYPERLINK("http://141.218.60.56/~jnz1568/getInfo.php?workbook=14_02.xlsx&amp;sheet=U0&amp;row=1271&amp;col=6&amp;number=3.7&amp;sourceID=14","3.7")</f>
        <v>3.7</v>
      </c>
      <c r="G1271" s="4" t="str">
        <f>HYPERLINK("http://141.218.60.56/~jnz1568/getInfo.php?workbook=14_02.xlsx&amp;sheet=U0&amp;row=1271&amp;col=7&amp;number=0.0143&amp;sourceID=14","0.0143")</f>
        <v>0.0143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HYPERLINK("http://141.218.60.56/~jnz1568/getInfo.php?workbook=14_02.xlsx&amp;sheet=U0&amp;row=1272&amp;col=6&amp;number=3.8&amp;sourceID=14","3.8")</f>
        <v>3.8</v>
      </c>
      <c r="G1272" s="4" t="str">
        <f>HYPERLINK("http://141.218.60.56/~jnz1568/getInfo.php?workbook=14_02.xlsx&amp;sheet=U0&amp;row=1272&amp;col=7&amp;number=0.0143&amp;sourceID=14","0.0143")</f>
        <v>0.0143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HYPERLINK("http://141.218.60.56/~jnz1568/getInfo.php?workbook=14_02.xlsx&amp;sheet=U0&amp;row=1273&amp;col=6&amp;number=3.9&amp;sourceID=14","3.9")</f>
        <v>3.9</v>
      </c>
      <c r="G1273" s="4" t="str">
        <f>HYPERLINK("http://141.218.60.56/~jnz1568/getInfo.php?workbook=14_02.xlsx&amp;sheet=U0&amp;row=1273&amp;col=7&amp;number=0.0143&amp;sourceID=14","0.0143")</f>
        <v>0.0143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HYPERLINK("http://141.218.60.56/~jnz1568/getInfo.php?workbook=14_02.xlsx&amp;sheet=U0&amp;row=1274&amp;col=6&amp;number=4&amp;sourceID=14","4")</f>
        <v>4</v>
      </c>
      <c r="G1274" s="4" t="str">
        <f>HYPERLINK("http://141.218.60.56/~jnz1568/getInfo.php?workbook=14_02.xlsx&amp;sheet=U0&amp;row=1274&amp;col=7&amp;number=0.0143&amp;sourceID=14","0.0143")</f>
        <v>0.0143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HYPERLINK("http://141.218.60.56/~jnz1568/getInfo.php?workbook=14_02.xlsx&amp;sheet=U0&amp;row=1275&amp;col=6&amp;number=4.1&amp;sourceID=14","4.1")</f>
        <v>4.1</v>
      </c>
      <c r="G1275" s="4" t="str">
        <f>HYPERLINK("http://141.218.60.56/~jnz1568/getInfo.php?workbook=14_02.xlsx&amp;sheet=U0&amp;row=1275&amp;col=7&amp;number=0.0143&amp;sourceID=14","0.0143")</f>
        <v>0.0143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HYPERLINK("http://141.218.60.56/~jnz1568/getInfo.php?workbook=14_02.xlsx&amp;sheet=U0&amp;row=1276&amp;col=6&amp;number=4.2&amp;sourceID=14","4.2")</f>
        <v>4.2</v>
      </c>
      <c r="G1276" s="4" t="str">
        <f>HYPERLINK("http://141.218.60.56/~jnz1568/getInfo.php?workbook=14_02.xlsx&amp;sheet=U0&amp;row=1276&amp;col=7&amp;number=0.0143&amp;sourceID=14","0.0143")</f>
        <v>0.0143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HYPERLINK("http://141.218.60.56/~jnz1568/getInfo.php?workbook=14_02.xlsx&amp;sheet=U0&amp;row=1277&amp;col=6&amp;number=4.3&amp;sourceID=14","4.3")</f>
        <v>4.3</v>
      </c>
      <c r="G1277" s="4" t="str">
        <f>HYPERLINK("http://141.218.60.56/~jnz1568/getInfo.php?workbook=14_02.xlsx&amp;sheet=U0&amp;row=1277&amp;col=7&amp;number=0.0143&amp;sourceID=14","0.0143")</f>
        <v>0.0143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HYPERLINK("http://141.218.60.56/~jnz1568/getInfo.php?workbook=14_02.xlsx&amp;sheet=U0&amp;row=1278&amp;col=6&amp;number=4.4&amp;sourceID=14","4.4")</f>
        <v>4.4</v>
      </c>
      <c r="G1278" s="4" t="str">
        <f>HYPERLINK("http://141.218.60.56/~jnz1568/getInfo.php?workbook=14_02.xlsx&amp;sheet=U0&amp;row=1278&amp;col=7&amp;number=0.0143&amp;sourceID=14","0.0143")</f>
        <v>0.0143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HYPERLINK("http://141.218.60.56/~jnz1568/getInfo.php?workbook=14_02.xlsx&amp;sheet=U0&amp;row=1279&amp;col=6&amp;number=4.5&amp;sourceID=14","4.5")</f>
        <v>4.5</v>
      </c>
      <c r="G1279" s="4" t="str">
        <f>HYPERLINK("http://141.218.60.56/~jnz1568/getInfo.php?workbook=14_02.xlsx&amp;sheet=U0&amp;row=1279&amp;col=7&amp;number=0.0143&amp;sourceID=14","0.0143")</f>
        <v>0.0143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HYPERLINK("http://141.218.60.56/~jnz1568/getInfo.php?workbook=14_02.xlsx&amp;sheet=U0&amp;row=1280&amp;col=6&amp;number=4.6&amp;sourceID=14","4.6")</f>
        <v>4.6</v>
      </c>
      <c r="G1280" s="4" t="str">
        <f>HYPERLINK("http://141.218.60.56/~jnz1568/getInfo.php?workbook=14_02.xlsx&amp;sheet=U0&amp;row=1280&amp;col=7&amp;number=0.0143&amp;sourceID=14","0.0143")</f>
        <v>0.0143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HYPERLINK("http://141.218.60.56/~jnz1568/getInfo.php?workbook=14_02.xlsx&amp;sheet=U0&amp;row=1281&amp;col=6&amp;number=4.7&amp;sourceID=14","4.7")</f>
        <v>4.7</v>
      </c>
      <c r="G1281" s="4" t="str">
        <f>HYPERLINK("http://141.218.60.56/~jnz1568/getInfo.php?workbook=14_02.xlsx&amp;sheet=U0&amp;row=1281&amp;col=7&amp;number=0.0143&amp;sourceID=14","0.0143")</f>
        <v>0.0143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HYPERLINK("http://141.218.60.56/~jnz1568/getInfo.php?workbook=14_02.xlsx&amp;sheet=U0&amp;row=1282&amp;col=6&amp;number=4.8&amp;sourceID=14","4.8")</f>
        <v>4.8</v>
      </c>
      <c r="G1282" s="4" t="str">
        <f>HYPERLINK("http://141.218.60.56/~jnz1568/getInfo.php?workbook=14_02.xlsx&amp;sheet=U0&amp;row=1282&amp;col=7&amp;number=0.0143&amp;sourceID=14","0.0143")</f>
        <v>0.0143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HYPERLINK("http://141.218.60.56/~jnz1568/getInfo.php?workbook=14_02.xlsx&amp;sheet=U0&amp;row=1283&amp;col=6&amp;number=4.9&amp;sourceID=14","4.9")</f>
        <v>4.9</v>
      </c>
      <c r="G1283" s="4" t="str">
        <f>HYPERLINK("http://141.218.60.56/~jnz1568/getInfo.php?workbook=14_02.xlsx&amp;sheet=U0&amp;row=1283&amp;col=7&amp;number=0.0143&amp;sourceID=14","0.0143")</f>
        <v>0.0143</v>
      </c>
    </row>
    <row r="1284" spans="1:7">
      <c r="A1284" s="3">
        <v>14</v>
      </c>
      <c r="B1284" s="3">
        <v>2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HYPERLINK("http://141.218.60.56/~jnz1568/getInfo.php?workbook=14_02.xlsx&amp;sheet=U0&amp;row=1284&amp;col=6&amp;number=3&amp;sourceID=14","3")</f>
        <v>3</v>
      </c>
      <c r="G1284" s="4" t="str">
        <f>HYPERLINK("http://141.218.60.56/~jnz1568/getInfo.php?workbook=14_02.xlsx&amp;sheet=U0&amp;row=1284&amp;col=7&amp;number=0.00062&amp;sourceID=14","0.00062")</f>
        <v>0.00062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HYPERLINK("http://141.218.60.56/~jnz1568/getInfo.php?workbook=14_02.xlsx&amp;sheet=U0&amp;row=1285&amp;col=6&amp;number=3.1&amp;sourceID=14","3.1")</f>
        <v>3.1</v>
      </c>
      <c r="G1285" s="4" t="str">
        <f>HYPERLINK("http://141.218.60.56/~jnz1568/getInfo.php?workbook=14_02.xlsx&amp;sheet=U0&amp;row=1285&amp;col=7&amp;number=0.00062&amp;sourceID=14","0.00062")</f>
        <v>0.00062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HYPERLINK("http://141.218.60.56/~jnz1568/getInfo.php?workbook=14_02.xlsx&amp;sheet=U0&amp;row=1286&amp;col=6&amp;number=3.2&amp;sourceID=14","3.2")</f>
        <v>3.2</v>
      </c>
      <c r="G1286" s="4" t="str">
        <f>HYPERLINK("http://141.218.60.56/~jnz1568/getInfo.php?workbook=14_02.xlsx&amp;sheet=U0&amp;row=1286&amp;col=7&amp;number=0.00062&amp;sourceID=14","0.00062")</f>
        <v>0.00062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HYPERLINK("http://141.218.60.56/~jnz1568/getInfo.php?workbook=14_02.xlsx&amp;sheet=U0&amp;row=1287&amp;col=6&amp;number=3.3&amp;sourceID=14","3.3")</f>
        <v>3.3</v>
      </c>
      <c r="G1287" s="4" t="str">
        <f>HYPERLINK("http://141.218.60.56/~jnz1568/getInfo.php?workbook=14_02.xlsx&amp;sheet=U0&amp;row=1287&amp;col=7&amp;number=0.000619&amp;sourceID=14","0.000619")</f>
        <v>0.000619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HYPERLINK("http://141.218.60.56/~jnz1568/getInfo.php?workbook=14_02.xlsx&amp;sheet=U0&amp;row=1288&amp;col=6&amp;number=3.4&amp;sourceID=14","3.4")</f>
        <v>3.4</v>
      </c>
      <c r="G1288" s="4" t="str">
        <f>HYPERLINK("http://141.218.60.56/~jnz1568/getInfo.php?workbook=14_02.xlsx&amp;sheet=U0&amp;row=1288&amp;col=7&amp;number=0.000619&amp;sourceID=14","0.000619")</f>
        <v>0.000619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HYPERLINK("http://141.218.60.56/~jnz1568/getInfo.php?workbook=14_02.xlsx&amp;sheet=U0&amp;row=1289&amp;col=6&amp;number=3.5&amp;sourceID=14","3.5")</f>
        <v>3.5</v>
      </c>
      <c r="G1289" s="4" t="str">
        <f>HYPERLINK("http://141.218.60.56/~jnz1568/getInfo.php?workbook=14_02.xlsx&amp;sheet=U0&amp;row=1289&amp;col=7&amp;number=0.000619&amp;sourceID=14","0.000619")</f>
        <v>0.000619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HYPERLINK("http://141.218.60.56/~jnz1568/getInfo.php?workbook=14_02.xlsx&amp;sheet=U0&amp;row=1290&amp;col=6&amp;number=3.6&amp;sourceID=14","3.6")</f>
        <v>3.6</v>
      </c>
      <c r="G1290" s="4" t="str">
        <f>HYPERLINK("http://141.218.60.56/~jnz1568/getInfo.php?workbook=14_02.xlsx&amp;sheet=U0&amp;row=1290&amp;col=7&amp;number=0.000619&amp;sourceID=14","0.000619")</f>
        <v>0.000619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HYPERLINK("http://141.218.60.56/~jnz1568/getInfo.php?workbook=14_02.xlsx&amp;sheet=U0&amp;row=1291&amp;col=6&amp;number=3.7&amp;sourceID=14","3.7")</f>
        <v>3.7</v>
      </c>
      <c r="G1291" s="4" t="str">
        <f>HYPERLINK("http://141.218.60.56/~jnz1568/getInfo.php?workbook=14_02.xlsx&amp;sheet=U0&amp;row=1291&amp;col=7&amp;number=0.000619&amp;sourceID=14","0.000619")</f>
        <v>0.000619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HYPERLINK("http://141.218.60.56/~jnz1568/getInfo.php?workbook=14_02.xlsx&amp;sheet=U0&amp;row=1292&amp;col=6&amp;number=3.8&amp;sourceID=14","3.8")</f>
        <v>3.8</v>
      </c>
      <c r="G1292" s="4" t="str">
        <f>HYPERLINK("http://141.218.60.56/~jnz1568/getInfo.php?workbook=14_02.xlsx&amp;sheet=U0&amp;row=1292&amp;col=7&amp;number=0.000619&amp;sourceID=14","0.000619")</f>
        <v>0.000619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HYPERLINK("http://141.218.60.56/~jnz1568/getInfo.php?workbook=14_02.xlsx&amp;sheet=U0&amp;row=1293&amp;col=6&amp;number=3.9&amp;sourceID=14","3.9")</f>
        <v>3.9</v>
      </c>
      <c r="G1293" s="4" t="str">
        <f>HYPERLINK("http://141.218.60.56/~jnz1568/getInfo.php?workbook=14_02.xlsx&amp;sheet=U0&amp;row=1293&amp;col=7&amp;number=0.000619&amp;sourceID=14","0.000619")</f>
        <v>0.000619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HYPERLINK("http://141.218.60.56/~jnz1568/getInfo.php?workbook=14_02.xlsx&amp;sheet=U0&amp;row=1294&amp;col=6&amp;number=4&amp;sourceID=14","4")</f>
        <v>4</v>
      </c>
      <c r="G1294" s="4" t="str">
        <f>HYPERLINK("http://141.218.60.56/~jnz1568/getInfo.php?workbook=14_02.xlsx&amp;sheet=U0&amp;row=1294&amp;col=7&amp;number=0.000619&amp;sourceID=14","0.000619")</f>
        <v>0.000619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HYPERLINK("http://141.218.60.56/~jnz1568/getInfo.php?workbook=14_02.xlsx&amp;sheet=U0&amp;row=1295&amp;col=6&amp;number=4.1&amp;sourceID=14","4.1")</f>
        <v>4.1</v>
      </c>
      <c r="G1295" s="4" t="str">
        <f>HYPERLINK("http://141.218.60.56/~jnz1568/getInfo.php?workbook=14_02.xlsx&amp;sheet=U0&amp;row=1295&amp;col=7&amp;number=0.000618&amp;sourceID=14","0.000618")</f>
        <v>0.000618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HYPERLINK("http://141.218.60.56/~jnz1568/getInfo.php?workbook=14_02.xlsx&amp;sheet=U0&amp;row=1296&amp;col=6&amp;number=4.2&amp;sourceID=14","4.2")</f>
        <v>4.2</v>
      </c>
      <c r="G1296" s="4" t="str">
        <f>HYPERLINK("http://141.218.60.56/~jnz1568/getInfo.php?workbook=14_02.xlsx&amp;sheet=U0&amp;row=1296&amp;col=7&amp;number=0.000618&amp;sourceID=14","0.000618")</f>
        <v>0.000618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HYPERLINK("http://141.218.60.56/~jnz1568/getInfo.php?workbook=14_02.xlsx&amp;sheet=U0&amp;row=1297&amp;col=6&amp;number=4.3&amp;sourceID=14","4.3")</f>
        <v>4.3</v>
      </c>
      <c r="G1297" s="4" t="str">
        <f>HYPERLINK("http://141.218.60.56/~jnz1568/getInfo.php?workbook=14_02.xlsx&amp;sheet=U0&amp;row=1297&amp;col=7&amp;number=0.000617&amp;sourceID=14","0.000617")</f>
        <v>0.000617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HYPERLINK("http://141.218.60.56/~jnz1568/getInfo.php?workbook=14_02.xlsx&amp;sheet=U0&amp;row=1298&amp;col=6&amp;number=4.4&amp;sourceID=14","4.4")</f>
        <v>4.4</v>
      </c>
      <c r="G1298" s="4" t="str">
        <f>HYPERLINK("http://141.218.60.56/~jnz1568/getInfo.php?workbook=14_02.xlsx&amp;sheet=U0&amp;row=1298&amp;col=7&amp;number=0.000617&amp;sourceID=14","0.000617")</f>
        <v>0.000617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HYPERLINK("http://141.218.60.56/~jnz1568/getInfo.php?workbook=14_02.xlsx&amp;sheet=U0&amp;row=1299&amp;col=6&amp;number=4.5&amp;sourceID=14","4.5")</f>
        <v>4.5</v>
      </c>
      <c r="G1299" s="4" t="str">
        <f>HYPERLINK("http://141.218.60.56/~jnz1568/getInfo.php?workbook=14_02.xlsx&amp;sheet=U0&amp;row=1299&amp;col=7&amp;number=0.000616&amp;sourceID=14","0.000616")</f>
        <v>0.000616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HYPERLINK("http://141.218.60.56/~jnz1568/getInfo.php?workbook=14_02.xlsx&amp;sheet=U0&amp;row=1300&amp;col=6&amp;number=4.6&amp;sourceID=14","4.6")</f>
        <v>4.6</v>
      </c>
      <c r="G1300" s="4" t="str">
        <f>HYPERLINK("http://141.218.60.56/~jnz1568/getInfo.php?workbook=14_02.xlsx&amp;sheet=U0&amp;row=1300&amp;col=7&amp;number=0.000615&amp;sourceID=14","0.000615")</f>
        <v>0.000615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HYPERLINK("http://141.218.60.56/~jnz1568/getInfo.php?workbook=14_02.xlsx&amp;sheet=U0&amp;row=1301&amp;col=6&amp;number=4.7&amp;sourceID=14","4.7")</f>
        <v>4.7</v>
      </c>
      <c r="G1301" s="4" t="str">
        <f>HYPERLINK("http://141.218.60.56/~jnz1568/getInfo.php?workbook=14_02.xlsx&amp;sheet=U0&amp;row=1301&amp;col=7&amp;number=0.000614&amp;sourceID=14","0.000614")</f>
        <v>0.000614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HYPERLINK("http://141.218.60.56/~jnz1568/getInfo.php?workbook=14_02.xlsx&amp;sheet=U0&amp;row=1302&amp;col=6&amp;number=4.8&amp;sourceID=14","4.8")</f>
        <v>4.8</v>
      </c>
      <c r="G1302" s="4" t="str">
        <f>HYPERLINK("http://141.218.60.56/~jnz1568/getInfo.php?workbook=14_02.xlsx&amp;sheet=U0&amp;row=1302&amp;col=7&amp;number=0.000612&amp;sourceID=14","0.000612")</f>
        <v>0.000612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HYPERLINK("http://141.218.60.56/~jnz1568/getInfo.php?workbook=14_02.xlsx&amp;sheet=U0&amp;row=1303&amp;col=6&amp;number=4.9&amp;sourceID=14","4.9")</f>
        <v>4.9</v>
      </c>
      <c r="G1303" s="4" t="str">
        <f>HYPERLINK("http://141.218.60.56/~jnz1568/getInfo.php?workbook=14_02.xlsx&amp;sheet=U0&amp;row=1303&amp;col=7&amp;number=0.000611&amp;sourceID=14","0.000611")</f>
        <v>0.000611</v>
      </c>
    </row>
    <row r="1304" spans="1:7">
      <c r="A1304" s="3">
        <v>14</v>
      </c>
      <c r="B1304" s="3">
        <v>2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HYPERLINK("http://141.218.60.56/~jnz1568/getInfo.php?workbook=14_02.xlsx&amp;sheet=U0&amp;row=1304&amp;col=6&amp;number=3&amp;sourceID=14","3")</f>
        <v>3</v>
      </c>
      <c r="G1304" s="4" t="str">
        <f>HYPERLINK("http://141.218.60.56/~jnz1568/getInfo.php?workbook=14_02.xlsx&amp;sheet=U0&amp;row=1304&amp;col=7&amp;number=0.00154&amp;sourceID=14","0.00154")</f>
        <v>0.00154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HYPERLINK("http://141.218.60.56/~jnz1568/getInfo.php?workbook=14_02.xlsx&amp;sheet=U0&amp;row=1305&amp;col=6&amp;number=3.1&amp;sourceID=14","3.1")</f>
        <v>3.1</v>
      </c>
      <c r="G1305" s="4" t="str">
        <f>HYPERLINK("http://141.218.60.56/~jnz1568/getInfo.php?workbook=14_02.xlsx&amp;sheet=U0&amp;row=1305&amp;col=7&amp;number=0.00154&amp;sourceID=14","0.00154")</f>
        <v>0.00154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HYPERLINK("http://141.218.60.56/~jnz1568/getInfo.php?workbook=14_02.xlsx&amp;sheet=U0&amp;row=1306&amp;col=6&amp;number=3.2&amp;sourceID=14","3.2")</f>
        <v>3.2</v>
      </c>
      <c r="G1306" s="4" t="str">
        <f>HYPERLINK("http://141.218.60.56/~jnz1568/getInfo.php?workbook=14_02.xlsx&amp;sheet=U0&amp;row=1306&amp;col=7&amp;number=0.00154&amp;sourceID=14","0.00154")</f>
        <v>0.00154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HYPERLINK("http://141.218.60.56/~jnz1568/getInfo.php?workbook=14_02.xlsx&amp;sheet=U0&amp;row=1307&amp;col=6&amp;number=3.3&amp;sourceID=14","3.3")</f>
        <v>3.3</v>
      </c>
      <c r="G1307" s="4" t="str">
        <f>HYPERLINK("http://141.218.60.56/~jnz1568/getInfo.php?workbook=14_02.xlsx&amp;sheet=U0&amp;row=1307&amp;col=7&amp;number=0.00154&amp;sourceID=14","0.00154")</f>
        <v>0.00154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HYPERLINK("http://141.218.60.56/~jnz1568/getInfo.php?workbook=14_02.xlsx&amp;sheet=U0&amp;row=1308&amp;col=6&amp;number=3.4&amp;sourceID=14","3.4")</f>
        <v>3.4</v>
      </c>
      <c r="G1308" s="4" t="str">
        <f>HYPERLINK("http://141.218.60.56/~jnz1568/getInfo.php?workbook=14_02.xlsx&amp;sheet=U0&amp;row=1308&amp;col=7&amp;number=0.00154&amp;sourceID=14","0.00154")</f>
        <v>0.00154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HYPERLINK("http://141.218.60.56/~jnz1568/getInfo.php?workbook=14_02.xlsx&amp;sheet=U0&amp;row=1309&amp;col=6&amp;number=3.5&amp;sourceID=14","3.5")</f>
        <v>3.5</v>
      </c>
      <c r="G1309" s="4" t="str">
        <f>HYPERLINK("http://141.218.60.56/~jnz1568/getInfo.php?workbook=14_02.xlsx&amp;sheet=U0&amp;row=1309&amp;col=7&amp;number=0.00154&amp;sourceID=14","0.00154")</f>
        <v>0.00154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HYPERLINK("http://141.218.60.56/~jnz1568/getInfo.php?workbook=14_02.xlsx&amp;sheet=U0&amp;row=1310&amp;col=6&amp;number=3.6&amp;sourceID=14","3.6")</f>
        <v>3.6</v>
      </c>
      <c r="G1310" s="4" t="str">
        <f>HYPERLINK("http://141.218.60.56/~jnz1568/getInfo.php?workbook=14_02.xlsx&amp;sheet=U0&amp;row=1310&amp;col=7&amp;number=0.00154&amp;sourceID=14","0.00154")</f>
        <v>0.00154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HYPERLINK("http://141.218.60.56/~jnz1568/getInfo.php?workbook=14_02.xlsx&amp;sheet=U0&amp;row=1311&amp;col=6&amp;number=3.7&amp;sourceID=14","3.7")</f>
        <v>3.7</v>
      </c>
      <c r="G1311" s="4" t="str">
        <f>HYPERLINK("http://141.218.60.56/~jnz1568/getInfo.php?workbook=14_02.xlsx&amp;sheet=U0&amp;row=1311&amp;col=7&amp;number=0.00154&amp;sourceID=14","0.00154")</f>
        <v>0.00154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HYPERLINK("http://141.218.60.56/~jnz1568/getInfo.php?workbook=14_02.xlsx&amp;sheet=U0&amp;row=1312&amp;col=6&amp;number=3.8&amp;sourceID=14","3.8")</f>
        <v>3.8</v>
      </c>
      <c r="G1312" s="4" t="str">
        <f>HYPERLINK("http://141.218.60.56/~jnz1568/getInfo.php?workbook=14_02.xlsx&amp;sheet=U0&amp;row=1312&amp;col=7&amp;number=0.00154&amp;sourceID=14","0.00154")</f>
        <v>0.00154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HYPERLINK("http://141.218.60.56/~jnz1568/getInfo.php?workbook=14_02.xlsx&amp;sheet=U0&amp;row=1313&amp;col=6&amp;number=3.9&amp;sourceID=14","3.9")</f>
        <v>3.9</v>
      </c>
      <c r="G1313" s="4" t="str">
        <f>HYPERLINK("http://141.218.60.56/~jnz1568/getInfo.php?workbook=14_02.xlsx&amp;sheet=U0&amp;row=1313&amp;col=7&amp;number=0.00154&amp;sourceID=14","0.00154")</f>
        <v>0.00154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HYPERLINK("http://141.218.60.56/~jnz1568/getInfo.php?workbook=14_02.xlsx&amp;sheet=U0&amp;row=1314&amp;col=6&amp;number=4&amp;sourceID=14","4")</f>
        <v>4</v>
      </c>
      <c r="G1314" s="4" t="str">
        <f>HYPERLINK("http://141.218.60.56/~jnz1568/getInfo.php?workbook=14_02.xlsx&amp;sheet=U0&amp;row=1314&amp;col=7&amp;number=0.00154&amp;sourceID=14","0.00154")</f>
        <v>0.00154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HYPERLINK("http://141.218.60.56/~jnz1568/getInfo.php?workbook=14_02.xlsx&amp;sheet=U0&amp;row=1315&amp;col=6&amp;number=4.1&amp;sourceID=14","4.1")</f>
        <v>4.1</v>
      </c>
      <c r="G1315" s="4" t="str">
        <f>HYPERLINK("http://141.218.60.56/~jnz1568/getInfo.php?workbook=14_02.xlsx&amp;sheet=U0&amp;row=1315&amp;col=7&amp;number=0.00154&amp;sourceID=14","0.00154")</f>
        <v>0.00154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HYPERLINK("http://141.218.60.56/~jnz1568/getInfo.php?workbook=14_02.xlsx&amp;sheet=U0&amp;row=1316&amp;col=6&amp;number=4.2&amp;sourceID=14","4.2")</f>
        <v>4.2</v>
      </c>
      <c r="G1316" s="4" t="str">
        <f>HYPERLINK("http://141.218.60.56/~jnz1568/getInfo.php?workbook=14_02.xlsx&amp;sheet=U0&amp;row=1316&amp;col=7&amp;number=0.00154&amp;sourceID=14","0.00154")</f>
        <v>0.00154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HYPERLINK("http://141.218.60.56/~jnz1568/getInfo.php?workbook=14_02.xlsx&amp;sheet=U0&amp;row=1317&amp;col=6&amp;number=4.3&amp;sourceID=14","4.3")</f>
        <v>4.3</v>
      </c>
      <c r="G1317" s="4" t="str">
        <f>HYPERLINK("http://141.218.60.56/~jnz1568/getInfo.php?workbook=14_02.xlsx&amp;sheet=U0&amp;row=1317&amp;col=7&amp;number=0.00154&amp;sourceID=14","0.00154")</f>
        <v>0.00154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HYPERLINK("http://141.218.60.56/~jnz1568/getInfo.php?workbook=14_02.xlsx&amp;sheet=U0&amp;row=1318&amp;col=6&amp;number=4.4&amp;sourceID=14","4.4")</f>
        <v>4.4</v>
      </c>
      <c r="G1318" s="4" t="str">
        <f>HYPERLINK("http://141.218.60.56/~jnz1568/getInfo.php?workbook=14_02.xlsx&amp;sheet=U0&amp;row=1318&amp;col=7&amp;number=0.00154&amp;sourceID=14","0.00154")</f>
        <v>0.00154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HYPERLINK("http://141.218.60.56/~jnz1568/getInfo.php?workbook=14_02.xlsx&amp;sheet=U0&amp;row=1319&amp;col=6&amp;number=4.5&amp;sourceID=14","4.5")</f>
        <v>4.5</v>
      </c>
      <c r="G1319" s="4" t="str">
        <f>HYPERLINK("http://141.218.60.56/~jnz1568/getInfo.php?workbook=14_02.xlsx&amp;sheet=U0&amp;row=1319&amp;col=7&amp;number=0.00154&amp;sourceID=14","0.00154")</f>
        <v>0.00154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HYPERLINK("http://141.218.60.56/~jnz1568/getInfo.php?workbook=14_02.xlsx&amp;sheet=U0&amp;row=1320&amp;col=6&amp;number=4.6&amp;sourceID=14","4.6")</f>
        <v>4.6</v>
      </c>
      <c r="G1320" s="4" t="str">
        <f>HYPERLINK("http://141.218.60.56/~jnz1568/getInfo.php?workbook=14_02.xlsx&amp;sheet=U0&amp;row=1320&amp;col=7&amp;number=0.00155&amp;sourceID=14","0.00155")</f>
        <v>0.00155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HYPERLINK("http://141.218.60.56/~jnz1568/getInfo.php?workbook=14_02.xlsx&amp;sheet=U0&amp;row=1321&amp;col=6&amp;number=4.7&amp;sourceID=14","4.7")</f>
        <v>4.7</v>
      </c>
      <c r="G1321" s="4" t="str">
        <f>HYPERLINK("http://141.218.60.56/~jnz1568/getInfo.php?workbook=14_02.xlsx&amp;sheet=U0&amp;row=1321&amp;col=7&amp;number=0.00155&amp;sourceID=14","0.00155")</f>
        <v>0.00155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HYPERLINK("http://141.218.60.56/~jnz1568/getInfo.php?workbook=14_02.xlsx&amp;sheet=U0&amp;row=1322&amp;col=6&amp;number=4.8&amp;sourceID=14","4.8")</f>
        <v>4.8</v>
      </c>
      <c r="G1322" s="4" t="str">
        <f>HYPERLINK("http://141.218.60.56/~jnz1568/getInfo.php?workbook=14_02.xlsx&amp;sheet=U0&amp;row=1322&amp;col=7&amp;number=0.00155&amp;sourceID=14","0.00155")</f>
        <v>0.00155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HYPERLINK("http://141.218.60.56/~jnz1568/getInfo.php?workbook=14_02.xlsx&amp;sheet=U0&amp;row=1323&amp;col=6&amp;number=4.9&amp;sourceID=14","4.9")</f>
        <v>4.9</v>
      </c>
      <c r="G1323" s="4" t="str">
        <f>HYPERLINK("http://141.218.60.56/~jnz1568/getInfo.php?workbook=14_02.xlsx&amp;sheet=U0&amp;row=1323&amp;col=7&amp;number=0.00155&amp;sourceID=14","0.00155")</f>
        <v>0.00155</v>
      </c>
    </row>
    <row r="1324" spans="1:7">
      <c r="A1324" s="3">
        <v>14</v>
      </c>
      <c r="B1324" s="3">
        <v>2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HYPERLINK("http://141.218.60.56/~jnz1568/getInfo.php?workbook=14_02.xlsx&amp;sheet=U0&amp;row=1324&amp;col=6&amp;number=3&amp;sourceID=14","3")</f>
        <v>3</v>
      </c>
      <c r="G1324" s="4" t="str">
        <f>HYPERLINK("http://141.218.60.56/~jnz1568/getInfo.php?workbook=14_02.xlsx&amp;sheet=U0&amp;row=1324&amp;col=7&amp;number=0.0045&amp;sourceID=14","0.0045")</f>
        <v>0.0045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HYPERLINK("http://141.218.60.56/~jnz1568/getInfo.php?workbook=14_02.xlsx&amp;sheet=U0&amp;row=1325&amp;col=6&amp;number=3.1&amp;sourceID=14","3.1")</f>
        <v>3.1</v>
      </c>
      <c r="G1325" s="4" t="str">
        <f>HYPERLINK("http://141.218.60.56/~jnz1568/getInfo.php?workbook=14_02.xlsx&amp;sheet=U0&amp;row=1325&amp;col=7&amp;number=0.0045&amp;sourceID=14","0.0045")</f>
        <v>0.0045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HYPERLINK("http://141.218.60.56/~jnz1568/getInfo.php?workbook=14_02.xlsx&amp;sheet=U0&amp;row=1326&amp;col=6&amp;number=3.2&amp;sourceID=14","3.2")</f>
        <v>3.2</v>
      </c>
      <c r="G1326" s="4" t="str">
        <f>HYPERLINK("http://141.218.60.56/~jnz1568/getInfo.php?workbook=14_02.xlsx&amp;sheet=U0&amp;row=1326&amp;col=7&amp;number=0.0045&amp;sourceID=14","0.0045")</f>
        <v>0.0045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HYPERLINK("http://141.218.60.56/~jnz1568/getInfo.php?workbook=14_02.xlsx&amp;sheet=U0&amp;row=1327&amp;col=6&amp;number=3.3&amp;sourceID=14","3.3")</f>
        <v>3.3</v>
      </c>
      <c r="G1327" s="4" t="str">
        <f>HYPERLINK("http://141.218.60.56/~jnz1568/getInfo.php?workbook=14_02.xlsx&amp;sheet=U0&amp;row=1327&amp;col=7&amp;number=0.0045&amp;sourceID=14","0.0045")</f>
        <v>0.0045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HYPERLINK("http://141.218.60.56/~jnz1568/getInfo.php?workbook=14_02.xlsx&amp;sheet=U0&amp;row=1328&amp;col=6&amp;number=3.4&amp;sourceID=14","3.4")</f>
        <v>3.4</v>
      </c>
      <c r="G1328" s="4" t="str">
        <f>HYPERLINK("http://141.218.60.56/~jnz1568/getInfo.php?workbook=14_02.xlsx&amp;sheet=U0&amp;row=1328&amp;col=7&amp;number=0.0045&amp;sourceID=14","0.0045")</f>
        <v>0.0045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HYPERLINK("http://141.218.60.56/~jnz1568/getInfo.php?workbook=14_02.xlsx&amp;sheet=U0&amp;row=1329&amp;col=6&amp;number=3.5&amp;sourceID=14","3.5")</f>
        <v>3.5</v>
      </c>
      <c r="G1329" s="4" t="str">
        <f>HYPERLINK("http://141.218.60.56/~jnz1568/getInfo.php?workbook=14_02.xlsx&amp;sheet=U0&amp;row=1329&amp;col=7&amp;number=0.0045&amp;sourceID=14","0.0045")</f>
        <v>0.0045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HYPERLINK("http://141.218.60.56/~jnz1568/getInfo.php?workbook=14_02.xlsx&amp;sheet=U0&amp;row=1330&amp;col=6&amp;number=3.6&amp;sourceID=14","3.6")</f>
        <v>3.6</v>
      </c>
      <c r="G1330" s="4" t="str">
        <f>HYPERLINK("http://141.218.60.56/~jnz1568/getInfo.php?workbook=14_02.xlsx&amp;sheet=U0&amp;row=1330&amp;col=7&amp;number=0.0045&amp;sourceID=14","0.0045")</f>
        <v>0.0045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HYPERLINK("http://141.218.60.56/~jnz1568/getInfo.php?workbook=14_02.xlsx&amp;sheet=U0&amp;row=1331&amp;col=6&amp;number=3.7&amp;sourceID=14","3.7")</f>
        <v>3.7</v>
      </c>
      <c r="G1331" s="4" t="str">
        <f>HYPERLINK("http://141.218.60.56/~jnz1568/getInfo.php?workbook=14_02.xlsx&amp;sheet=U0&amp;row=1331&amp;col=7&amp;number=0.00451&amp;sourceID=14","0.00451")</f>
        <v>0.00451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HYPERLINK("http://141.218.60.56/~jnz1568/getInfo.php?workbook=14_02.xlsx&amp;sheet=U0&amp;row=1332&amp;col=6&amp;number=3.8&amp;sourceID=14","3.8")</f>
        <v>3.8</v>
      </c>
      <c r="G1332" s="4" t="str">
        <f>HYPERLINK("http://141.218.60.56/~jnz1568/getInfo.php?workbook=14_02.xlsx&amp;sheet=U0&amp;row=1332&amp;col=7&amp;number=0.00451&amp;sourceID=14","0.00451")</f>
        <v>0.00451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HYPERLINK("http://141.218.60.56/~jnz1568/getInfo.php?workbook=14_02.xlsx&amp;sheet=U0&amp;row=1333&amp;col=6&amp;number=3.9&amp;sourceID=14","3.9")</f>
        <v>3.9</v>
      </c>
      <c r="G1333" s="4" t="str">
        <f>HYPERLINK("http://141.218.60.56/~jnz1568/getInfo.php?workbook=14_02.xlsx&amp;sheet=U0&amp;row=1333&amp;col=7&amp;number=0.00451&amp;sourceID=14","0.00451")</f>
        <v>0.00451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HYPERLINK("http://141.218.60.56/~jnz1568/getInfo.php?workbook=14_02.xlsx&amp;sheet=U0&amp;row=1334&amp;col=6&amp;number=4&amp;sourceID=14","4")</f>
        <v>4</v>
      </c>
      <c r="G1334" s="4" t="str">
        <f>HYPERLINK("http://141.218.60.56/~jnz1568/getInfo.php?workbook=14_02.xlsx&amp;sheet=U0&amp;row=1334&amp;col=7&amp;number=0.00451&amp;sourceID=14","0.00451")</f>
        <v>0.00451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HYPERLINK("http://141.218.60.56/~jnz1568/getInfo.php?workbook=14_02.xlsx&amp;sheet=U0&amp;row=1335&amp;col=6&amp;number=4.1&amp;sourceID=14","4.1")</f>
        <v>4.1</v>
      </c>
      <c r="G1335" s="4" t="str">
        <f>HYPERLINK("http://141.218.60.56/~jnz1568/getInfo.php?workbook=14_02.xlsx&amp;sheet=U0&amp;row=1335&amp;col=7&amp;number=0.00451&amp;sourceID=14","0.00451")</f>
        <v>0.00451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HYPERLINK("http://141.218.60.56/~jnz1568/getInfo.php?workbook=14_02.xlsx&amp;sheet=U0&amp;row=1336&amp;col=6&amp;number=4.2&amp;sourceID=14","4.2")</f>
        <v>4.2</v>
      </c>
      <c r="G1336" s="4" t="str">
        <f>HYPERLINK("http://141.218.60.56/~jnz1568/getInfo.php?workbook=14_02.xlsx&amp;sheet=U0&amp;row=1336&amp;col=7&amp;number=0.00451&amp;sourceID=14","0.00451")</f>
        <v>0.00451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HYPERLINK("http://141.218.60.56/~jnz1568/getInfo.php?workbook=14_02.xlsx&amp;sheet=U0&amp;row=1337&amp;col=6&amp;number=4.3&amp;sourceID=14","4.3")</f>
        <v>4.3</v>
      </c>
      <c r="G1337" s="4" t="str">
        <f>HYPERLINK("http://141.218.60.56/~jnz1568/getInfo.php?workbook=14_02.xlsx&amp;sheet=U0&amp;row=1337&amp;col=7&amp;number=0.00452&amp;sourceID=14","0.00452")</f>
        <v>0.00452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HYPERLINK("http://141.218.60.56/~jnz1568/getInfo.php?workbook=14_02.xlsx&amp;sheet=U0&amp;row=1338&amp;col=6&amp;number=4.4&amp;sourceID=14","4.4")</f>
        <v>4.4</v>
      </c>
      <c r="G1338" s="4" t="str">
        <f>HYPERLINK("http://141.218.60.56/~jnz1568/getInfo.php?workbook=14_02.xlsx&amp;sheet=U0&amp;row=1338&amp;col=7&amp;number=0.00452&amp;sourceID=14","0.00452")</f>
        <v>0.00452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HYPERLINK("http://141.218.60.56/~jnz1568/getInfo.php?workbook=14_02.xlsx&amp;sheet=U0&amp;row=1339&amp;col=6&amp;number=4.5&amp;sourceID=14","4.5")</f>
        <v>4.5</v>
      </c>
      <c r="G1339" s="4" t="str">
        <f>HYPERLINK("http://141.218.60.56/~jnz1568/getInfo.php?workbook=14_02.xlsx&amp;sheet=U0&amp;row=1339&amp;col=7&amp;number=0.00452&amp;sourceID=14","0.00452")</f>
        <v>0.00452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HYPERLINK("http://141.218.60.56/~jnz1568/getInfo.php?workbook=14_02.xlsx&amp;sheet=U0&amp;row=1340&amp;col=6&amp;number=4.6&amp;sourceID=14","4.6")</f>
        <v>4.6</v>
      </c>
      <c r="G1340" s="4" t="str">
        <f>HYPERLINK("http://141.218.60.56/~jnz1568/getInfo.php?workbook=14_02.xlsx&amp;sheet=U0&amp;row=1340&amp;col=7&amp;number=0.00453&amp;sourceID=14","0.00453")</f>
        <v>0.00453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HYPERLINK("http://141.218.60.56/~jnz1568/getInfo.php?workbook=14_02.xlsx&amp;sheet=U0&amp;row=1341&amp;col=6&amp;number=4.7&amp;sourceID=14","4.7")</f>
        <v>4.7</v>
      </c>
      <c r="G1341" s="4" t="str">
        <f>HYPERLINK("http://141.218.60.56/~jnz1568/getInfo.php?workbook=14_02.xlsx&amp;sheet=U0&amp;row=1341&amp;col=7&amp;number=0.00454&amp;sourceID=14","0.00454")</f>
        <v>0.00454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HYPERLINK("http://141.218.60.56/~jnz1568/getInfo.php?workbook=14_02.xlsx&amp;sheet=U0&amp;row=1342&amp;col=6&amp;number=4.8&amp;sourceID=14","4.8")</f>
        <v>4.8</v>
      </c>
      <c r="G1342" s="4" t="str">
        <f>HYPERLINK("http://141.218.60.56/~jnz1568/getInfo.php?workbook=14_02.xlsx&amp;sheet=U0&amp;row=1342&amp;col=7&amp;number=0.00455&amp;sourceID=14","0.00455")</f>
        <v>0.00455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HYPERLINK("http://141.218.60.56/~jnz1568/getInfo.php?workbook=14_02.xlsx&amp;sheet=U0&amp;row=1343&amp;col=6&amp;number=4.9&amp;sourceID=14","4.9")</f>
        <v>4.9</v>
      </c>
      <c r="G1343" s="4" t="str">
        <f>HYPERLINK("http://141.218.60.56/~jnz1568/getInfo.php?workbook=14_02.xlsx&amp;sheet=U0&amp;row=1343&amp;col=7&amp;number=0.00456&amp;sourceID=14","0.00456")</f>
        <v>0.00456</v>
      </c>
    </row>
    <row r="1344" spans="1:7">
      <c r="A1344" s="3">
        <v>14</v>
      </c>
      <c r="B1344" s="3">
        <v>2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HYPERLINK("http://141.218.60.56/~jnz1568/getInfo.php?workbook=14_02.xlsx&amp;sheet=U0&amp;row=1344&amp;col=6&amp;number=3&amp;sourceID=14","3")</f>
        <v>3</v>
      </c>
      <c r="G1344" s="4" t="str">
        <f>HYPERLINK("http://141.218.60.56/~jnz1568/getInfo.php?workbook=14_02.xlsx&amp;sheet=U0&amp;row=1344&amp;col=7&amp;number=0.00753&amp;sourceID=14","0.00753")</f>
        <v>0.00753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HYPERLINK("http://141.218.60.56/~jnz1568/getInfo.php?workbook=14_02.xlsx&amp;sheet=U0&amp;row=1345&amp;col=6&amp;number=3.1&amp;sourceID=14","3.1")</f>
        <v>3.1</v>
      </c>
      <c r="G1345" s="4" t="str">
        <f>HYPERLINK("http://141.218.60.56/~jnz1568/getInfo.php?workbook=14_02.xlsx&amp;sheet=U0&amp;row=1345&amp;col=7&amp;number=0.00753&amp;sourceID=14","0.00753")</f>
        <v>0.00753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HYPERLINK("http://141.218.60.56/~jnz1568/getInfo.php?workbook=14_02.xlsx&amp;sheet=U0&amp;row=1346&amp;col=6&amp;number=3.2&amp;sourceID=14","3.2")</f>
        <v>3.2</v>
      </c>
      <c r="G1346" s="4" t="str">
        <f>HYPERLINK("http://141.218.60.56/~jnz1568/getInfo.php?workbook=14_02.xlsx&amp;sheet=U0&amp;row=1346&amp;col=7&amp;number=0.00753&amp;sourceID=14","0.00753")</f>
        <v>0.00753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HYPERLINK("http://141.218.60.56/~jnz1568/getInfo.php?workbook=14_02.xlsx&amp;sheet=U0&amp;row=1347&amp;col=6&amp;number=3.3&amp;sourceID=14","3.3")</f>
        <v>3.3</v>
      </c>
      <c r="G1347" s="4" t="str">
        <f>HYPERLINK("http://141.218.60.56/~jnz1568/getInfo.php?workbook=14_02.xlsx&amp;sheet=U0&amp;row=1347&amp;col=7&amp;number=0.00753&amp;sourceID=14","0.00753")</f>
        <v>0.00753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HYPERLINK("http://141.218.60.56/~jnz1568/getInfo.php?workbook=14_02.xlsx&amp;sheet=U0&amp;row=1348&amp;col=6&amp;number=3.4&amp;sourceID=14","3.4")</f>
        <v>3.4</v>
      </c>
      <c r="G1348" s="4" t="str">
        <f>HYPERLINK("http://141.218.60.56/~jnz1568/getInfo.php?workbook=14_02.xlsx&amp;sheet=U0&amp;row=1348&amp;col=7&amp;number=0.00753&amp;sourceID=14","0.00753")</f>
        <v>0.00753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HYPERLINK("http://141.218.60.56/~jnz1568/getInfo.php?workbook=14_02.xlsx&amp;sheet=U0&amp;row=1349&amp;col=6&amp;number=3.5&amp;sourceID=14","3.5")</f>
        <v>3.5</v>
      </c>
      <c r="G1349" s="4" t="str">
        <f>HYPERLINK("http://141.218.60.56/~jnz1568/getInfo.php?workbook=14_02.xlsx&amp;sheet=U0&amp;row=1349&amp;col=7&amp;number=0.00753&amp;sourceID=14","0.00753")</f>
        <v>0.00753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HYPERLINK("http://141.218.60.56/~jnz1568/getInfo.php?workbook=14_02.xlsx&amp;sheet=U0&amp;row=1350&amp;col=6&amp;number=3.6&amp;sourceID=14","3.6")</f>
        <v>3.6</v>
      </c>
      <c r="G1350" s="4" t="str">
        <f>HYPERLINK("http://141.218.60.56/~jnz1568/getInfo.php?workbook=14_02.xlsx&amp;sheet=U0&amp;row=1350&amp;col=7&amp;number=0.00753&amp;sourceID=14","0.00753")</f>
        <v>0.00753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HYPERLINK("http://141.218.60.56/~jnz1568/getInfo.php?workbook=14_02.xlsx&amp;sheet=U0&amp;row=1351&amp;col=6&amp;number=3.7&amp;sourceID=14","3.7")</f>
        <v>3.7</v>
      </c>
      <c r="G1351" s="4" t="str">
        <f>HYPERLINK("http://141.218.60.56/~jnz1568/getInfo.php?workbook=14_02.xlsx&amp;sheet=U0&amp;row=1351&amp;col=7&amp;number=0.00754&amp;sourceID=14","0.00754")</f>
        <v>0.00754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HYPERLINK("http://141.218.60.56/~jnz1568/getInfo.php?workbook=14_02.xlsx&amp;sheet=U0&amp;row=1352&amp;col=6&amp;number=3.8&amp;sourceID=14","3.8")</f>
        <v>3.8</v>
      </c>
      <c r="G1352" s="4" t="str">
        <f>HYPERLINK("http://141.218.60.56/~jnz1568/getInfo.php?workbook=14_02.xlsx&amp;sheet=U0&amp;row=1352&amp;col=7&amp;number=0.00754&amp;sourceID=14","0.00754")</f>
        <v>0.00754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HYPERLINK("http://141.218.60.56/~jnz1568/getInfo.php?workbook=14_02.xlsx&amp;sheet=U0&amp;row=1353&amp;col=6&amp;number=3.9&amp;sourceID=14","3.9")</f>
        <v>3.9</v>
      </c>
      <c r="G1353" s="4" t="str">
        <f>HYPERLINK("http://141.218.60.56/~jnz1568/getInfo.php?workbook=14_02.xlsx&amp;sheet=U0&amp;row=1353&amp;col=7&amp;number=0.00754&amp;sourceID=14","0.00754")</f>
        <v>0.00754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HYPERLINK("http://141.218.60.56/~jnz1568/getInfo.php?workbook=14_02.xlsx&amp;sheet=U0&amp;row=1354&amp;col=6&amp;number=4&amp;sourceID=14","4")</f>
        <v>4</v>
      </c>
      <c r="G1354" s="4" t="str">
        <f>HYPERLINK("http://141.218.60.56/~jnz1568/getInfo.php?workbook=14_02.xlsx&amp;sheet=U0&amp;row=1354&amp;col=7&amp;number=0.00754&amp;sourceID=14","0.00754")</f>
        <v>0.00754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HYPERLINK("http://141.218.60.56/~jnz1568/getInfo.php?workbook=14_02.xlsx&amp;sheet=U0&amp;row=1355&amp;col=6&amp;number=4.1&amp;sourceID=14","4.1")</f>
        <v>4.1</v>
      </c>
      <c r="G1355" s="4" t="str">
        <f>HYPERLINK("http://141.218.60.56/~jnz1568/getInfo.php?workbook=14_02.xlsx&amp;sheet=U0&amp;row=1355&amp;col=7&amp;number=0.00754&amp;sourceID=14","0.00754")</f>
        <v>0.00754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HYPERLINK("http://141.218.60.56/~jnz1568/getInfo.php?workbook=14_02.xlsx&amp;sheet=U0&amp;row=1356&amp;col=6&amp;number=4.2&amp;sourceID=14","4.2")</f>
        <v>4.2</v>
      </c>
      <c r="G1356" s="4" t="str">
        <f>HYPERLINK("http://141.218.60.56/~jnz1568/getInfo.php?workbook=14_02.xlsx&amp;sheet=U0&amp;row=1356&amp;col=7&amp;number=0.00755&amp;sourceID=14","0.00755")</f>
        <v>0.00755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HYPERLINK("http://141.218.60.56/~jnz1568/getInfo.php?workbook=14_02.xlsx&amp;sheet=U0&amp;row=1357&amp;col=6&amp;number=4.3&amp;sourceID=14","4.3")</f>
        <v>4.3</v>
      </c>
      <c r="G1357" s="4" t="str">
        <f>HYPERLINK("http://141.218.60.56/~jnz1568/getInfo.php?workbook=14_02.xlsx&amp;sheet=U0&amp;row=1357&amp;col=7&amp;number=0.00755&amp;sourceID=14","0.00755")</f>
        <v>0.00755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HYPERLINK("http://141.218.60.56/~jnz1568/getInfo.php?workbook=14_02.xlsx&amp;sheet=U0&amp;row=1358&amp;col=6&amp;number=4.4&amp;sourceID=14","4.4")</f>
        <v>4.4</v>
      </c>
      <c r="G1358" s="4" t="str">
        <f>HYPERLINK("http://141.218.60.56/~jnz1568/getInfo.php?workbook=14_02.xlsx&amp;sheet=U0&amp;row=1358&amp;col=7&amp;number=0.00756&amp;sourceID=14","0.00756")</f>
        <v>0.00756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HYPERLINK("http://141.218.60.56/~jnz1568/getInfo.php?workbook=14_02.xlsx&amp;sheet=U0&amp;row=1359&amp;col=6&amp;number=4.5&amp;sourceID=14","4.5")</f>
        <v>4.5</v>
      </c>
      <c r="G1359" s="4" t="str">
        <f>HYPERLINK("http://141.218.60.56/~jnz1568/getInfo.php?workbook=14_02.xlsx&amp;sheet=U0&amp;row=1359&amp;col=7&amp;number=0.00757&amp;sourceID=14","0.00757")</f>
        <v>0.00757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HYPERLINK("http://141.218.60.56/~jnz1568/getInfo.php?workbook=14_02.xlsx&amp;sheet=U0&amp;row=1360&amp;col=6&amp;number=4.6&amp;sourceID=14","4.6")</f>
        <v>4.6</v>
      </c>
      <c r="G1360" s="4" t="str">
        <f>HYPERLINK("http://141.218.60.56/~jnz1568/getInfo.php?workbook=14_02.xlsx&amp;sheet=U0&amp;row=1360&amp;col=7&amp;number=0.00758&amp;sourceID=14","0.00758")</f>
        <v>0.00758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HYPERLINK("http://141.218.60.56/~jnz1568/getInfo.php?workbook=14_02.xlsx&amp;sheet=U0&amp;row=1361&amp;col=6&amp;number=4.7&amp;sourceID=14","4.7")</f>
        <v>4.7</v>
      </c>
      <c r="G1361" s="4" t="str">
        <f>HYPERLINK("http://141.218.60.56/~jnz1568/getInfo.php?workbook=14_02.xlsx&amp;sheet=U0&amp;row=1361&amp;col=7&amp;number=0.00759&amp;sourceID=14","0.00759")</f>
        <v>0.00759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HYPERLINK("http://141.218.60.56/~jnz1568/getInfo.php?workbook=14_02.xlsx&amp;sheet=U0&amp;row=1362&amp;col=6&amp;number=4.8&amp;sourceID=14","4.8")</f>
        <v>4.8</v>
      </c>
      <c r="G1362" s="4" t="str">
        <f>HYPERLINK("http://141.218.60.56/~jnz1568/getInfo.php?workbook=14_02.xlsx&amp;sheet=U0&amp;row=1362&amp;col=7&amp;number=0.0076&amp;sourceID=14","0.0076")</f>
        <v>0.0076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HYPERLINK("http://141.218.60.56/~jnz1568/getInfo.php?workbook=14_02.xlsx&amp;sheet=U0&amp;row=1363&amp;col=6&amp;number=4.9&amp;sourceID=14","4.9")</f>
        <v>4.9</v>
      </c>
      <c r="G1363" s="4" t="str">
        <f>HYPERLINK("http://141.218.60.56/~jnz1568/getInfo.php?workbook=14_02.xlsx&amp;sheet=U0&amp;row=1363&amp;col=7&amp;number=0.00762&amp;sourceID=14","0.00762")</f>
        <v>0.00762</v>
      </c>
    </row>
    <row r="1364" spans="1:7">
      <c r="A1364" s="3">
        <v>14</v>
      </c>
      <c r="B1364" s="3">
        <v>2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HYPERLINK("http://141.218.60.56/~jnz1568/getInfo.php?workbook=14_02.xlsx&amp;sheet=U0&amp;row=1364&amp;col=6&amp;number=3&amp;sourceID=14","3")</f>
        <v>3</v>
      </c>
      <c r="G1364" s="4" t="str">
        <f>HYPERLINK("http://141.218.60.56/~jnz1568/getInfo.php?workbook=14_02.xlsx&amp;sheet=U0&amp;row=1364&amp;col=7&amp;number=0.00165&amp;sourceID=14","0.00165")</f>
        <v>0.00165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HYPERLINK("http://141.218.60.56/~jnz1568/getInfo.php?workbook=14_02.xlsx&amp;sheet=U0&amp;row=1365&amp;col=6&amp;number=3.1&amp;sourceID=14","3.1")</f>
        <v>3.1</v>
      </c>
      <c r="G1365" s="4" t="str">
        <f>HYPERLINK("http://141.218.60.56/~jnz1568/getInfo.php?workbook=14_02.xlsx&amp;sheet=U0&amp;row=1365&amp;col=7&amp;number=0.00165&amp;sourceID=14","0.00165")</f>
        <v>0.00165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HYPERLINK("http://141.218.60.56/~jnz1568/getInfo.php?workbook=14_02.xlsx&amp;sheet=U0&amp;row=1366&amp;col=6&amp;number=3.2&amp;sourceID=14","3.2")</f>
        <v>3.2</v>
      </c>
      <c r="G1366" s="4" t="str">
        <f>HYPERLINK("http://141.218.60.56/~jnz1568/getInfo.php?workbook=14_02.xlsx&amp;sheet=U0&amp;row=1366&amp;col=7&amp;number=0.00165&amp;sourceID=14","0.00165")</f>
        <v>0.00165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HYPERLINK("http://141.218.60.56/~jnz1568/getInfo.php?workbook=14_02.xlsx&amp;sheet=U0&amp;row=1367&amp;col=6&amp;number=3.3&amp;sourceID=14","3.3")</f>
        <v>3.3</v>
      </c>
      <c r="G1367" s="4" t="str">
        <f>HYPERLINK("http://141.218.60.56/~jnz1568/getInfo.php?workbook=14_02.xlsx&amp;sheet=U0&amp;row=1367&amp;col=7&amp;number=0.00165&amp;sourceID=14","0.00165")</f>
        <v>0.00165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HYPERLINK("http://141.218.60.56/~jnz1568/getInfo.php?workbook=14_02.xlsx&amp;sheet=U0&amp;row=1368&amp;col=6&amp;number=3.4&amp;sourceID=14","3.4")</f>
        <v>3.4</v>
      </c>
      <c r="G1368" s="4" t="str">
        <f>HYPERLINK("http://141.218.60.56/~jnz1568/getInfo.php?workbook=14_02.xlsx&amp;sheet=U0&amp;row=1368&amp;col=7&amp;number=0.00165&amp;sourceID=14","0.00165")</f>
        <v>0.00165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HYPERLINK("http://141.218.60.56/~jnz1568/getInfo.php?workbook=14_02.xlsx&amp;sheet=U0&amp;row=1369&amp;col=6&amp;number=3.5&amp;sourceID=14","3.5")</f>
        <v>3.5</v>
      </c>
      <c r="G1369" s="4" t="str">
        <f>HYPERLINK("http://141.218.60.56/~jnz1568/getInfo.php?workbook=14_02.xlsx&amp;sheet=U0&amp;row=1369&amp;col=7&amp;number=0.00165&amp;sourceID=14","0.00165")</f>
        <v>0.00165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HYPERLINK("http://141.218.60.56/~jnz1568/getInfo.php?workbook=14_02.xlsx&amp;sheet=U0&amp;row=1370&amp;col=6&amp;number=3.6&amp;sourceID=14","3.6")</f>
        <v>3.6</v>
      </c>
      <c r="G1370" s="4" t="str">
        <f>HYPERLINK("http://141.218.60.56/~jnz1568/getInfo.php?workbook=14_02.xlsx&amp;sheet=U0&amp;row=1370&amp;col=7&amp;number=0.00165&amp;sourceID=14","0.00165")</f>
        <v>0.00165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HYPERLINK("http://141.218.60.56/~jnz1568/getInfo.php?workbook=14_02.xlsx&amp;sheet=U0&amp;row=1371&amp;col=6&amp;number=3.7&amp;sourceID=14","3.7")</f>
        <v>3.7</v>
      </c>
      <c r="G1371" s="4" t="str">
        <f>HYPERLINK("http://141.218.60.56/~jnz1568/getInfo.php?workbook=14_02.xlsx&amp;sheet=U0&amp;row=1371&amp;col=7&amp;number=0.00165&amp;sourceID=14","0.00165")</f>
        <v>0.00165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HYPERLINK("http://141.218.60.56/~jnz1568/getInfo.php?workbook=14_02.xlsx&amp;sheet=U0&amp;row=1372&amp;col=6&amp;number=3.8&amp;sourceID=14","3.8")</f>
        <v>3.8</v>
      </c>
      <c r="G1372" s="4" t="str">
        <f>HYPERLINK("http://141.218.60.56/~jnz1568/getInfo.php?workbook=14_02.xlsx&amp;sheet=U0&amp;row=1372&amp;col=7&amp;number=0.00165&amp;sourceID=14","0.00165")</f>
        <v>0.00165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HYPERLINK("http://141.218.60.56/~jnz1568/getInfo.php?workbook=14_02.xlsx&amp;sheet=U0&amp;row=1373&amp;col=6&amp;number=3.9&amp;sourceID=14","3.9")</f>
        <v>3.9</v>
      </c>
      <c r="G1373" s="4" t="str">
        <f>HYPERLINK("http://141.218.60.56/~jnz1568/getInfo.php?workbook=14_02.xlsx&amp;sheet=U0&amp;row=1373&amp;col=7&amp;number=0.00165&amp;sourceID=14","0.00165")</f>
        <v>0.00165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HYPERLINK("http://141.218.60.56/~jnz1568/getInfo.php?workbook=14_02.xlsx&amp;sheet=U0&amp;row=1374&amp;col=6&amp;number=4&amp;sourceID=14","4")</f>
        <v>4</v>
      </c>
      <c r="G1374" s="4" t="str">
        <f>HYPERLINK("http://141.218.60.56/~jnz1568/getInfo.php?workbook=14_02.xlsx&amp;sheet=U0&amp;row=1374&amp;col=7&amp;number=0.00165&amp;sourceID=14","0.00165")</f>
        <v>0.00165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HYPERLINK("http://141.218.60.56/~jnz1568/getInfo.php?workbook=14_02.xlsx&amp;sheet=U0&amp;row=1375&amp;col=6&amp;number=4.1&amp;sourceID=14","4.1")</f>
        <v>4.1</v>
      </c>
      <c r="G1375" s="4" t="str">
        <f>HYPERLINK("http://141.218.60.56/~jnz1568/getInfo.php?workbook=14_02.xlsx&amp;sheet=U0&amp;row=1375&amp;col=7&amp;number=0.00165&amp;sourceID=14","0.00165")</f>
        <v>0.00165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HYPERLINK("http://141.218.60.56/~jnz1568/getInfo.php?workbook=14_02.xlsx&amp;sheet=U0&amp;row=1376&amp;col=6&amp;number=4.2&amp;sourceID=14","4.2")</f>
        <v>4.2</v>
      </c>
      <c r="G1376" s="4" t="str">
        <f>HYPERLINK("http://141.218.60.56/~jnz1568/getInfo.php?workbook=14_02.xlsx&amp;sheet=U0&amp;row=1376&amp;col=7&amp;number=0.00165&amp;sourceID=14","0.00165")</f>
        <v>0.00165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HYPERLINK("http://141.218.60.56/~jnz1568/getInfo.php?workbook=14_02.xlsx&amp;sheet=U0&amp;row=1377&amp;col=6&amp;number=4.3&amp;sourceID=14","4.3")</f>
        <v>4.3</v>
      </c>
      <c r="G1377" s="4" t="str">
        <f>HYPERLINK("http://141.218.60.56/~jnz1568/getInfo.php?workbook=14_02.xlsx&amp;sheet=U0&amp;row=1377&amp;col=7&amp;number=0.00165&amp;sourceID=14","0.00165")</f>
        <v>0.00165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HYPERLINK("http://141.218.60.56/~jnz1568/getInfo.php?workbook=14_02.xlsx&amp;sheet=U0&amp;row=1378&amp;col=6&amp;number=4.4&amp;sourceID=14","4.4")</f>
        <v>4.4</v>
      </c>
      <c r="G1378" s="4" t="str">
        <f>HYPERLINK("http://141.218.60.56/~jnz1568/getInfo.php?workbook=14_02.xlsx&amp;sheet=U0&amp;row=1378&amp;col=7&amp;number=0.00165&amp;sourceID=14","0.00165")</f>
        <v>0.00165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HYPERLINK("http://141.218.60.56/~jnz1568/getInfo.php?workbook=14_02.xlsx&amp;sheet=U0&amp;row=1379&amp;col=6&amp;number=4.5&amp;sourceID=14","4.5")</f>
        <v>4.5</v>
      </c>
      <c r="G1379" s="4" t="str">
        <f>HYPERLINK("http://141.218.60.56/~jnz1568/getInfo.php?workbook=14_02.xlsx&amp;sheet=U0&amp;row=1379&amp;col=7&amp;number=0.00165&amp;sourceID=14","0.00165")</f>
        <v>0.00165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HYPERLINK("http://141.218.60.56/~jnz1568/getInfo.php?workbook=14_02.xlsx&amp;sheet=U0&amp;row=1380&amp;col=6&amp;number=4.6&amp;sourceID=14","4.6")</f>
        <v>4.6</v>
      </c>
      <c r="G1380" s="4" t="str">
        <f>HYPERLINK("http://141.218.60.56/~jnz1568/getInfo.php?workbook=14_02.xlsx&amp;sheet=U0&amp;row=1380&amp;col=7&amp;number=0.00164&amp;sourceID=14","0.00164")</f>
        <v>0.00164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HYPERLINK("http://141.218.60.56/~jnz1568/getInfo.php?workbook=14_02.xlsx&amp;sheet=U0&amp;row=1381&amp;col=6&amp;number=4.7&amp;sourceID=14","4.7")</f>
        <v>4.7</v>
      </c>
      <c r="G1381" s="4" t="str">
        <f>HYPERLINK("http://141.218.60.56/~jnz1568/getInfo.php?workbook=14_02.xlsx&amp;sheet=U0&amp;row=1381&amp;col=7&amp;number=0.00164&amp;sourceID=14","0.00164")</f>
        <v>0.00164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HYPERLINK("http://141.218.60.56/~jnz1568/getInfo.php?workbook=14_02.xlsx&amp;sheet=U0&amp;row=1382&amp;col=6&amp;number=4.8&amp;sourceID=14","4.8")</f>
        <v>4.8</v>
      </c>
      <c r="G1382" s="4" t="str">
        <f>HYPERLINK("http://141.218.60.56/~jnz1568/getInfo.php?workbook=14_02.xlsx&amp;sheet=U0&amp;row=1382&amp;col=7&amp;number=0.00164&amp;sourceID=14","0.00164")</f>
        <v>0.00164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HYPERLINK("http://141.218.60.56/~jnz1568/getInfo.php?workbook=14_02.xlsx&amp;sheet=U0&amp;row=1383&amp;col=6&amp;number=4.9&amp;sourceID=14","4.9")</f>
        <v>4.9</v>
      </c>
      <c r="G1383" s="4" t="str">
        <f>HYPERLINK("http://141.218.60.56/~jnz1568/getInfo.php?workbook=14_02.xlsx&amp;sheet=U0&amp;row=1383&amp;col=7&amp;number=0.00163&amp;sourceID=14","0.00163")</f>
        <v>0.00163</v>
      </c>
    </row>
    <row r="1384" spans="1:7">
      <c r="A1384" s="3">
        <v>14</v>
      </c>
      <c r="B1384" s="3">
        <v>2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HYPERLINK("http://141.218.60.56/~jnz1568/getInfo.php?workbook=14_02.xlsx&amp;sheet=U0&amp;row=1384&amp;col=6&amp;number=3&amp;sourceID=14","3")</f>
        <v>3</v>
      </c>
      <c r="G1384" s="4" t="str">
        <f>HYPERLINK("http://141.218.60.56/~jnz1568/getInfo.php?workbook=14_02.xlsx&amp;sheet=U0&amp;row=1384&amp;col=7&amp;number=0.00323&amp;sourceID=14","0.00323")</f>
        <v>0.00323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HYPERLINK("http://141.218.60.56/~jnz1568/getInfo.php?workbook=14_02.xlsx&amp;sheet=U0&amp;row=1385&amp;col=6&amp;number=3.1&amp;sourceID=14","3.1")</f>
        <v>3.1</v>
      </c>
      <c r="G1385" s="4" t="str">
        <f>HYPERLINK("http://141.218.60.56/~jnz1568/getInfo.php?workbook=14_02.xlsx&amp;sheet=U0&amp;row=1385&amp;col=7&amp;number=0.00323&amp;sourceID=14","0.00323")</f>
        <v>0.00323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HYPERLINK("http://141.218.60.56/~jnz1568/getInfo.php?workbook=14_02.xlsx&amp;sheet=U0&amp;row=1386&amp;col=6&amp;number=3.2&amp;sourceID=14","3.2")</f>
        <v>3.2</v>
      </c>
      <c r="G1386" s="4" t="str">
        <f>HYPERLINK("http://141.218.60.56/~jnz1568/getInfo.php?workbook=14_02.xlsx&amp;sheet=U0&amp;row=1386&amp;col=7&amp;number=0.00323&amp;sourceID=14","0.00323")</f>
        <v>0.00323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HYPERLINK("http://141.218.60.56/~jnz1568/getInfo.php?workbook=14_02.xlsx&amp;sheet=U0&amp;row=1387&amp;col=6&amp;number=3.3&amp;sourceID=14","3.3")</f>
        <v>3.3</v>
      </c>
      <c r="G1387" s="4" t="str">
        <f>HYPERLINK("http://141.218.60.56/~jnz1568/getInfo.php?workbook=14_02.xlsx&amp;sheet=U0&amp;row=1387&amp;col=7&amp;number=0.00323&amp;sourceID=14","0.00323")</f>
        <v>0.00323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HYPERLINK("http://141.218.60.56/~jnz1568/getInfo.php?workbook=14_02.xlsx&amp;sheet=U0&amp;row=1388&amp;col=6&amp;number=3.4&amp;sourceID=14","3.4")</f>
        <v>3.4</v>
      </c>
      <c r="G1388" s="4" t="str">
        <f>HYPERLINK("http://141.218.60.56/~jnz1568/getInfo.php?workbook=14_02.xlsx&amp;sheet=U0&amp;row=1388&amp;col=7&amp;number=0.00323&amp;sourceID=14","0.00323")</f>
        <v>0.00323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HYPERLINK("http://141.218.60.56/~jnz1568/getInfo.php?workbook=14_02.xlsx&amp;sheet=U0&amp;row=1389&amp;col=6&amp;number=3.5&amp;sourceID=14","3.5")</f>
        <v>3.5</v>
      </c>
      <c r="G1389" s="4" t="str">
        <f>HYPERLINK("http://141.218.60.56/~jnz1568/getInfo.php?workbook=14_02.xlsx&amp;sheet=U0&amp;row=1389&amp;col=7&amp;number=0.00323&amp;sourceID=14","0.00323")</f>
        <v>0.00323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HYPERLINK("http://141.218.60.56/~jnz1568/getInfo.php?workbook=14_02.xlsx&amp;sheet=U0&amp;row=1390&amp;col=6&amp;number=3.6&amp;sourceID=14","3.6")</f>
        <v>3.6</v>
      </c>
      <c r="G1390" s="4" t="str">
        <f>HYPERLINK("http://141.218.60.56/~jnz1568/getInfo.php?workbook=14_02.xlsx&amp;sheet=U0&amp;row=1390&amp;col=7&amp;number=0.00323&amp;sourceID=14","0.00323")</f>
        <v>0.00323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HYPERLINK("http://141.218.60.56/~jnz1568/getInfo.php?workbook=14_02.xlsx&amp;sheet=U0&amp;row=1391&amp;col=6&amp;number=3.7&amp;sourceID=14","3.7")</f>
        <v>3.7</v>
      </c>
      <c r="G1391" s="4" t="str">
        <f>HYPERLINK("http://141.218.60.56/~jnz1568/getInfo.php?workbook=14_02.xlsx&amp;sheet=U0&amp;row=1391&amp;col=7&amp;number=0.00323&amp;sourceID=14","0.00323")</f>
        <v>0.00323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HYPERLINK("http://141.218.60.56/~jnz1568/getInfo.php?workbook=14_02.xlsx&amp;sheet=U0&amp;row=1392&amp;col=6&amp;number=3.8&amp;sourceID=14","3.8")</f>
        <v>3.8</v>
      </c>
      <c r="G1392" s="4" t="str">
        <f>HYPERLINK("http://141.218.60.56/~jnz1568/getInfo.php?workbook=14_02.xlsx&amp;sheet=U0&amp;row=1392&amp;col=7&amp;number=0.00323&amp;sourceID=14","0.00323")</f>
        <v>0.00323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HYPERLINK("http://141.218.60.56/~jnz1568/getInfo.php?workbook=14_02.xlsx&amp;sheet=U0&amp;row=1393&amp;col=6&amp;number=3.9&amp;sourceID=14","3.9")</f>
        <v>3.9</v>
      </c>
      <c r="G1393" s="4" t="str">
        <f>HYPERLINK("http://141.218.60.56/~jnz1568/getInfo.php?workbook=14_02.xlsx&amp;sheet=U0&amp;row=1393&amp;col=7&amp;number=0.00323&amp;sourceID=14","0.00323")</f>
        <v>0.00323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HYPERLINK("http://141.218.60.56/~jnz1568/getInfo.php?workbook=14_02.xlsx&amp;sheet=U0&amp;row=1394&amp;col=6&amp;number=4&amp;sourceID=14","4")</f>
        <v>4</v>
      </c>
      <c r="G1394" s="4" t="str">
        <f>HYPERLINK("http://141.218.60.56/~jnz1568/getInfo.php?workbook=14_02.xlsx&amp;sheet=U0&amp;row=1394&amp;col=7&amp;number=0.00323&amp;sourceID=14","0.00323")</f>
        <v>0.00323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HYPERLINK("http://141.218.60.56/~jnz1568/getInfo.php?workbook=14_02.xlsx&amp;sheet=U0&amp;row=1395&amp;col=6&amp;number=4.1&amp;sourceID=14","4.1")</f>
        <v>4.1</v>
      </c>
      <c r="G1395" s="4" t="str">
        <f>HYPERLINK("http://141.218.60.56/~jnz1568/getInfo.php?workbook=14_02.xlsx&amp;sheet=U0&amp;row=1395&amp;col=7&amp;number=0.00324&amp;sourceID=14","0.00324")</f>
        <v>0.00324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HYPERLINK("http://141.218.60.56/~jnz1568/getInfo.php?workbook=14_02.xlsx&amp;sheet=U0&amp;row=1396&amp;col=6&amp;number=4.2&amp;sourceID=14","4.2")</f>
        <v>4.2</v>
      </c>
      <c r="G1396" s="4" t="str">
        <f>HYPERLINK("http://141.218.60.56/~jnz1568/getInfo.php?workbook=14_02.xlsx&amp;sheet=U0&amp;row=1396&amp;col=7&amp;number=0.00324&amp;sourceID=14","0.00324")</f>
        <v>0.00324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HYPERLINK("http://141.218.60.56/~jnz1568/getInfo.php?workbook=14_02.xlsx&amp;sheet=U0&amp;row=1397&amp;col=6&amp;number=4.3&amp;sourceID=14","4.3")</f>
        <v>4.3</v>
      </c>
      <c r="G1397" s="4" t="str">
        <f>HYPERLINK("http://141.218.60.56/~jnz1568/getInfo.php?workbook=14_02.xlsx&amp;sheet=U0&amp;row=1397&amp;col=7&amp;number=0.00324&amp;sourceID=14","0.00324")</f>
        <v>0.00324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HYPERLINK("http://141.218.60.56/~jnz1568/getInfo.php?workbook=14_02.xlsx&amp;sheet=U0&amp;row=1398&amp;col=6&amp;number=4.4&amp;sourceID=14","4.4")</f>
        <v>4.4</v>
      </c>
      <c r="G1398" s="4" t="str">
        <f>HYPERLINK("http://141.218.60.56/~jnz1568/getInfo.php?workbook=14_02.xlsx&amp;sheet=U0&amp;row=1398&amp;col=7&amp;number=0.00324&amp;sourceID=14","0.00324")</f>
        <v>0.00324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HYPERLINK("http://141.218.60.56/~jnz1568/getInfo.php?workbook=14_02.xlsx&amp;sheet=U0&amp;row=1399&amp;col=6&amp;number=4.5&amp;sourceID=14","4.5")</f>
        <v>4.5</v>
      </c>
      <c r="G1399" s="4" t="str">
        <f>HYPERLINK("http://141.218.60.56/~jnz1568/getInfo.php?workbook=14_02.xlsx&amp;sheet=U0&amp;row=1399&amp;col=7&amp;number=0.00324&amp;sourceID=14","0.00324")</f>
        <v>0.00324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HYPERLINK("http://141.218.60.56/~jnz1568/getInfo.php?workbook=14_02.xlsx&amp;sheet=U0&amp;row=1400&amp;col=6&amp;number=4.6&amp;sourceID=14","4.6")</f>
        <v>4.6</v>
      </c>
      <c r="G1400" s="4" t="str">
        <f>HYPERLINK("http://141.218.60.56/~jnz1568/getInfo.php?workbook=14_02.xlsx&amp;sheet=U0&amp;row=1400&amp;col=7&amp;number=0.00324&amp;sourceID=14","0.00324")</f>
        <v>0.00324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HYPERLINK("http://141.218.60.56/~jnz1568/getInfo.php?workbook=14_02.xlsx&amp;sheet=U0&amp;row=1401&amp;col=6&amp;number=4.7&amp;sourceID=14","4.7")</f>
        <v>4.7</v>
      </c>
      <c r="G1401" s="4" t="str">
        <f>HYPERLINK("http://141.218.60.56/~jnz1568/getInfo.php?workbook=14_02.xlsx&amp;sheet=U0&amp;row=1401&amp;col=7&amp;number=0.00324&amp;sourceID=14","0.00324")</f>
        <v>0.00324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HYPERLINK("http://141.218.60.56/~jnz1568/getInfo.php?workbook=14_02.xlsx&amp;sheet=U0&amp;row=1402&amp;col=6&amp;number=4.8&amp;sourceID=14","4.8")</f>
        <v>4.8</v>
      </c>
      <c r="G1402" s="4" t="str">
        <f>HYPERLINK("http://141.218.60.56/~jnz1568/getInfo.php?workbook=14_02.xlsx&amp;sheet=U0&amp;row=1402&amp;col=7&amp;number=0.00324&amp;sourceID=14","0.00324")</f>
        <v>0.00324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HYPERLINK("http://141.218.60.56/~jnz1568/getInfo.php?workbook=14_02.xlsx&amp;sheet=U0&amp;row=1403&amp;col=6&amp;number=4.9&amp;sourceID=14","4.9")</f>
        <v>4.9</v>
      </c>
      <c r="G1403" s="4" t="str">
        <f>HYPERLINK("http://141.218.60.56/~jnz1568/getInfo.php?workbook=14_02.xlsx&amp;sheet=U0&amp;row=1403&amp;col=7&amp;number=0.00324&amp;sourceID=14","0.00324")</f>
        <v>0.00324</v>
      </c>
    </row>
    <row r="1404" spans="1:7">
      <c r="A1404" s="3">
        <v>14</v>
      </c>
      <c r="B1404" s="3">
        <v>2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HYPERLINK("http://141.218.60.56/~jnz1568/getInfo.php?workbook=14_02.xlsx&amp;sheet=U0&amp;row=1404&amp;col=6&amp;number=3&amp;sourceID=14","3")</f>
        <v>3</v>
      </c>
      <c r="G1404" s="4" t="str">
        <f>HYPERLINK("http://141.218.60.56/~jnz1568/getInfo.php?workbook=14_02.xlsx&amp;sheet=U0&amp;row=1404&amp;col=7&amp;number=0.00725&amp;sourceID=14","0.00725")</f>
        <v>0.00725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HYPERLINK("http://141.218.60.56/~jnz1568/getInfo.php?workbook=14_02.xlsx&amp;sheet=U0&amp;row=1405&amp;col=6&amp;number=3.1&amp;sourceID=14","3.1")</f>
        <v>3.1</v>
      </c>
      <c r="G1405" s="4" t="str">
        <f>HYPERLINK("http://141.218.60.56/~jnz1568/getInfo.php?workbook=14_02.xlsx&amp;sheet=U0&amp;row=1405&amp;col=7&amp;number=0.00725&amp;sourceID=14","0.00725")</f>
        <v>0.00725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HYPERLINK("http://141.218.60.56/~jnz1568/getInfo.php?workbook=14_02.xlsx&amp;sheet=U0&amp;row=1406&amp;col=6&amp;number=3.2&amp;sourceID=14","3.2")</f>
        <v>3.2</v>
      </c>
      <c r="G1406" s="4" t="str">
        <f>HYPERLINK("http://141.218.60.56/~jnz1568/getInfo.php?workbook=14_02.xlsx&amp;sheet=U0&amp;row=1406&amp;col=7&amp;number=0.00725&amp;sourceID=14","0.00725")</f>
        <v>0.00725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HYPERLINK("http://141.218.60.56/~jnz1568/getInfo.php?workbook=14_02.xlsx&amp;sheet=U0&amp;row=1407&amp;col=6&amp;number=3.3&amp;sourceID=14","3.3")</f>
        <v>3.3</v>
      </c>
      <c r="G1407" s="4" t="str">
        <f>HYPERLINK("http://141.218.60.56/~jnz1568/getInfo.php?workbook=14_02.xlsx&amp;sheet=U0&amp;row=1407&amp;col=7&amp;number=0.00725&amp;sourceID=14","0.00725")</f>
        <v>0.00725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HYPERLINK("http://141.218.60.56/~jnz1568/getInfo.php?workbook=14_02.xlsx&amp;sheet=U0&amp;row=1408&amp;col=6&amp;number=3.4&amp;sourceID=14","3.4")</f>
        <v>3.4</v>
      </c>
      <c r="G1408" s="4" t="str">
        <f>HYPERLINK("http://141.218.60.56/~jnz1568/getInfo.php?workbook=14_02.xlsx&amp;sheet=U0&amp;row=1408&amp;col=7&amp;number=0.00725&amp;sourceID=14","0.00725")</f>
        <v>0.00725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HYPERLINK("http://141.218.60.56/~jnz1568/getInfo.php?workbook=14_02.xlsx&amp;sheet=U0&amp;row=1409&amp;col=6&amp;number=3.5&amp;sourceID=14","3.5")</f>
        <v>3.5</v>
      </c>
      <c r="G1409" s="4" t="str">
        <f>HYPERLINK("http://141.218.60.56/~jnz1568/getInfo.php?workbook=14_02.xlsx&amp;sheet=U0&amp;row=1409&amp;col=7&amp;number=0.00725&amp;sourceID=14","0.00725")</f>
        <v>0.00725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HYPERLINK("http://141.218.60.56/~jnz1568/getInfo.php?workbook=14_02.xlsx&amp;sheet=U0&amp;row=1410&amp;col=6&amp;number=3.6&amp;sourceID=14","3.6")</f>
        <v>3.6</v>
      </c>
      <c r="G1410" s="4" t="str">
        <f>HYPERLINK("http://141.218.60.56/~jnz1568/getInfo.php?workbook=14_02.xlsx&amp;sheet=U0&amp;row=1410&amp;col=7&amp;number=0.00725&amp;sourceID=14","0.00725")</f>
        <v>0.00725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HYPERLINK("http://141.218.60.56/~jnz1568/getInfo.php?workbook=14_02.xlsx&amp;sheet=U0&amp;row=1411&amp;col=6&amp;number=3.7&amp;sourceID=14","3.7")</f>
        <v>3.7</v>
      </c>
      <c r="G1411" s="4" t="str">
        <f>HYPERLINK("http://141.218.60.56/~jnz1568/getInfo.php?workbook=14_02.xlsx&amp;sheet=U0&amp;row=1411&amp;col=7&amp;number=0.00725&amp;sourceID=14","0.00725")</f>
        <v>0.00725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HYPERLINK("http://141.218.60.56/~jnz1568/getInfo.php?workbook=14_02.xlsx&amp;sheet=U0&amp;row=1412&amp;col=6&amp;number=3.8&amp;sourceID=14","3.8")</f>
        <v>3.8</v>
      </c>
      <c r="G1412" s="4" t="str">
        <f>HYPERLINK("http://141.218.60.56/~jnz1568/getInfo.php?workbook=14_02.xlsx&amp;sheet=U0&amp;row=1412&amp;col=7&amp;number=0.00725&amp;sourceID=14","0.00725")</f>
        <v>0.00725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HYPERLINK("http://141.218.60.56/~jnz1568/getInfo.php?workbook=14_02.xlsx&amp;sheet=U0&amp;row=1413&amp;col=6&amp;number=3.9&amp;sourceID=14","3.9")</f>
        <v>3.9</v>
      </c>
      <c r="G1413" s="4" t="str">
        <f>HYPERLINK("http://141.218.60.56/~jnz1568/getInfo.php?workbook=14_02.xlsx&amp;sheet=U0&amp;row=1413&amp;col=7&amp;number=0.00725&amp;sourceID=14","0.00725")</f>
        <v>0.00725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HYPERLINK("http://141.218.60.56/~jnz1568/getInfo.php?workbook=14_02.xlsx&amp;sheet=U0&amp;row=1414&amp;col=6&amp;number=4&amp;sourceID=14","4")</f>
        <v>4</v>
      </c>
      <c r="G1414" s="4" t="str">
        <f>HYPERLINK("http://141.218.60.56/~jnz1568/getInfo.php?workbook=14_02.xlsx&amp;sheet=U0&amp;row=1414&amp;col=7&amp;number=0.00725&amp;sourceID=14","0.00725")</f>
        <v>0.00725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HYPERLINK("http://141.218.60.56/~jnz1568/getInfo.php?workbook=14_02.xlsx&amp;sheet=U0&amp;row=1415&amp;col=6&amp;number=4.1&amp;sourceID=14","4.1")</f>
        <v>4.1</v>
      </c>
      <c r="G1415" s="4" t="str">
        <f>HYPERLINK("http://141.218.60.56/~jnz1568/getInfo.php?workbook=14_02.xlsx&amp;sheet=U0&amp;row=1415&amp;col=7&amp;number=0.00725&amp;sourceID=14","0.00725")</f>
        <v>0.00725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HYPERLINK("http://141.218.60.56/~jnz1568/getInfo.php?workbook=14_02.xlsx&amp;sheet=U0&amp;row=1416&amp;col=6&amp;number=4.2&amp;sourceID=14","4.2")</f>
        <v>4.2</v>
      </c>
      <c r="G1416" s="4" t="str">
        <f>HYPERLINK("http://141.218.60.56/~jnz1568/getInfo.php?workbook=14_02.xlsx&amp;sheet=U0&amp;row=1416&amp;col=7&amp;number=0.00725&amp;sourceID=14","0.00725")</f>
        <v>0.00725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HYPERLINK("http://141.218.60.56/~jnz1568/getInfo.php?workbook=14_02.xlsx&amp;sheet=U0&amp;row=1417&amp;col=6&amp;number=4.3&amp;sourceID=14","4.3")</f>
        <v>4.3</v>
      </c>
      <c r="G1417" s="4" t="str">
        <f>HYPERLINK("http://141.218.60.56/~jnz1568/getInfo.php?workbook=14_02.xlsx&amp;sheet=U0&amp;row=1417&amp;col=7&amp;number=0.00725&amp;sourceID=14","0.00725")</f>
        <v>0.00725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HYPERLINK("http://141.218.60.56/~jnz1568/getInfo.php?workbook=14_02.xlsx&amp;sheet=U0&amp;row=1418&amp;col=6&amp;number=4.4&amp;sourceID=14","4.4")</f>
        <v>4.4</v>
      </c>
      <c r="G1418" s="4" t="str">
        <f>HYPERLINK("http://141.218.60.56/~jnz1568/getInfo.php?workbook=14_02.xlsx&amp;sheet=U0&amp;row=1418&amp;col=7&amp;number=0.00725&amp;sourceID=14","0.00725")</f>
        <v>0.00725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HYPERLINK("http://141.218.60.56/~jnz1568/getInfo.php?workbook=14_02.xlsx&amp;sheet=U0&amp;row=1419&amp;col=6&amp;number=4.5&amp;sourceID=14","4.5")</f>
        <v>4.5</v>
      </c>
      <c r="G1419" s="4" t="str">
        <f>HYPERLINK("http://141.218.60.56/~jnz1568/getInfo.php?workbook=14_02.xlsx&amp;sheet=U0&amp;row=1419&amp;col=7&amp;number=0.00725&amp;sourceID=14","0.00725")</f>
        <v>0.00725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HYPERLINK("http://141.218.60.56/~jnz1568/getInfo.php?workbook=14_02.xlsx&amp;sheet=U0&amp;row=1420&amp;col=6&amp;number=4.6&amp;sourceID=14","4.6")</f>
        <v>4.6</v>
      </c>
      <c r="G1420" s="4" t="str">
        <f>HYPERLINK("http://141.218.60.56/~jnz1568/getInfo.php?workbook=14_02.xlsx&amp;sheet=U0&amp;row=1420&amp;col=7&amp;number=0.00725&amp;sourceID=14","0.00725")</f>
        <v>0.00725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HYPERLINK("http://141.218.60.56/~jnz1568/getInfo.php?workbook=14_02.xlsx&amp;sheet=U0&amp;row=1421&amp;col=6&amp;number=4.7&amp;sourceID=14","4.7")</f>
        <v>4.7</v>
      </c>
      <c r="G1421" s="4" t="str">
        <f>HYPERLINK("http://141.218.60.56/~jnz1568/getInfo.php?workbook=14_02.xlsx&amp;sheet=U0&amp;row=1421&amp;col=7&amp;number=0.00726&amp;sourceID=14","0.00726")</f>
        <v>0.00726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HYPERLINK("http://141.218.60.56/~jnz1568/getInfo.php?workbook=14_02.xlsx&amp;sheet=U0&amp;row=1422&amp;col=6&amp;number=4.8&amp;sourceID=14","4.8")</f>
        <v>4.8</v>
      </c>
      <c r="G1422" s="4" t="str">
        <f>HYPERLINK("http://141.218.60.56/~jnz1568/getInfo.php?workbook=14_02.xlsx&amp;sheet=U0&amp;row=1422&amp;col=7&amp;number=0.00726&amp;sourceID=14","0.00726")</f>
        <v>0.00726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HYPERLINK("http://141.218.60.56/~jnz1568/getInfo.php?workbook=14_02.xlsx&amp;sheet=U0&amp;row=1423&amp;col=6&amp;number=4.9&amp;sourceID=14","4.9")</f>
        <v>4.9</v>
      </c>
      <c r="G1423" s="4" t="str">
        <f>HYPERLINK("http://141.218.60.56/~jnz1568/getInfo.php?workbook=14_02.xlsx&amp;sheet=U0&amp;row=1423&amp;col=7&amp;number=0.00726&amp;sourceID=14","0.00726")</f>
        <v>0.00726</v>
      </c>
    </row>
    <row r="1424" spans="1:7">
      <c r="A1424" s="3">
        <v>14</v>
      </c>
      <c r="B1424" s="3">
        <v>2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HYPERLINK("http://141.218.60.56/~jnz1568/getInfo.php?workbook=14_02.xlsx&amp;sheet=U0&amp;row=1424&amp;col=6&amp;number=3&amp;sourceID=14","3")</f>
        <v>3</v>
      </c>
      <c r="G1424" s="4" t="str">
        <f>HYPERLINK("http://141.218.60.56/~jnz1568/getInfo.php?workbook=14_02.xlsx&amp;sheet=U0&amp;row=1424&amp;col=7&amp;number=0.0106&amp;sourceID=14","0.0106")</f>
        <v>0.0106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HYPERLINK("http://141.218.60.56/~jnz1568/getInfo.php?workbook=14_02.xlsx&amp;sheet=U0&amp;row=1425&amp;col=6&amp;number=3.1&amp;sourceID=14","3.1")</f>
        <v>3.1</v>
      </c>
      <c r="G1425" s="4" t="str">
        <f>HYPERLINK("http://141.218.60.56/~jnz1568/getInfo.php?workbook=14_02.xlsx&amp;sheet=U0&amp;row=1425&amp;col=7&amp;number=0.0106&amp;sourceID=14","0.0106")</f>
        <v>0.0106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HYPERLINK("http://141.218.60.56/~jnz1568/getInfo.php?workbook=14_02.xlsx&amp;sheet=U0&amp;row=1426&amp;col=6&amp;number=3.2&amp;sourceID=14","3.2")</f>
        <v>3.2</v>
      </c>
      <c r="G1426" s="4" t="str">
        <f>HYPERLINK("http://141.218.60.56/~jnz1568/getInfo.php?workbook=14_02.xlsx&amp;sheet=U0&amp;row=1426&amp;col=7&amp;number=0.0106&amp;sourceID=14","0.0106")</f>
        <v>0.0106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HYPERLINK("http://141.218.60.56/~jnz1568/getInfo.php?workbook=14_02.xlsx&amp;sheet=U0&amp;row=1427&amp;col=6&amp;number=3.3&amp;sourceID=14","3.3")</f>
        <v>3.3</v>
      </c>
      <c r="G1427" s="4" t="str">
        <f>HYPERLINK("http://141.218.60.56/~jnz1568/getInfo.php?workbook=14_02.xlsx&amp;sheet=U0&amp;row=1427&amp;col=7&amp;number=0.0106&amp;sourceID=14","0.0106")</f>
        <v>0.0106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HYPERLINK("http://141.218.60.56/~jnz1568/getInfo.php?workbook=14_02.xlsx&amp;sheet=U0&amp;row=1428&amp;col=6&amp;number=3.4&amp;sourceID=14","3.4")</f>
        <v>3.4</v>
      </c>
      <c r="G1428" s="4" t="str">
        <f>HYPERLINK("http://141.218.60.56/~jnz1568/getInfo.php?workbook=14_02.xlsx&amp;sheet=U0&amp;row=1428&amp;col=7&amp;number=0.0106&amp;sourceID=14","0.0106")</f>
        <v>0.0106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HYPERLINK("http://141.218.60.56/~jnz1568/getInfo.php?workbook=14_02.xlsx&amp;sheet=U0&amp;row=1429&amp;col=6&amp;number=3.5&amp;sourceID=14","3.5")</f>
        <v>3.5</v>
      </c>
      <c r="G1429" s="4" t="str">
        <f>HYPERLINK("http://141.218.60.56/~jnz1568/getInfo.php?workbook=14_02.xlsx&amp;sheet=U0&amp;row=1429&amp;col=7&amp;number=0.0106&amp;sourceID=14","0.0106")</f>
        <v>0.0106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HYPERLINK("http://141.218.60.56/~jnz1568/getInfo.php?workbook=14_02.xlsx&amp;sheet=U0&amp;row=1430&amp;col=6&amp;number=3.6&amp;sourceID=14","3.6")</f>
        <v>3.6</v>
      </c>
      <c r="G1430" s="4" t="str">
        <f>HYPERLINK("http://141.218.60.56/~jnz1568/getInfo.php?workbook=14_02.xlsx&amp;sheet=U0&amp;row=1430&amp;col=7&amp;number=0.0106&amp;sourceID=14","0.0106")</f>
        <v>0.0106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HYPERLINK("http://141.218.60.56/~jnz1568/getInfo.php?workbook=14_02.xlsx&amp;sheet=U0&amp;row=1431&amp;col=6&amp;number=3.7&amp;sourceID=14","3.7")</f>
        <v>3.7</v>
      </c>
      <c r="G1431" s="4" t="str">
        <f>HYPERLINK("http://141.218.60.56/~jnz1568/getInfo.php?workbook=14_02.xlsx&amp;sheet=U0&amp;row=1431&amp;col=7&amp;number=0.0106&amp;sourceID=14","0.0106")</f>
        <v>0.0106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HYPERLINK("http://141.218.60.56/~jnz1568/getInfo.php?workbook=14_02.xlsx&amp;sheet=U0&amp;row=1432&amp;col=6&amp;number=3.8&amp;sourceID=14","3.8")</f>
        <v>3.8</v>
      </c>
      <c r="G1432" s="4" t="str">
        <f>HYPERLINK("http://141.218.60.56/~jnz1568/getInfo.php?workbook=14_02.xlsx&amp;sheet=U0&amp;row=1432&amp;col=7&amp;number=0.0106&amp;sourceID=14","0.0106")</f>
        <v>0.0106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HYPERLINK("http://141.218.60.56/~jnz1568/getInfo.php?workbook=14_02.xlsx&amp;sheet=U0&amp;row=1433&amp;col=6&amp;number=3.9&amp;sourceID=14","3.9")</f>
        <v>3.9</v>
      </c>
      <c r="G1433" s="4" t="str">
        <f>HYPERLINK("http://141.218.60.56/~jnz1568/getInfo.php?workbook=14_02.xlsx&amp;sheet=U0&amp;row=1433&amp;col=7&amp;number=0.0106&amp;sourceID=14","0.0106")</f>
        <v>0.0106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HYPERLINK("http://141.218.60.56/~jnz1568/getInfo.php?workbook=14_02.xlsx&amp;sheet=U0&amp;row=1434&amp;col=6&amp;number=4&amp;sourceID=14","4")</f>
        <v>4</v>
      </c>
      <c r="G1434" s="4" t="str">
        <f>HYPERLINK("http://141.218.60.56/~jnz1568/getInfo.php?workbook=14_02.xlsx&amp;sheet=U0&amp;row=1434&amp;col=7&amp;number=0.0106&amp;sourceID=14","0.0106")</f>
        <v>0.0106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HYPERLINK("http://141.218.60.56/~jnz1568/getInfo.php?workbook=14_02.xlsx&amp;sheet=U0&amp;row=1435&amp;col=6&amp;number=4.1&amp;sourceID=14","4.1")</f>
        <v>4.1</v>
      </c>
      <c r="G1435" s="4" t="str">
        <f>HYPERLINK("http://141.218.60.56/~jnz1568/getInfo.php?workbook=14_02.xlsx&amp;sheet=U0&amp;row=1435&amp;col=7&amp;number=0.0106&amp;sourceID=14","0.0106")</f>
        <v>0.0106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HYPERLINK("http://141.218.60.56/~jnz1568/getInfo.php?workbook=14_02.xlsx&amp;sheet=U0&amp;row=1436&amp;col=6&amp;number=4.2&amp;sourceID=14","4.2")</f>
        <v>4.2</v>
      </c>
      <c r="G1436" s="4" t="str">
        <f>HYPERLINK("http://141.218.60.56/~jnz1568/getInfo.php?workbook=14_02.xlsx&amp;sheet=U0&amp;row=1436&amp;col=7&amp;number=0.0106&amp;sourceID=14","0.0106")</f>
        <v>0.0106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HYPERLINK("http://141.218.60.56/~jnz1568/getInfo.php?workbook=14_02.xlsx&amp;sheet=U0&amp;row=1437&amp;col=6&amp;number=4.3&amp;sourceID=14","4.3")</f>
        <v>4.3</v>
      </c>
      <c r="G1437" s="4" t="str">
        <f>HYPERLINK("http://141.218.60.56/~jnz1568/getInfo.php?workbook=14_02.xlsx&amp;sheet=U0&amp;row=1437&amp;col=7&amp;number=0.0106&amp;sourceID=14","0.0106")</f>
        <v>0.0106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HYPERLINK("http://141.218.60.56/~jnz1568/getInfo.php?workbook=14_02.xlsx&amp;sheet=U0&amp;row=1438&amp;col=6&amp;number=4.4&amp;sourceID=14","4.4")</f>
        <v>4.4</v>
      </c>
      <c r="G1438" s="4" t="str">
        <f>HYPERLINK("http://141.218.60.56/~jnz1568/getInfo.php?workbook=14_02.xlsx&amp;sheet=U0&amp;row=1438&amp;col=7&amp;number=0.0106&amp;sourceID=14","0.0106")</f>
        <v>0.0106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HYPERLINK("http://141.218.60.56/~jnz1568/getInfo.php?workbook=14_02.xlsx&amp;sheet=U0&amp;row=1439&amp;col=6&amp;number=4.5&amp;sourceID=14","4.5")</f>
        <v>4.5</v>
      </c>
      <c r="G1439" s="4" t="str">
        <f>HYPERLINK("http://141.218.60.56/~jnz1568/getInfo.php?workbook=14_02.xlsx&amp;sheet=U0&amp;row=1439&amp;col=7&amp;number=0.0106&amp;sourceID=14","0.0106")</f>
        <v>0.0106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HYPERLINK("http://141.218.60.56/~jnz1568/getInfo.php?workbook=14_02.xlsx&amp;sheet=U0&amp;row=1440&amp;col=6&amp;number=4.6&amp;sourceID=14","4.6")</f>
        <v>4.6</v>
      </c>
      <c r="G1440" s="4" t="str">
        <f>HYPERLINK("http://141.218.60.56/~jnz1568/getInfo.php?workbook=14_02.xlsx&amp;sheet=U0&amp;row=1440&amp;col=7&amp;number=0.0106&amp;sourceID=14","0.0106")</f>
        <v>0.0106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HYPERLINK("http://141.218.60.56/~jnz1568/getInfo.php?workbook=14_02.xlsx&amp;sheet=U0&amp;row=1441&amp;col=6&amp;number=4.7&amp;sourceID=14","4.7")</f>
        <v>4.7</v>
      </c>
      <c r="G1441" s="4" t="str">
        <f>HYPERLINK("http://141.218.60.56/~jnz1568/getInfo.php?workbook=14_02.xlsx&amp;sheet=U0&amp;row=1441&amp;col=7&amp;number=0.0106&amp;sourceID=14","0.0106")</f>
        <v>0.0106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HYPERLINK("http://141.218.60.56/~jnz1568/getInfo.php?workbook=14_02.xlsx&amp;sheet=U0&amp;row=1442&amp;col=6&amp;number=4.8&amp;sourceID=14","4.8")</f>
        <v>4.8</v>
      </c>
      <c r="G1442" s="4" t="str">
        <f>HYPERLINK("http://141.218.60.56/~jnz1568/getInfo.php?workbook=14_02.xlsx&amp;sheet=U0&amp;row=1442&amp;col=7&amp;number=0.0106&amp;sourceID=14","0.0106")</f>
        <v>0.0106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HYPERLINK("http://141.218.60.56/~jnz1568/getInfo.php?workbook=14_02.xlsx&amp;sheet=U0&amp;row=1443&amp;col=6&amp;number=4.9&amp;sourceID=14","4.9")</f>
        <v>4.9</v>
      </c>
      <c r="G1443" s="4" t="str">
        <f>HYPERLINK("http://141.218.60.56/~jnz1568/getInfo.php?workbook=14_02.xlsx&amp;sheet=U0&amp;row=1443&amp;col=7&amp;number=0.0106&amp;sourceID=14","0.0106")</f>
        <v>0.0106</v>
      </c>
    </row>
    <row r="1444" spans="1:7">
      <c r="A1444" s="3">
        <v>14</v>
      </c>
      <c r="B1444" s="3">
        <v>2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HYPERLINK("http://141.218.60.56/~jnz1568/getInfo.php?workbook=14_02.xlsx&amp;sheet=U0&amp;row=1444&amp;col=6&amp;number=3&amp;sourceID=14","3")</f>
        <v>3</v>
      </c>
      <c r="G1444" s="4" t="str">
        <f>HYPERLINK("http://141.218.60.56/~jnz1568/getInfo.php?workbook=14_02.xlsx&amp;sheet=U0&amp;row=1444&amp;col=7&amp;number=0.00404&amp;sourceID=14","0.00404")</f>
        <v>0.00404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HYPERLINK("http://141.218.60.56/~jnz1568/getInfo.php?workbook=14_02.xlsx&amp;sheet=U0&amp;row=1445&amp;col=6&amp;number=3.1&amp;sourceID=14","3.1")</f>
        <v>3.1</v>
      </c>
      <c r="G1445" s="4" t="str">
        <f>HYPERLINK("http://141.218.60.56/~jnz1568/getInfo.php?workbook=14_02.xlsx&amp;sheet=U0&amp;row=1445&amp;col=7&amp;number=0.00404&amp;sourceID=14","0.00404")</f>
        <v>0.00404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HYPERLINK("http://141.218.60.56/~jnz1568/getInfo.php?workbook=14_02.xlsx&amp;sheet=U0&amp;row=1446&amp;col=6&amp;number=3.2&amp;sourceID=14","3.2")</f>
        <v>3.2</v>
      </c>
      <c r="G1446" s="4" t="str">
        <f>HYPERLINK("http://141.218.60.56/~jnz1568/getInfo.php?workbook=14_02.xlsx&amp;sheet=U0&amp;row=1446&amp;col=7&amp;number=0.00404&amp;sourceID=14","0.00404")</f>
        <v>0.00404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HYPERLINK("http://141.218.60.56/~jnz1568/getInfo.php?workbook=14_02.xlsx&amp;sheet=U0&amp;row=1447&amp;col=6&amp;number=3.3&amp;sourceID=14","3.3")</f>
        <v>3.3</v>
      </c>
      <c r="G1447" s="4" t="str">
        <f>HYPERLINK("http://141.218.60.56/~jnz1568/getInfo.php?workbook=14_02.xlsx&amp;sheet=U0&amp;row=1447&amp;col=7&amp;number=0.00404&amp;sourceID=14","0.00404")</f>
        <v>0.00404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HYPERLINK("http://141.218.60.56/~jnz1568/getInfo.php?workbook=14_02.xlsx&amp;sheet=U0&amp;row=1448&amp;col=6&amp;number=3.4&amp;sourceID=14","3.4")</f>
        <v>3.4</v>
      </c>
      <c r="G1448" s="4" t="str">
        <f>HYPERLINK("http://141.218.60.56/~jnz1568/getInfo.php?workbook=14_02.xlsx&amp;sheet=U0&amp;row=1448&amp;col=7&amp;number=0.00404&amp;sourceID=14","0.00404")</f>
        <v>0.00404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HYPERLINK("http://141.218.60.56/~jnz1568/getInfo.php?workbook=14_02.xlsx&amp;sheet=U0&amp;row=1449&amp;col=6&amp;number=3.5&amp;sourceID=14","3.5")</f>
        <v>3.5</v>
      </c>
      <c r="G1449" s="4" t="str">
        <f>HYPERLINK("http://141.218.60.56/~jnz1568/getInfo.php?workbook=14_02.xlsx&amp;sheet=U0&amp;row=1449&amp;col=7&amp;number=0.00404&amp;sourceID=14","0.00404")</f>
        <v>0.00404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HYPERLINK("http://141.218.60.56/~jnz1568/getInfo.php?workbook=14_02.xlsx&amp;sheet=U0&amp;row=1450&amp;col=6&amp;number=3.6&amp;sourceID=14","3.6")</f>
        <v>3.6</v>
      </c>
      <c r="G1450" s="4" t="str">
        <f>HYPERLINK("http://141.218.60.56/~jnz1568/getInfo.php?workbook=14_02.xlsx&amp;sheet=U0&amp;row=1450&amp;col=7&amp;number=0.00404&amp;sourceID=14","0.00404")</f>
        <v>0.00404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HYPERLINK("http://141.218.60.56/~jnz1568/getInfo.php?workbook=14_02.xlsx&amp;sheet=U0&amp;row=1451&amp;col=6&amp;number=3.7&amp;sourceID=14","3.7")</f>
        <v>3.7</v>
      </c>
      <c r="G1451" s="4" t="str">
        <f>HYPERLINK("http://141.218.60.56/~jnz1568/getInfo.php?workbook=14_02.xlsx&amp;sheet=U0&amp;row=1451&amp;col=7&amp;number=0.00403&amp;sourceID=14","0.00403")</f>
        <v>0.00403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HYPERLINK("http://141.218.60.56/~jnz1568/getInfo.php?workbook=14_02.xlsx&amp;sheet=U0&amp;row=1452&amp;col=6&amp;number=3.8&amp;sourceID=14","3.8")</f>
        <v>3.8</v>
      </c>
      <c r="G1452" s="4" t="str">
        <f>HYPERLINK("http://141.218.60.56/~jnz1568/getInfo.php?workbook=14_02.xlsx&amp;sheet=U0&amp;row=1452&amp;col=7&amp;number=0.00403&amp;sourceID=14","0.00403")</f>
        <v>0.00403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HYPERLINK("http://141.218.60.56/~jnz1568/getInfo.php?workbook=14_02.xlsx&amp;sheet=U0&amp;row=1453&amp;col=6&amp;number=3.9&amp;sourceID=14","3.9")</f>
        <v>3.9</v>
      </c>
      <c r="G1453" s="4" t="str">
        <f>HYPERLINK("http://141.218.60.56/~jnz1568/getInfo.php?workbook=14_02.xlsx&amp;sheet=U0&amp;row=1453&amp;col=7&amp;number=0.00403&amp;sourceID=14","0.00403")</f>
        <v>0.00403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HYPERLINK("http://141.218.60.56/~jnz1568/getInfo.php?workbook=14_02.xlsx&amp;sheet=U0&amp;row=1454&amp;col=6&amp;number=4&amp;sourceID=14","4")</f>
        <v>4</v>
      </c>
      <c r="G1454" s="4" t="str">
        <f>HYPERLINK("http://141.218.60.56/~jnz1568/getInfo.php?workbook=14_02.xlsx&amp;sheet=U0&amp;row=1454&amp;col=7&amp;number=0.00403&amp;sourceID=14","0.00403")</f>
        <v>0.00403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HYPERLINK("http://141.218.60.56/~jnz1568/getInfo.php?workbook=14_02.xlsx&amp;sheet=U0&amp;row=1455&amp;col=6&amp;number=4.1&amp;sourceID=14","4.1")</f>
        <v>4.1</v>
      </c>
      <c r="G1455" s="4" t="str">
        <f>HYPERLINK("http://141.218.60.56/~jnz1568/getInfo.php?workbook=14_02.xlsx&amp;sheet=U0&amp;row=1455&amp;col=7&amp;number=0.00403&amp;sourceID=14","0.00403")</f>
        <v>0.00403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HYPERLINK("http://141.218.60.56/~jnz1568/getInfo.php?workbook=14_02.xlsx&amp;sheet=U0&amp;row=1456&amp;col=6&amp;number=4.2&amp;sourceID=14","4.2")</f>
        <v>4.2</v>
      </c>
      <c r="G1456" s="4" t="str">
        <f>HYPERLINK("http://141.218.60.56/~jnz1568/getInfo.php?workbook=14_02.xlsx&amp;sheet=U0&amp;row=1456&amp;col=7&amp;number=0.00403&amp;sourceID=14","0.00403")</f>
        <v>0.00403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HYPERLINK("http://141.218.60.56/~jnz1568/getInfo.php?workbook=14_02.xlsx&amp;sheet=U0&amp;row=1457&amp;col=6&amp;number=4.3&amp;sourceID=14","4.3")</f>
        <v>4.3</v>
      </c>
      <c r="G1457" s="4" t="str">
        <f>HYPERLINK("http://141.218.60.56/~jnz1568/getInfo.php?workbook=14_02.xlsx&amp;sheet=U0&amp;row=1457&amp;col=7&amp;number=0.00403&amp;sourceID=14","0.00403")</f>
        <v>0.00403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HYPERLINK("http://141.218.60.56/~jnz1568/getInfo.php?workbook=14_02.xlsx&amp;sheet=U0&amp;row=1458&amp;col=6&amp;number=4.4&amp;sourceID=14","4.4")</f>
        <v>4.4</v>
      </c>
      <c r="G1458" s="4" t="str">
        <f>HYPERLINK("http://141.218.60.56/~jnz1568/getInfo.php?workbook=14_02.xlsx&amp;sheet=U0&amp;row=1458&amp;col=7&amp;number=0.00403&amp;sourceID=14","0.00403")</f>
        <v>0.00403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HYPERLINK("http://141.218.60.56/~jnz1568/getInfo.php?workbook=14_02.xlsx&amp;sheet=U0&amp;row=1459&amp;col=6&amp;number=4.5&amp;sourceID=14","4.5")</f>
        <v>4.5</v>
      </c>
      <c r="G1459" s="4" t="str">
        <f>HYPERLINK("http://141.218.60.56/~jnz1568/getInfo.php?workbook=14_02.xlsx&amp;sheet=U0&amp;row=1459&amp;col=7&amp;number=0.00402&amp;sourceID=14","0.00402")</f>
        <v>0.00402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HYPERLINK("http://141.218.60.56/~jnz1568/getInfo.php?workbook=14_02.xlsx&amp;sheet=U0&amp;row=1460&amp;col=6&amp;number=4.6&amp;sourceID=14","4.6")</f>
        <v>4.6</v>
      </c>
      <c r="G1460" s="4" t="str">
        <f>HYPERLINK("http://141.218.60.56/~jnz1568/getInfo.php?workbook=14_02.xlsx&amp;sheet=U0&amp;row=1460&amp;col=7&amp;number=0.00402&amp;sourceID=14","0.00402")</f>
        <v>0.00402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HYPERLINK("http://141.218.60.56/~jnz1568/getInfo.php?workbook=14_02.xlsx&amp;sheet=U0&amp;row=1461&amp;col=6&amp;number=4.7&amp;sourceID=14","4.7")</f>
        <v>4.7</v>
      </c>
      <c r="G1461" s="4" t="str">
        <f>HYPERLINK("http://141.218.60.56/~jnz1568/getInfo.php?workbook=14_02.xlsx&amp;sheet=U0&amp;row=1461&amp;col=7&amp;number=0.00401&amp;sourceID=14","0.00401")</f>
        <v>0.00401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HYPERLINK("http://141.218.60.56/~jnz1568/getInfo.php?workbook=14_02.xlsx&amp;sheet=U0&amp;row=1462&amp;col=6&amp;number=4.8&amp;sourceID=14","4.8")</f>
        <v>4.8</v>
      </c>
      <c r="G1462" s="4" t="str">
        <f>HYPERLINK("http://141.218.60.56/~jnz1568/getInfo.php?workbook=14_02.xlsx&amp;sheet=U0&amp;row=1462&amp;col=7&amp;number=0.00401&amp;sourceID=14","0.00401")</f>
        <v>0.00401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HYPERLINK("http://141.218.60.56/~jnz1568/getInfo.php?workbook=14_02.xlsx&amp;sheet=U0&amp;row=1463&amp;col=6&amp;number=4.9&amp;sourceID=14","4.9")</f>
        <v>4.9</v>
      </c>
      <c r="G1463" s="4" t="str">
        <f>HYPERLINK("http://141.218.60.56/~jnz1568/getInfo.php?workbook=14_02.xlsx&amp;sheet=U0&amp;row=1463&amp;col=7&amp;number=0.004&amp;sourceID=14","0.004")</f>
        <v>0.004</v>
      </c>
    </row>
    <row r="1464" spans="1:7">
      <c r="A1464" s="3">
        <v>14</v>
      </c>
      <c r="B1464" s="3">
        <v>2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HYPERLINK("http://141.218.60.56/~jnz1568/getInfo.php?workbook=14_02.xlsx&amp;sheet=U0&amp;row=1464&amp;col=6&amp;number=3&amp;sourceID=14","3")</f>
        <v>3</v>
      </c>
      <c r="G1464" s="4" t="str">
        <f>HYPERLINK("http://141.218.60.56/~jnz1568/getInfo.php?workbook=14_02.xlsx&amp;sheet=U0&amp;row=1464&amp;col=7&amp;number=0.00271&amp;sourceID=14","0.00271")</f>
        <v>0.00271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HYPERLINK("http://141.218.60.56/~jnz1568/getInfo.php?workbook=14_02.xlsx&amp;sheet=U0&amp;row=1465&amp;col=6&amp;number=3.1&amp;sourceID=14","3.1")</f>
        <v>3.1</v>
      </c>
      <c r="G1465" s="4" t="str">
        <f>HYPERLINK("http://141.218.60.56/~jnz1568/getInfo.php?workbook=14_02.xlsx&amp;sheet=U0&amp;row=1465&amp;col=7&amp;number=0.00271&amp;sourceID=14","0.00271")</f>
        <v>0.00271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HYPERLINK("http://141.218.60.56/~jnz1568/getInfo.php?workbook=14_02.xlsx&amp;sheet=U0&amp;row=1466&amp;col=6&amp;number=3.2&amp;sourceID=14","3.2")</f>
        <v>3.2</v>
      </c>
      <c r="G1466" s="4" t="str">
        <f>HYPERLINK("http://141.218.60.56/~jnz1568/getInfo.php?workbook=14_02.xlsx&amp;sheet=U0&amp;row=1466&amp;col=7&amp;number=0.00271&amp;sourceID=14","0.00271")</f>
        <v>0.00271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HYPERLINK("http://141.218.60.56/~jnz1568/getInfo.php?workbook=14_02.xlsx&amp;sheet=U0&amp;row=1467&amp;col=6&amp;number=3.3&amp;sourceID=14","3.3")</f>
        <v>3.3</v>
      </c>
      <c r="G1467" s="4" t="str">
        <f>HYPERLINK("http://141.218.60.56/~jnz1568/getInfo.php?workbook=14_02.xlsx&amp;sheet=U0&amp;row=1467&amp;col=7&amp;number=0.00271&amp;sourceID=14","0.00271")</f>
        <v>0.00271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HYPERLINK("http://141.218.60.56/~jnz1568/getInfo.php?workbook=14_02.xlsx&amp;sheet=U0&amp;row=1468&amp;col=6&amp;number=3.4&amp;sourceID=14","3.4")</f>
        <v>3.4</v>
      </c>
      <c r="G1468" s="4" t="str">
        <f>HYPERLINK("http://141.218.60.56/~jnz1568/getInfo.php?workbook=14_02.xlsx&amp;sheet=U0&amp;row=1468&amp;col=7&amp;number=0.00271&amp;sourceID=14","0.00271")</f>
        <v>0.00271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HYPERLINK("http://141.218.60.56/~jnz1568/getInfo.php?workbook=14_02.xlsx&amp;sheet=U0&amp;row=1469&amp;col=6&amp;number=3.5&amp;sourceID=14","3.5")</f>
        <v>3.5</v>
      </c>
      <c r="G1469" s="4" t="str">
        <f>HYPERLINK("http://141.218.60.56/~jnz1568/getInfo.php?workbook=14_02.xlsx&amp;sheet=U0&amp;row=1469&amp;col=7&amp;number=0.00271&amp;sourceID=14","0.00271")</f>
        <v>0.00271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HYPERLINK("http://141.218.60.56/~jnz1568/getInfo.php?workbook=14_02.xlsx&amp;sheet=U0&amp;row=1470&amp;col=6&amp;number=3.6&amp;sourceID=14","3.6")</f>
        <v>3.6</v>
      </c>
      <c r="G1470" s="4" t="str">
        <f>HYPERLINK("http://141.218.60.56/~jnz1568/getInfo.php?workbook=14_02.xlsx&amp;sheet=U0&amp;row=1470&amp;col=7&amp;number=0.00271&amp;sourceID=14","0.00271")</f>
        <v>0.00271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HYPERLINK("http://141.218.60.56/~jnz1568/getInfo.php?workbook=14_02.xlsx&amp;sheet=U0&amp;row=1471&amp;col=6&amp;number=3.7&amp;sourceID=14","3.7")</f>
        <v>3.7</v>
      </c>
      <c r="G1471" s="4" t="str">
        <f>HYPERLINK("http://141.218.60.56/~jnz1568/getInfo.php?workbook=14_02.xlsx&amp;sheet=U0&amp;row=1471&amp;col=7&amp;number=0.00271&amp;sourceID=14","0.00271")</f>
        <v>0.00271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HYPERLINK("http://141.218.60.56/~jnz1568/getInfo.php?workbook=14_02.xlsx&amp;sheet=U0&amp;row=1472&amp;col=6&amp;number=3.8&amp;sourceID=14","3.8")</f>
        <v>3.8</v>
      </c>
      <c r="G1472" s="4" t="str">
        <f>HYPERLINK("http://141.218.60.56/~jnz1568/getInfo.php?workbook=14_02.xlsx&amp;sheet=U0&amp;row=1472&amp;col=7&amp;number=0.00271&amp;sourceID=14","0.00271")</f>
        <v>0.00271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HYPERLINK("http://141.218.60.56/~jnz1568/getInfo.php?workbook=14_02.xlsx&amp;sheet=U0&amp;row=1473&amp;col=6&amp;number=3.9&amp;sourceID=14","3.9")</f>
        <v>3.9</v>
      </c>
      <c r="G1473" s="4" t="str">
        <f>HYPERLINK("http://141.218.60.56/~jnz1568/getInfo.php?workbook=14_02.xlsx&amp;sheet=U0&amp;row=1473&amp;col=7&amp;number=0.00271&amp;sourceID=14","0.00271")</f>
        <v>0.00271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HYPERLINK("http://141.218.60.56/~jnz1568/getInfo.php?workbook=14_02.xlsx&amp;sheet=U0&amp;row=1474&amp;col=6&amp;number=4&amp;sourceID=14","4")</f>
        <v>4</v>
      </c>
      <c r="G1474" s="4" t="str">
        <f>HYPERLINK("http://141.218.60.56/~jnz1568/getInfo.php?workbook=14_02.xlsx&amp;sheet=U0&amp;row=1474&amp;col=7&amp;number=0.00271&amp;sourceID=14","0.00271")</f>
        <v>0.00271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HYPERLINK("http://141.218.60.56/~jnz1568/getInfo.php?workbook=14_02.xlsx&amp;sheet=U0&amp;row=1475&amp;col=6&amp;number=4.1&amp;sourceID=14","4.1")</f>
        <v>4.1</v>
      </c>
      <c r="G1475" s="4" t="str">
        <f>HYPERLINK("http://141.218.60.56/~jnz1568/getInfo.php?workbook=14_02.xlsx&amp;sheet=U0&amp;row=1475&amp;col=7&amp;number=0.00271&amp;sourceID=14","0.00271")</f>
        <v>0.00271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HYPERLINK("http://141.218.60.56/~jnz1568/getInfo.php?workbook=14_02.xlsx&amp;sheet=U0&amp;row=1476&amp;col=6&amp;number=4.2&amp;sourceID=14","4.2")</f>
        <v>4.2</v>
      </c>
      <c r="G1476" s="4" t="str">
        <f>HYPERLINK("http://141.218.60.56/~jnz1568/getInfo.php?workbook=14_02.xlsx&amp;sheet=U0&amp;row=1476&amp;col=7&amp;number=0.00271&amp;sourceID=14","0.00271")</f>
        <v>0.00271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HYPERLINK("http://141.218.60.56/~jnz1568/getInfo.php?workbook=14_02.xlsx&amp;sheet=U0&amp;row=1477&amp;col=6&amp;number=4.3&amp;sourceID=14","4.3")</f>
        <v>4.3</v>
      </c>
      <c r="G1477" s="4" t="str">
        <f>HYPERLINK("http://141.218.60.56/~jnz1568/getInfo.php?workbook=14_02.xlsx&amp;sheet=U0&amp;row=1477&amp;col=7&amp;number=0.00271&amp;sourceID=14","0.00271")</f>
        <v>0.00271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HYPERLINK("http://141.218.60.56/~jnz1568/getInfo.php?workbook=14_02.xlsx&amp;sheet=U0&amp;row=1478&amp;col=6&amp;number=4.4&amp;sourceID=14","4.4")</f>
        <v>4.4</v>
      </c>
      <c r="G1478" s="4" t="str">
        <f>HYPERLINK("http://141.218.60.56/~jnz1568/getInfo.php?workbook=14_02.xlsx&amp;sheet=U0&amp;row=1478&amp;col=7&amp;number=0.00271&amp;sourceID=14","0.00271")</f>
        <v>0.00271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HYPERLINK("http://141.218.60.56/~jnz1568/getInfo.php?workbook=14_02.xlsx&amp;sheet=U0&amp;row=1479&amp;col=6&amp;number=4.5&amp;sourceID=14","4.5")</f>
        <v>4.5</v>
      </c>
      <c r="G1479" s="4" t="str">
        <f>HYPERLINK("http://141.218.60.56/~jnz1568/getInfo.php?workbook=14_02.xlsx&amp;sheet=U0&amp;row=1479&amp;col=7&amp;number=0.00272&amp;sourceID=14","0.00272")</f>
        <v>0.00272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HYPERLINK("http://141.218.60.56/~jnz1568/getInfo.php?workbook=14_02.xlsx&amp;sheet=U0&amp;row=1480&amp;col=6&amp;number=4.6&amp;sourceID=14","4.6")</f>
        <v>4.6</v>
      </c>
      <c r="G1480" s="4" t="str">
        <f>HYPERLINK("http://141.218.60.56/~jnz1568/getInfo.php?workbook=14_02.xlsx&amp;sheet=U0&amp;row=1480&amp;col=7&amp;number=0.00272&amp;sourceID=14","0.00272")</f>
        <v>0.00272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HYPERLINK("http://141.218.60.56/~jnz1568/getInfo.php?workbook=14_02.xlsx&amp;sheet=U0&amp;row=1481&amp;col=6&amp;number=4.7&amp;sourceID=14","4.7")</f>
        <v>4.7</v>
      </c>
      <c r="G1481" s="4" t="str">
        <f>HYPERLINK("http://141.218.60.56/~jnz1568/getInfo.php?workbook=14_02.xlsx&amp;sheet=U0&amp;row=1481&amp;col=7&amp;number=0.00272&amp;sourceID=14","0.00272")</f>
        <v>0.00272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HYPERLINK("http://141.218.60.56/~jnz1568/getInfo.php?workbook=14_02.xlsx&amp;sheet=U0&amp;row=1482&amp;col=6&amp;number=4.8&amp;sourceID=14","4.8")</f>
        <v>4.8</v>
      </c>
      <c r="G1482" s="4" t="str">
        <f>HYPERLINK("http://141.218.60.56/~jnz1568/getInfo.php?workbook=14_02.xlsx&amp;sheet=U0&amp;row=1482&amp;col=7&amp;number=0.00272&amp;sourceID=14","0.00272")</f>
        <v>0.00272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HYPERLINK("http://141.218.60.56/~jnz1568/getInfo.php?workbook=14_02.xlsx&amp;sheet=U0&amp;row=1483&amp;col=6&amp;number=4.9&amp;sourceID=14","4.9")</f>
        <v>4.9</v>
      </c>
      <c r="G1483" s="4" t="str">
        <f>HYPERLINK("http://141.218.60.56/~jnz1568/getInfo.php?workbook=14_02.xlsx&amp;sheet=U0&amp;row=1483&amp;col=7&amp;number=0.00272&amp;sourceID=14","0.00272")</f>
        <v>0.00272</v>
      </c>
    </row>
    <row r="1484" spans="1:7">
      <c r="A1484" s="3">
        <v>14</v>
      </c>
      <c r="B1484" s="3">
        <v>2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HYPERLINK("http://141.218.60.56/~jnz1568/getInfo.php?workbook=14_02.xlsx&amp;sheet=U0&amp;row=1484&amp;col=6&amp;number=3&amp;sourceID=14","3")</f>
        <v>3</v>
      </c>
      <c r="G1484" s="4" t="str">
        <f>HYPERLINK("http://141.218.60.56/~jnz1568/getInfo.php?workbook=14_02.xlsx&amp;sheet=U0&amp;row=1484&amp;col=7&amp;number=0.00334&amp;sourceID=14","0.00334")</f>
        <v>0.00334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HYPERLINK("http://141.218.60.56/~jnz1568/getInfo.php?workbook=14_02.xlsx&amp;sheet=U0&amp;row=1485&amp;col=6&amp;number=3.1&amp;sourceID=14","3.1")</f>
        <v>3.1</v>
      </c>
      <c r="G1485" s="4" t="str">
        <f>HYPERLINK("http://141.218.60.56/~jnz1568/getInfo.php?workbook=14_02.xlsx&amp;sheet=U0&amp;row=1485&amp;col=7&amp;number=0.00334&amp;sourceID=14","0.00334")</f>
        <v>0.00334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HYPERLINK("http://141.218.60.56/~jnz1568/getInfo.php?workbook=14_02.xlsx&amp;sheet=U0&amp;row=1486&amp;col=6&amp;number=3.2&amp;sourceID=14","3.2")</f>
        <v>3.2</v>
      </c>
      <c r="G1486" s="4" t="str">
        <f>HYPERLINK("http://141.218.60.56/~jnz1568/getInfo.php?workbook=14_02.xlsx&amp;sheet=U0&amp;row=1486&amp;col=7&amp;number=0.00334&amp;sourceID=14","0.00334")</f>
        <v>0.00334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HYPERLINK("http://141.218.60.56/~jnz1568/getInfo.php?workbook=14_02.xlsx&amp;sheet=U0&amp;row=1487&amp;col=6&amp;number=3.3&amp;sourceID=14","3.3")</f>
        <v>3.3</v>
      </c>
      <c r="G1487" s="4" t="str">
        <f>HYPERLINK("http://141.218.60.56/~jnz1568/getInfo.php?workbook=14_02.xlsx&amp;sheet=U0&amp;row=1487&amp;col=7&amp;number=0.00334&amp;sourceID=14","0.00334")</f>
        <v>0.00334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HYPERLINK("http://141.218.60.56/~jnz1568/getInfo.php?workbook=14_02.xlsx&amp;sheet=U0&amp;row=1488&amp;col=6&amp;number=3.4&amp;sourceID=14","3.4")</f>
        <v>3.4</v>
      </c>
      <c r="G1488" s="4" t="str">
        <f>HYPERLINK("http://141.218.60.56/~jnz1568/getInfo.php?workbook=14_02.xlsx&amp;sheet=U0&amp;row=1488&amp;col=7&amp;number=0.00334&amp;sourceID=14","0.00334")</f>
        <v>0.00334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HYPERLINK("http://141.218.60.56/~jnz1568/getInfo.php?workbook=14_02.xlsx&amp;sheet=U0&amp;row=1489&amp;col=6&amp;number=3.5&amp;sourceID=14","3.5")</f>
        <v>3.5</v>
      </c>
      <c r="G1489" s="4" t="str">
        <f>HYPERLINK("http://141.218.60.56/~jnz1568/getInfo.php?workbook=14_02.xlsx&amp;sheet=U0&amp;row=1489&amp;col=7&amp;number=0.00334&amp;sourceID=14","0.00334")</f>
        <v>0.00334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HYPERLINK("http://141.218.60.56/~jnz1568/getInfo.php?workbook=14_02.xlsx&amp;sheet=U0&amp;row=1490&amp;col=6&amp;number=3.6&amp;sourceID=14","3.6")</f>
        <v>3.6</v>
      </c>
      <c r="G1490" s="4" t="str">
        <f>HYPERLINK("http://141.218.60.56/~jnz1568/getInfo.php?workbook=14_02.xlsx&amp;sheet=U0&amp;row=1490&amp;col=7&amp;number=0.00334&amp;sourceID=14","0.00334")</f>
        <v>0.00334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HYPERLINK("http://141.218.60.56/~jnz1568/getInfo.php?workbook=14_02.xlsx&amp;sheet=U0&amp;row=1491&amp;col=6&amp;number=3.7&amp;sourceID=14","3.7")</f>
        <v>3.7</v>
      </c>
      <c r="G1491" s="4" t="str">
        <f>HYPERLINK("http://141.218.60.56/~jnz1568/getInfo.php?workbook=14_02.xlsx&amp;sheet=U0&amp;row=1491&amp;col=7&amp;number=0.00334&amp;sourceID=14","0.00334")</f>
        <v>0.00334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HYPERLINK("http://141.218.60.56/~jnz1568/getInfo.php?workbook=14_02.xlsx&amp;sheet=U0&amp;row=1492&amp;col=6&amp;number=3.8&amp;sourceID=14","3.8")</f>
        <v>3.8</v>
      </c>
      <c r="G1492" s="4" t="str">
        <f>HYPERLINK("http://141.218.60.56/~jnz1568/getInfo.php?workbook=14_02.xlsx&amp;sheet=U0&amp;row=1492&amp;col=7&amp;number=0.00334&amp;sourceID=14","0.00334")</f>
        <v>0.00334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HYPERLINK("http://141.218.60.56/~jnz1568/getInfo.php?workbook=14_02.xlsx&amp;sheet=U0&amp;row=1493&amp;col=6&amp;number=3.9&amp;sourceID=14","3.9")</f>
        <v>3.9</v>
      </c>
      <c r="G1493" s="4" t="str">
        <f>HYPERLINK("http://141.218.60.56/~jnz1568/getInfo.php?workbook=14_02.xlsx&amp;sheet=U0&amp;row=1493&amp;col=7&amp;number=0.00334&amp;sourceID=14","0.00334")</f>
        <v>0.00334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HYPERLINK("http://141.218.60.56/~jnz1568/getInfo.php?workbook=14_02.xlsx&amp;sheet=U0&amp;row=1494&amp;col=6&amp;number=4&amp;sourceID=14","4")</f>
        <v>4</v>
      </c>
      <c r="G1494" s="4" t="str">
        <f>HYPERLINK("http://141.218.60.56/~jnz1568/getInfo.php?workbook=14_02.xlsx&amp;sheet=U0&amp;row=1494&amp;col=7&amp;number=0.00334&amp;sourceID=14","0.00334")</f>
        <v>0.00334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HYPERLINK("http://141.218.60.56/~jnz1568/getInfo.php?workbook=14_02.xlsx&amp;sheet=U0&amp;row=1495&amp;col=6&amp;number=4.1&amp;sourceID=14","4.1")</f>
        <v>4.1</v>
      </c>
      <c r="G1495" s="4" t="str">
        <f>HYPERLINK("http://141.218.60.56/~jnz1568/getInfo.php?workbook=14_02.xlsx&amp;sheet=U0&amp;row=1495&amp;col=7&amp;number=0.00333&amp;sourceID=14","0.00333")</f>
        <v>0.00333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HYPERLINK("http://141.218.60.56/~jnz1568/getInfo.php?workbook=14_02.xlsx&amp;sheet=U0&amp;row=1496&amp;col=6&amp;number=4.2&amp;sourceID=14","4.2")</f>
        <v>4.2</v>
      </c>
      <c r="G1496" s="4" t="str">
        <f>HYPERLINK("http://141.218.60.56/~jnz1568/getInfo.php?workbook=14_02.xlsx&amp;sheet=U0&amp;row=1496&amp;col=7&amp;number=0.00333&amp;sourceID=14","0.00333")</f>
        <v>0.00333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HYPERLINK("http://141.218.60.56/~jnz1568/getInfo.php?workbook=14_02.xlsx&amp;sheet=U0&amp;row=1497&amp;col=6&amp;number=4.3&amp;sourceID=14","4.3")</f>
        <v>4.3</v>
      </c>
      <c r="G1497" s="4" t="str">
        <f>HYPERLINK("http://141.218.60.56/~jnz1568/getInfo.php?workbook=14_02.xlsx&amp;sheet=U0&amp;row=1497&amp;col=7&amp;number=0.00333&amp;sourceID=14","0.00333")</f>
        <v>0.00333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HYPERLINK("http://141.218.60.56/~jnz1568/getInfo.php?workbook=14_02.xlsx&amp;sheet=U0&amp;row=1498&amp;col=6&amp;number=4.4&amp;sourceID=14","4.4")</f>
        <v>4.4</v>
      </c>
      <c r="G1498" s="4" t="str">
        <f>HYPERLINK("http://141.218.60.56/~jnz1568/getInfo.php?workbook=14_02.xlsx&amp;sheet=U0&amp;row=1498&amp;col=7&amp;number=0.00333&amp;sourceID=14","0.00333")</f>
        <v>0.00333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HYPERLINK("http://141.218.60.56/~jnz1568/getInfo.php?workbook=14_02.xlsx&amp;sheet=U0&amp;row=1499&amp;col=6&amp;number=4.5&amp;sourceID=14","4.5")</f>
        <v>4.5</v>
      </c>
      <c r="G1499" s="4" t="str">
        <f>HYPERLINK("http://141.218.60.56/~jnz1568/getInfo.php?workbook=14_02.xlsx&amp;sheet=U0&amp;row=1499&amp;col=7&amp;number=0.00333&amp;sourceID=14","0.00333")</f>
        <v>0.00333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HYPERLINK("http://141.218.60.56/~jnz1568/getInfo.php?workbook=14_02.xlsx&amp;sheet=U0&amp;row=1500&amp;col=6&amp;number=4.6&amp;sourceID=14","4.6")</f>
        <v>4.6</v>
      </c>
      <c r="G1500" s="4" t="str">
        <f>HYPERLINK("http://141.218.60.56/~jnz1568/getInfo.php?workbook=14_02.xlsx&amp;sheet=U0&amp;row=1500&amp;col=7&amp;number=0.00333&amp;sourceID=14","0.00333")</f>
        <v>0.00333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HYPERLINK("http://141.218.60.56/~jnz1568/getInfo.php?workbook=14_02.xlsx&amp;sheet=U0&amp;row=1501&amp;col=6&amp;number=4.7&amp;sourceID=14","4.7")</f>
        <v>4.7</v>
      </c>
      <c r="G1501" s="4" t="str">
        <f>HYPERLINK("http://141.218.60.56/~jnz1568/getInfo.php?workbook=14_02.xlsx&amp;sheet=U0&amp;row=1501&amp;col=7&amp;number=0.00333&amp;sourceID=14","0.00333")</f>
        <v>0.00333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HYPERLINK("http://141.218.60.56/~jnz1568/getInfo.php?workbook=14_02.xlsx&amp;sheet=U0&amp;row=1502&amp;col=6&amp;number=4.8&amp;sourceID=14","4.8")</f>
        <v>4.8</v>
      </c>
      <c r="G1502" s="4" t="str">
        <f>HYPERLINK("http://141.218.60.56/~jnz1568/getInfo.php?workbook=14_02.xlsx&amp;sheet=U0&amp;row=1502&amp;col=7&amp;number=0.00333&amp;sourceID=14","0.00333")</f>
        <v>0.00333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HYPERLINK("http://141.218.60.56/~jnz1568/getInfo.php?workbook=14_02.xlsx&amp;sheet=U0&amp;row=1503&amp;col=6&amp;number=4.9&amp;sourceID=14","4.9")</f>
        <v>4.9</v>
      </c>
      <c r="G1503" s="4" t="str">
        <f>HYPERLINK("http://141.218.60.56/~jnz1568/getInfo.php?workbook=14_02.xlsx&amp;sheet=U0&amp;row=1503&amp;col=7&amp;number=0.00333&amp;sourceID=14","0.00333")</f>
        <v>0.00333</v>
      </c>
    </row>
    <row r="1504" spans="1:7">
      <c r="A1504" s="3">
        <v>14</v>
      </c>
      <c r="B1504" s="3">
        <v>2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HYPERLINK("http://141.218.60.56/~jnz1568/getInfo.php?workbook=14_02.xlsx&amp;sheet=U0&amp;row=1504&amp;col=6&amp;number=3&amp;sourceID=14","3")</f>
        <v>3</v>
      </c>
      <c r="G1504" s="4" t="str">
        <f>HYPERLINK("http://141.218.60.56/~jnz1568/getInfo.php?workbook=14_02.xlsx&amp;sheet=U0&amp;row=1504&amp;col=7&amp;number=0.00488&amp;sourceID=14","0.00488")</f>
        <v>0.00488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HYPERLINK("http://141.218.60.56/~jnz1568/getInfo.php?workbook=14_02.xlsx&amp;sheet=U0&amp;row=1505&amp;col=6&amp;number=3.1&amp;sourceID=14","3.1")</f>
        <v>3.1</v>
      </c>
      <c r="G1505" s="4" t="str">
        <f>HYPERLINK("http://141.218.60.56/~jnz1568/getInfo.php?workbook=14_02.xlsx&amp;sheet=U0&amp;row=1505&amp;col=7&amp;number=0.00488&amp;sourceID=14","0.00488")</f>
        <v>0.00488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HYPERLINK("http://141.218.60.56/~jnz1568/getInfo.php?workbook=14_02.xlsx&amp;sheet=U0&amp;row=1506&amp;col=6&amp;number=3.2&amp;sourceID=14","3.2")</f>
        <v>3.2</v>
      </c>
      <c r="G1506" s="4" t="str">
        <f>HYPERLINK("http://141.218.60.56/~jnz1568/getInfo.php?workbook=14_02.xlsx&amp;sheet=U0&amp;row=1506&amp;col=7&amp;number=0.00488&amp;sourceID=14","0.00488")</f>
        <v>0.00488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HYPERLINK("http://141.218.60.56/~jnz1568/getInfo.php?workbook=14_02.xlsx&amp;sheet=U0&amp;row=1507&amp;col=6&amp;number=3.3&amp;sourceID=14","3.3")</f>
        <v>3.3</v>
      </c>
      <c r="G1507" s="4" t="str">
        <f>HYPERLINK("http://141.218.60.56/~jnz1568/getInfo.php?workbook=14_02.xlsx&amp;sheet=U0&amp;row=1507&amp;col=7&amp;number=0.00488&amp;sourceID=14","0.00488")</f>
        <v>0.00488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HYPERLINK("http://141.218.60.56/~jnz1568/getInfo.php?workbook=14_02.xlsx&amp;sheet=U0&amp;row=1508&amp;col=6&amp;number=3.4&amp;sourceID=14","3.4")</f>
        <v>3.4</v>
      </c>
      <c r="G1508" s="4" t="str">
        <f>HYPERLINK("http://141.218.60.56/~jnz1568/getInfo.php?workbook=14_02.xlsx&amp;sheet=U0&amp;row=1508&amp;col=7&amp;number=0.00488&amp;sourceID=14","0.00488")</f>
        <v>0.00488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HYPERLINK("http://141.218.60.56/~jnz1568/getInfo.php?workbook=14_02.xlsx&amp;sheet=U0&amp;row=1509&amp;col=6&amp;number=3.5&amp;sourceID=14","3.5")</f>
        <v>3.5</v>
      </c>
      <c r="G1509" s="4" t="str">
        <f>HYPERLINK("http://141.218.60.56/~jnz1568/getInfo.php?workbook=14_02.xlsx&amp;sheet=U0&amp;row=1509&amp;col=7&amp;number=0.00488&amp;sourceID=14","0.00488")</f>
        <v>0.00488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HYPERLINK("http://141.218.60.56/~jnz1568/getInfo.php?workbook=14_02.xlsx&amp;sheet=U0&amp;row=1510&amp;col=6&amp;number=3.6&amp;sourceID=14","3.6")</f>
        <v>3.6</v>
      </c>
      <c r="G1510" s="4" t="str">
        <f>HYPERLINK("http://141.218.60.56/~jnz1568/getInfo.php?workbook=14_02.xlsx&amp;sheet=U0&amp;row=1510&amp;col=7&amp;number=0.00488&amp;sourceID=14","0.00488")</f>
        <v>0.00488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HYPERLINK("http://141.218.60.56/~jnz1568/getInfo.php?workbook=14_02.xlsx&amp;sheet=U0&amp;row=1511&amp;col=6&amp;number=3.7&amp;sourceID=14","3.7")</f>
        <v>3.7</v>
      </c>
      <c r="G1511" s="4" t="str">
        <f>HYPERLINK("http://141.218.60.56/~jnz1568/getInfo.php?workbook=14_02.xlsx&amp;sheet=U0&amp;row=1511&amp;col=7&amp;number=0.00488&amp;sourceID=14","0.00488")</f>
        <v>0.00488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HYPERLINK("http://141.218.60.56/~jnz1568/getInfo.php?workbook=14_02.xlsx&amp;sheet=U0&amp;row=1512&amp;col=6&amp;number=3.8&amp;sourceID=14","3.8")</f>
        <v>3.8</v>
      </c>
      <c r="G1512" s="4" t="str">
        <f>HYPERLINK("http://141.218.60.56/~jnz1568/getInfo.php?workbook=14_02.xlsx&amp;sheet=U0&amp;row=1512&amp;col=7&amp;number=0.00488&amp;sourceID=14","0.00488")</f>
        <v>0.00488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HYPERLINK("http://141.218.60.56/~jnz1568/getInfo.php?workbook=14_02.xlsx&amp;sheet=U0&amp;row=1513&amp;col=6&amp;number=3.9&amp;sourceID=14","3.9")</f>
        <v>3.9</v>
      </c>
      <c r="G1513" s="4" t="str">
        <f>HYPERLINK("http://141.218.60.56/~jnz1568/getInfo.php?workbook=14_02.xlsx&amp;sheet=U0&amp;row=1513&amp;col=7&amp;number=0.00488&amp;sourceID=14","0.00488")</f>
        <v>0.00488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HYPERLINK("http://141.218.60.56/~jnz1568/getInfo.php?workbook=14_02.xlsx&amp;sheet=U0&amp;row=1514&amp;col=6&amp;number=4&amp;sourceID=14","4")</f>
        <v>4</v>
      </c>
      <c r="G1514" s="4" t="str">
        <f>HYPERLINK("http://141.218.60.56/~jnz1568/getInfo.php?workbook=14_02.xlsx&amp;sheet=U0&amp;row=1514&amp;col=7&amp;number=0.00488&amp;sourceID=14","0.00488")</f>
        <v>0.00488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HYPERLINK("http://141.218.60.56/~jnz1568/getInfo.php?workbook=14_02.xlsx&amp;sheet=U0&amp;row=1515&amp;col=6&amp;number=4.1&amp;sourceID=14","4.1")</f>
        <v>4.1</v>
      </c>
      <c r="G1515" s="4" t="str">
        <f>HYPERLINK("http://141.218.60.56/~jnz1568/getInfo.php?workbook=14_02.xlsx&amp;sheet=U0&amp;row=1515&amp;col=7&amp;number=0.00488&amp;sourceID=14","0.00488")</f>
        <v>0.00488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HYPERLINK("http://141.218.60.56/~jnz1568/getInfo.php?workbook=14_02.xlsx&amp;sheet=U0&amp;row=1516&amp;col=6&amp;number=4.2&amp;sourceID=14","4.2")</f>
        <v>4.2</v>
      </c>
      <c r="G1516" s="4" t="str">
        <f>HYPERLINK("http://141.218.60.56/~jnz1568/getInfo.php?workbook=14_02.xlsx&amp;sheet=U0&amp;row=1516&amp;col=7&amp;number=0.00488&amp;sourceID=14","0.00488")</f>
        <v>0.00488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HYPERLINK("http://141.218.60.56/~jnz1568/getInfo.php?workbook=14_02.xlsx&amp;sheet=U0&amp;row=1517&amp;col=6&amp;number=4.3&amp;sourceID=14","4.3")</f>
        <v>4.3</v>
      </c>
      <c r="G1517" s="4" t="str">
        <f>HYPERLINK("http://141.218.60.56/~jnz1568/getInfo.php?workbook=14_02.xlsx&amp;sheet=U0&amp;row=1517&amp;col=7&amp;number=0.00489&amp;sourceID=14","0.00489")</f>
        <v>0.00489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HYPERLINK("http://141.218.60.56/~jnz1568/getInfo.php?workbook=14_02.xlsx&amp;sheet=U0&amp;row=1518&amp;col=6&amp;number=4.4&amp;sourceID=14","4.4")</f>
        <v>4.4</v>
      </c>
      <c r="G1518" s="4" t="str">
        <f>HYPERLINK("http://141.218.60.56/~jnz1568/getInfo.php?workbook=14_02.xlsx&amp;sheet=U0&amp;row=1518&amp;col=7&amp;number=0.00489&amp;sourceID=14","0.00489")</f>
        <v>0.00489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HYPERLINK("http://141.218.60.56/~jnz1568/getInfo.php?workbook=14_02.xlsx&amp;sheet=U0&amp;row=1519&amp;col=6&amp;number=4.5&amp;sourceID=14","4.5")</f>
        <v>4.5</v>
      </c>
      <c r="G1519" s="4" t="str">
        <f>HYPERLINK("http://141.218.60.56/~jnz1568/getInfo.php?workbook=14_02.xlsx&amp;sheet=U0&amp;row=1519&amp;col=7&amp;number=0.00489&amp;sourceID=14","0.00489")</f>
        <v>0.00489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HYPERLINK("http://141.218.60.56/~jnz1568/getInfo.php?workbook=14_02.xlsx&amp;sheet=U0&amp;row=1520&amp;col=6&amp;number=4.6&amp;sourceID=14","4.6")</f>
        <v>4.6</v>
      </c>
      <c r="G1520" s="4" t="str">
        <f>HYPERLINK("http://141.218.60.56/~jnz1568/getInfo.php?workbook=14_02.xlsx&amp;sheet=U0&amp;row=1520&amp;col=7&amp;number=0.00489&amp;sourceID=14","0.00489")</f>
        <v>0.00489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HYPERLINK("http://141.218.60.56/~jnz1568/getInfo.php?workbook=14_02.xlsx&amp;sheet=U0&amp;row=1521&amp;col=6&amp;number=4.7&amp;sourceID=14","4.7")</f>
        <v>4.7</v>
      </c>
      <c r="G1521" s="4" t="str">
        <f>HYPERLINK("http://141.218.60.56/~jnz1568/getInfo.php?workbook=14_02.xlsx&amp;sheet=U0&amp;row=1521&amp;col=7&amp;number=0.00489&amp;sourceID=14","0.00489")</f>
        <v>0.00489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HYPERLINK("http://141.218.60.56/~jnz1568/getInfo.php?workbook=14_02.xlsx&amp;sheet=U0&amp;row=1522&amp;col=6&amp;number=4.8&amp;sourceID=14","4.8")</f>
        <v>4.8</v>
      </c>
      <c r="G1522" s="4" t="str">
        <f>HYPERLINK("http://141.218.60.56/~jnz1568/getInfo.php?workbook=14_02.xlsx&amp;sheet=U0&amp;row=1522&amp;col=7&amp;number=0.00489&amp;sourceID=14","0.00489")</f>
        <v>0.00489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HYPERLINK("http://141.218.60.56/~jnz1568/getInfo.php?workbook=14_02.xlsx&amp;sheet=U0&amp;row=1523&amp;col=6&amp;number=4.9&amp;sourceID=14","4.9")</f>
        <v>4.9</v>
      </c>
      <c r="G1523" s="4" t="str">
        <f>HYPERLINK("http://141.218.60.56/~jnz1568/getInfo.php?workbook=14_02.xlsx&amp;sheet=U0&amp;row=1523&amp;col=7&amp;number=0.00489&amp;sourceID=14","0.00489")</f>
        <v>0.00489</v>
      </c>
    </row>
    <row r="1524" spans="1:7">
      <c r="A1524" s="3">
        <v>14</v>
      </c>
      <c r="B1524" s="3">
        <v>2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HYPERLINK("http://141.218.60.56/~jnz1568/getInfo.php?workbook=14_02.xlsx&amp;sheet=U0&amp;row=1524&amp;col=6&amp;number=3&amp;sourceID=14","3")</f>
        <v>3</v>
      </c>
      <c r="G1524" s="4" t="str">
        <f>HYPERLINK("http://141.218.60.56/~jnz1568/getInfo.php?workbook=14_02.xlsx&amp;sheet=U0&amp;row=1524&amp;col=7&amp;number=0.00311&amp;sourceID=14","0.00311")</f>
        <v>0.00311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HYPERLINK("http://141.218.60.56/~jnz1568/getInfo.php?workbook=14_02.xlsx&amp;sheet=U0&amp;row=1525&amp;col=6&amp;number=3.1&amp;sourceID=14","3.1")</f>
        <v>3.1</v>
      </c>
      <c r="G1525" s="4" t="str">
        <f>HYPERLINK("http://141.218.60.56/~jnz1568/getInfo.php?workbook=14_02.xlsx&amp;sheet=U0&amp;row=1525&amp;col=7&amp;number=0.00311&amp;sourceID=14","0.00311")</f>
        <v>0.00311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HYPERLINK("http://141.218.60.56/~jnz1568/getInfo.php?workbook=14_02.xlsx&amp;sheet=U0&amp;row=1526&amp;col=6&amp;number=3.2&amp;sourceID=14","3.2")</f>
        <v>3.2</v>
      </c>
      <c r="G1526" s="4" t="str">
        <f>HYPERLINK("http://141.218.60.56/~jnz1568/getInfo.php?workbook=14_02.xlsx&amp;sheet=U0&amp;row=1526&amp;col=7&amp;number=0.00311&amp;sourceID=14","0.00311")</f>
        <v>0.00311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HYPERLINK("http://141.218.60.56/~jnz1568/getInfo.php?workbook=14_02.xlsx&amp;sheet=U0&amp;row=1527&amp;col=6&amp;number=3.3&amp;sourceID=14","3.3")</f>
        <v>3.3</v>
      </c>
      <c r="G1527" s="4" t="str">
        <f>HYPERLINK("http://141.218.60.56/~jnz1568/getInfo.php?workbook=14_02.xlsx&amp;sheet=U0&amp;row=1527&amp;col=7&amp;number=0.00311&amp;sourceID=14","0.00311")</f>
        <v>0.00311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HYPERLINK("http://141.218.60.56/~jnz1568/getInfo.php?workbook=14_02.xlsx&amp;sheet=U0&amp;row=1528&amp;col=6&amp;number=3.4&amp;sourceID=14","3.4")</f>
        <v>3.4</v>
      </c>
      <c r="G1528" s="4" t="str">
        <f>HYPERLINK("http://141.218.60.56/~jnz1568/getInfo.php?workbook=14_02.xlsx&amp;sheet=U0&amp;row=1528&amp;col=7&amp;number=0.00311&amp;sourceID=14","0.00311")</f>
        <v>0.00311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HYPERLINK("http://141.218.60.56/~jnz1568/getInfo.php?workbook=14_02.xlsx&amp;sheet=U0&amp;row=1529&amp;col=6&amp;number=3.5&amp;sourceID=14","3.5")</f>
        <v>3.5</v>
      </c>
      <c r="G1529" s="4" t="str">
        <f>HYPERLINK("http://141.218.60.56/~jnz1568/getInfo.php?workbook=14_02.xlsx&amp;sheet=U0&amp;row=1529&amp;col=7&amp;number=0.00311&amp;sourceID=14","0.00311")</f>
        <v>0.00311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HYPERLINK("http://141.218.60.56/~jnz1568/getInfo.php?workbook=14_02.xlsx&amp;sheet=U0&amp;row=1530&amp;col=6&amp;number=3.6&amp;sourceID=14","3.6")</f>
        <v>3.6</v>
      </c>
      <c r="G1530" s="4" t="str">
        <f>HYPERLINK("http://141.218.60.56/~jnz1568/getInfo.php?workbook=14_02.xlsx&amp;sheet=U0&amp;row=1530&amp;col=7&amp;number=0.00311&amp;sourceID=14","0.00311")</f>
        <v>0.00311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HYPERLINK("http://141.218.60.56/~jnz1568/getInfo.php?workbook=14_02.xlsx&amp;sheet=U0&amp;row=1531&amp;col=6&amp;number=3.7&amp;sourceID=14","3.7")</f>
        <v>3.7</v>
      </c>
      <c r="G1531" s="4" t="str">
        <f>HYPERLINK("http://141.218.60.56/~jnz1568/getInfo.php?workbook=14_02.xlsx&amp;sheet=U0&amp;row=1531&amp;col=7&amp;number=0.00311&amp;sourceID=14","0.00311")</f>
        <v>0.00311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HYPERLINK("http://141.218.60.56/~jnz1568/getInfo.php?workbook=14_02.xlsx&amp;sheet=U0&amp;row=1532&amp;col=6&amp;number=3.8&amp;sourceID=14","3.8")</f>
        <v>3.8</v>
      </c>
      <c r="G1532" s="4" t="str">
        <f>HYPERLINK("http://141.218.60.56/~jnz1568/getInfo.php?workbook=14_02.xlsx&amp;sheet=U0&amp;row=1532&amp;col=7&amp;number=0.00311&amp;sourceID=14","0.00311")</f>
        <v>0.00311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HYPERLINK("http://141.218.60.56/~jnz1568/getInfo.php?workbook=14_02.xlsx&amp;sheet=U0&amp;row=1533&amp;col=6&amp;number=3.9&amp;sourceID=14","3.9")</f>
        <v>3.9</v>
      </c>
      <c r="G1533" s="4" t="str">
        <f>HYPERLINK("http://141.218.60.56/~jnz1568/getInfo.php?workbook=14_02.xlsx&amp;sheet=U0&amp;row=1533&amp;col=7&amp;number=0.00311&amp;sourceID=14","0.00311")</f>
        <v>0.00311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HYPERLINK("http://141.218.60.56/~jnz1568/getInfo.php?workbook=14_02.xlsx&amp;sheet=U0&amp;row=1534&amp;col=6&amp;number=4&amp;sourceID=14","4")</f>
        <v>4</v>
      </c>
      <c r="G1534" s="4" t="str">
        <f>HYPERLINK("http://141.218.60.56/~jnz1568/getInfo.php?workbook=14_02.xlsx&amp;sheet=U0&amp;row=1534&amp;col=7&amp;number=0.00311&amp;sourceID=14","0.00311")</f>
        <v>0.00311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HYPERLINK("http://141.218.60.56/~jnz1568/getInfo.php?workbook=14_02.xlsx&amp;sheet=U0&amp;row=1535&amp;col=6&amp;number=4.1&amp;sourceID=14","4.1")</f>
        <v>4.1</v>
      </c>
      <c r="G1535" s="4" t="str">
        <f>HYPERLINK("http://141.218.60.56/~jnz1568/getInfo.php?workbook=14_02.xlsx&amp;sheet=U0&amp;row=1535&amp;col=7&amp;number=0.00311&amp;sourceID=14","0.00311")</f>
        <v>0.00311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HYPERLINK("http://141.218.60.56/~jnz1568/getInfo.php?workbook=14_02.xlsx&amp;sheet=U0&amp;row=1536&amp;col=6&amp;number=4.2&amp;sourceID=14","4.2")</f>
        <v>4.2</v>
      </c>
      <c r="G1536" s="4" t="str">
        <f>HYPERLINK("http://141.218.60.56/~jnz1568/getInfo.php?workbook=14_02.xlsx&amp;sheet=U0&amp;row=1536&amp;col=7&amp;number=0.00311&amp;sourceID=14","0.00311")</f>
        <v>0.00311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HYPERLINK("http://141.218.60.56/~jnz1568/getInfo.php?workbook=14_02.xlsx&amp;sheet=U0&amp;row=1537&amp;col=6&amp;number=4.3&amp;sourceID=14","4.3")</f>
        <v>4.3</v>
      </c>
      <c r="G1537" s="4" t="str">
        <f>HYPERLINK("http://141.218.60.56/~jnz1568/getInfo.php?workbook=14_02.xlsx&amp;sheet=U0&amp;row=1537&amp;col=7&amp;number=0.00311&amp;sourceID=14","0.00311")</f>
        <v>0.00311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HYPERLINK("http://141.218.60.56/~jnz1568/getInfo.php?workbook=14_02.xlsx&amp;sheet=U0&amp;row=1538&amp;col=6&amp;number=4.4&amp;sourceID=14","4.4")</f>
        <v>4.4</v>
      </c>
      <c r="G1538" s="4" t="str">
        <f>HYPERLINK("http://141.218.60.56/~jnz1568/getInfo.php?workbook=14_02.xlsx&amp;sheet=U0&amp;row=1538&amp;col=7&amp;number=0.00311&amp;sourceID=14","0.00311")</f>
        <v>0.00311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HYPERLINK("http://141.218.60.56/~jnz1568/getInfo.php?workbook=14_02.xlsx&amp;sheet=U0&amp;row=1539&amp;col=6&amp;number=4.5&amp;sourceID=14","4.5")</f>
        <v>4.5</v>
      </c>
      <c r="G1539" s="4" t="str">
        <f>HYPERLINK("http://141.218.60.56/~jnz1568/getInfo.php?workbook=14_02.xlsx&amp;sheet=U0&amp;row=1539&amp;col=7&amp;number=0.00311&amp;sourceID=14","0.00311")</f>
        <v>0.00311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HYPERLINK("http://141.218.60.56/~jnz1568/getInfo.php?workbook=14_02.xlsx&amp;sheet=U0&amp;row=1540&amp;col=6&amp;number=4.6&amp;sourceID=14","4.6")</f>
        <v>4.6</v>
      </c>
      <c r="G1540" s="4" t="str">
        <f>HYPERLINK("http://141.218.60.56/~jnz1568/getInfo.php?workbook=14_02.xlsx&amp;sheet=U0&amp;row=1540&amp;col=7&amp;number=0.0031&amp;sourceID=14","0.0031")</f>
        <v>0.0031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HYPERLINK("http://141.218.60.56/~jnz1568/getInfo.php?workbook=14_02.xlsx&amp;sheet=U0&amp;row=1541&amp;col=6&amp;number=4.7&amp;sourceID=14","4.7")</f>
        <v>4.7</v>
      </c>
      <c r="G1541" s="4" t="str">
        <f>HYPERLINK("http://141.218.60.56/~jnz1568/getInfo.php?workbook=14_02.xlsx&amp;sheet=U0&amp;row=1541&amp;col=7&amp;number=0.0031&amp;sourceID=14","0.0031")</f>
        <v>0.0031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HYPERLINK("http://141.218.60.56/~jnz1568/getInfo.php?workbook=14_02.xlsx&amp;sheet=U0&amp;row=1542&amp;col=6&amp;number=4.8&amp;sourceID=14","4.8")</f>
        <v>4.8</v>
      </c>
      <c r="G1542" s="4" t="str">
        <f>HYPERLINK("http://141.218.60.56/~jnz1568/getInfo.php?workbook=14_02.xlsx&amp;sheet=U0&amp;row=1542&amp;col=7&amp;number=0.0031&amp;sourceID=14","0.0031")</f>
        <v>0.0031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HYPERLINK("http://141.218.60.56/~jnz1568/getInfo.php?workbook=14_02.xlsx&amp;sheet=U0&amp;row=1543&amp;col=6&amp;number=4.9&amp;sourceID=14","4.9")</f>
        <v>4.9</v>
      </c>
      <c r="G1543" s="4" t="str">
        <f>HYPERLINK("http://141.218.60.56/~jnz1568/getInfo.php?workbook=14_02.xlsx&amp;sheet=U0&amp;row=1543&amp;col=7&amp;number=0.0031&amp;sourceID=14","0.0031")</f>
        <v>0.0031</v>
      </c>
    </row>
    <row r="1544" spans="1:7">
      <c r="A1544" s="3">
        <v>14</v>
      </c>
      <c r="B1544" s="3">
        <v>2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HYPERLINK("http://141.218.60.56/~jnz1568/getInfo.php?workbook=14_02.xlsx&amp;sheet=U0&amp;row=1544&amp;col=6&amp;number=3&amp;sourceID=14","3")</f>
        <v>3</v>
      </c>
      <c r="G1544" s="4" t="str">
        <f>HYPERLINK("http://141.218.60.56/~jnz1568/getInfo.php?workbook=14_02.xlsx&amp;sheet=U0&amp;row=1544&amp;col=7&amp;number=0.00541&amp;sourceID=14","0.00541")</f>
        <v>0.00541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HYPERLINK("http://141.218.60.56/~jnz1568/getInfo.php?workbook=14_02.xlsx&amp;sheet=U0&amp;row=1545&amp;col=6&amp;number=3.1&amp;sourceID=14","3.1")</f>
        <v>3.1</v>
      </c>
      <c r="G1545" s="4" t="str">
        <f>HYPERLINK("http://141.218.60.56/~jnz1568/getInfo.php?workbook=14_02.xlsx&amp;sheet=U0&amp;row=1545&amp;col=7&amp;number=0.00541&amp;sourceID=14","0.00541")</f>
        <v>0.00541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HYPERLINK("http://141.218.60.56/~jnz1568/getInfo.php?workbook=14_02.xlsx&amp;sheet=U0&amp;row=1546&amp;col=6&amp;number=3.2&amp;sourceID=14","3.2")</f>
        <v>3.2</v>
      </c>
      <c r="G1546" s="4" t="str">
        <f>HYPERLINK("http://141.218.60.56/~jnz1568/getInfo.php?workbook=14_02.xlsx&amp;sheet=U0&amp;row=1546&amp;col=7&amp;number=0.00541&amp;sourceID=14","0.00541")</f>
        <v>0.00541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HYPERLINK("http://141.218.60.56/~jnz1568/getInfo.php?workbook=14_02.xlsx&amp;sheet=U0&amp;row=1547&amp;col=6&amp;number=3.3&amp;sourceID=14","3.3")</f>
        <v>3.3</v>
      </c>
      <c r="G1547" s="4" t="str">
        <f>HYPERLINK("http://141.218.60.56/~jnz1568/getInfo.php?workbook=14_02.xlsx&amp;sheet=U0&amp;row=1547&amp;col=7&amp;number=0.00541&amp;sourceID=14","0.00541")</f>
        <v>0.00541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HYPERLINK("http://141.218.60.56/~jnz1568/getInfo.php?workbook=14_02.xlsx&amp;sheet=U0&amp;row=1548&amp;col=6&amp;number=3.4&amp;sourceID=14","3.4")</f>
        <v>3.4</v>
      </c>
      <c r="G1548" s="4" t="str">
        <f>HYPERLINK("http://141.218.60.56/~jnz1568/getInfo.php?workbook=14_02.xlsx&amp;sheet=U0&amp;row=1548&amp;col=7&amp;number=0.00541&amp;sourceID=14","0.00541")</f>
        <v>0.00541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HYPERLINK("http://141.218.60.56/~jnz1568/getInfo.php?workbook=14_02.xlsx&amp;sheet=U0&amp;row=1549&amp;col=6&amp;number=3.5&amp;sourceID=14","3.5")</f>
        <v>3.5</v>
      </c>
      <c r="G1549" s="4" t="str">
        <f>HYPERLINK("http://141.218.60.56/~jnz1568/getInfo.php?workbook=14_02.xlsx&amp;sheet=U0&amp;row=1549&amp;col=7&amp;number=0.00541&amp;sourceID=14","0.00541")</f>
        <v>0.00541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HYPERLINK("http://141.218.60.56/~jnz1568/getInfo.php?workbook=14_02.xlsx&amp;sheet=U0&amp;row=1550&amp;col=6&amp;number=3.6&amp;sourceID=14","3.6")</f>
        <v>3.6</v>
      </c>
      <c r="G1550" s="4" t="str">
        <f>HYPERLINK("http://141.218.60.56/~jnz1568/getInfo.php?workbook=14_02.xlsx&amp;sheet=U0&amp;row=1550&amp;col=7&amp;number=0.00541&amp;sourceID=14","0.00541")</f>
        <v>0.00541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HYPERLINK("http://141.218.60.56/~jnz1568/getInfo.php?workbook=14_02.xlsx&amp;sheet=U0&amp;row=1551&amp;col=6&amp;number=3.7&amp;sourceID=14","3.7")</f>
        <v>3.7</v>
      </c>
      <c r="G1551" s="4" t="str">
        <f>HYPERLINK("http://141.218.60.56/~jnz1568/getInfo.php?workbook=14_02.xlsx&amp;sheet=U0&amp;row=1551&amp;col=7&amp;number=0.00541&amp;sourceID=14","0.00541")</f>
        <v>0.00541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HYPERLINK("http://141.218.60.56/~jnz1568/getInfo.php?workbook=14_02.xlsx&amp;sheet=U0&amp;row=1552&amp;col=6&amp;number=3.8&amp;sourceID=14","3.8")</f>
        <v>3.8</v>
      </c>
      <c r="G1552" s="4" t="str">
        <f>HYPERLINK("http://141.218.60.56/~jnz1568/getInfo.php?workbook=14_02.xlsx&amp;sheet=U0&amp;row=1552&amp;col=7&amp;number=0.00541&amp;sourceID=14","0.00541")</f>
        <v>0.00541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HYPERLINK("http://141.218.60.56/~jnz1568/getInfo.php?workbook=14_02.xlsx&amp;sheet=U0&amp;row=1553&amp;col=6&amp;number=3.9&amp;sourceID=14","3.9")</f>
        <v>3.9</v>
      </c>
      <c r="G1553" s="4" t="str">
        <f>HYPERLINK("http://141.218.60.56/~jnz1568/getInfo.php?workbook=14_02.xlsx&amp;sheet=U0&amp;row=1553&amp;col=7&amp;number=0.00541&amp;sourceID=14","0.00541")</f>
        <v>0.00541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HYPERLINK("http://141.218.60.56/~jnz1568/getInfo.php?workbook=14_02.xlsx&amp;sheet=U0&amp;row=1554&amp;col=6&amp;number=4&amp;sourceID=14","4")</f>
        <v>4</v>
      </c>
      <c r="G1554" s="4" t="str">
        <f>HYPERLINK("http://141.218.60.56/~jnz1568/getInfo.php?workbook=14_02.xlsx&amp;sheet=U0&amp;row=1554&amp;col=7&amp;number=0.00541&amp;sourceID=14","0.00541")</f>
        <v>0.00541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HYPERLINK("http://141.218.60.56/~jnz1568/getInfo.php?workbook=14_02.xlsx&amp;sheet=U0&amp;row=1555&amp;col=6&amp;number=4.1&amp;sourceID=14","4.1")</f>
        <v>4.1</v>
      </c>
      <c r="G1555" s="4" t="str">
        <f>HYPERLINK("http://141.218.60.56/~jnz1568/getInfo.php?workbook=14_02.xlsx&amp;sheet=U0&amp;row=1555&amp;col=7&amp;number=0.00541&amp;sourceID=14","0.00541")</f>
        <v>0.00541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HYPERLINK("http://141.218.60.56/~jnz1568/getInfo.php?workbook=14_02.xlsx&amp;sheet=U0&amp;row=1556&amp;col=6&amp;number=4.2&amp;sourceID=14","4.2")</f>
        <v>4.2</v>
      </c>
      <c r="G1556" s="4" t="str">
        <f>HYPERLINK("http://141.218.60.56/~jnz1568/getInfo.php?workbook=14_02.xlsx&amp;sheet=U0&amp;row=1556&amp;col=7&amp;number=0.00541&amp;sourceID=14","0.00541")</f>
        <v>0.00541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HYPERLINK("http://141.218.60.56/~jnz1568/getInfo.php?workbook=14_02.xlsx&amp;sheet=U0&amp;row=1557&amp;col=6&amp;number=4.3&amp;sourceID=14","4.3")</f>
        <v>4.3</v>
      </c>
      <c r="G1557" s="4" t="str">
        <f>HYPERLINK("http://141.218.60.56/~jnz1568/getInfo.php?workbook=14_02.xlsx&amp;sheet=U0&amp;row=1557&amp;col=7&amp;number=0.00541&amp;sourceID=14","0.00541")</f>
        <v>0.00541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HYPERLINK("http://141.218.60.56/~jnz1568/getInfo.php?workbook=14_02.xlsx&amp;sheet=U0&amp;row=1558&amp;col=6&amp;number=4.4&amp;sourceID=14","4.4")</f>
        <v>4.4</v>
      </c>
      <c r="G1558" s="4" t="str">
        <f>HYPERLINK("http://141.218.60.56/~jnz1568/getInfo.php?workbook=14_02.xlsx&amp;sheet=U0&amp;row=1558&amp;col=7&amp;number=0.00541&amp;sourceID=14","0.00541")</f>
        <v>0.00541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HYPERLINK("http://141.218.60.56/~jnz1568/getInfo.php?workbook=14_02.xlsx&amp;sheet=U0&amp;row=1559&amp;col=6&amp;number=4.5&amp;sourceID=14","4.5")</f>
        <v>4.5</v>
      </c>
      <c r="G1559" s="4" t="str">
        <f>HYPERLINK("http://141.218.60.56/~jnz1568/getInfo.php?workbook=14_02.xlsx&amp;sheet=U0&amp;row=1559&amp;col=7&amp;number=0.00541&amp;sourceID=14","0.00541")</f>
        <v>0.00541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HYPERLINK("http://141.218.60.56/~jnz1568/getInfo.php?workbook=14_02.xlsx&amp;sheet=U0&amp;row=1560&amp;col=6&amp;number=4.6&amp;sourceID=14","4.6")</f>
        <v>4.6</v>
      </c>
      <c r="G1560" s="4" t="str">
        <f>HYPERLINK("http://141.218.60.56/~jnz1568/getInfo.php?workbook=14_02.xlsx&amp;sheet=U0&amp;row=1560&amp;col=7&amp;number=0.00541&amp;sourceID=14","0.00541")</f>
        <v>0.00541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HYPERLINK("http://141.218.60.56/~jnz1568/getInfo.php?workbook=14_02.xlsx&amp;sheet=U0&amp;row=1561&amp;col=6&amp;number=4.7&amp;sourceID=14","4.7")</f>
        <v>4.7</v>
      </c>
      <c r="G1561" s="4" t="str">
        <f>HYPERLINK("http://141.218.60.56/~jnz1568/getInfo.php?workbook=14_02.xlsx&amp;sheet=U0&amp;row=1561&amp;col=7&amp;number=0.00541&amp;sourceID=14","0.00541")</f>
        <v>0.00541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HYPERLINK("http://141.218.60.56/~jnz1568/getInfo.php?workbook=14_02.xlsx&amp;sheet=U0&amp;row=1562&amp;col=6&amp;number=4.8&amp;sourceID=14","4.8")</f>
        <v>4.8</v>
      </c>
      <c r="G1562" s="4" t="str">
        <f>HYPERLINK("http://141.218.60.56/~jnz1568/getInfo.php?workbook=14_02.xlsx&amp;sheet=U0&amp;row=1562&amp;col=7&amp;number=0.00541&amp;sourceID=14","0.00541")</f>
        <v>0.00541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HYPERLINK("http://141.218.60.56/~jnz1568/getInfo.php?workbook=14_02.xlsx&amp;sheet=U0&amp;row=1563&amp;col=6&amp;number=4.9&amp;sourceID=14","4.9")</f>
        <v>4.9</v>
      </c>
      <c r="G1563" s="4" t="str">
        <f>HYPERLINK("http://141.218.60.56/~jnz1568/getInfo.php?workbook=14_02.xlsx&amp;sheet=U0&amp;row=1563&amp;col=7&amp;number=0.00541&amp;sourceID=14","0.00541")</f>
        <v>0.00541</v>
      </c>
    </row>
    <row r="1564" spans="1:7">
      <c r="A1564" s="3">
        <v>14</v>
      </c>
      <c r="B1564" s="3">
        <v>2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HYPERLINK("http://141.218.60.56/~jnz1568/getInfo.php?workbook=14_02.xlsx&amp;sheet=U0&amp;row=1564&amp;col=6&amp;number=3&amp;sourceID=14","3")</f>
        <v>3</v>
      </c>
      <c r="G1564" s="4" t="str">
        <f>HYPERLINK("http://141.218.60.56/~jnz1568/getInfo.php?workbook=14_02.xlsx&amp;sheet=U0&amp;row=1564&amp;col=7&amp;number=0.000296&amp;sourceID=14","0.000296")</f>
        <v>0.000296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HYPERLINK("http://141.218.60.56/~jnz1568/getInfo.php?workbook=14_02.xlsx&amp;sheet=U0&amp;row=1565&amp;col=6&amp;number=3.1&amp;sourceID=14","3.1")</f>
        <v>3.1</v>
      </c>
      <c r="G1565" s="4" t="str">
        <f>HYPERLINK("http://141.218.60.56/~jnz1568/getInfo.php?workbook=14_02.xlsx&amp;sheet=U0&amp;row=1565&amp;col=7&amp;number=0.000296&amp;sourceID=14","0.000296")</f>
        <v>0.000296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HYPERLINK("http://141.218.60.56/~jnz1568/getInfo.php?workbook=14_02.xlsx&amp;sheet=U0&amp;row=1566&amp;col=6&amp;number=3.2&amp;sourceID=14","3.2")</f>
        <v>3.2</v>
      </c>
      <c r="G1566" s="4" t="str">
        <f>HYPERLINK("http://141.218.60.56/~jnz1568/getInfo.php?workbook=14_02.xlsx&amp;sheet=U0&amp;row=1566&amp;col=7&amp;number=0.000296&amp;sourceID=14","0.000296")</f>
        <v>0.000296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HYPERLINK("http://141.218.60.56/~jnz1568/getInfo.php?workbook=14_02.xlsx&amp;sheet=U0&amp;row=1567&amp;col=6&amp;number=3.3&amp;sourceID=14","3.3")</f>
        <v>3.3</v>
      </c>
      <c r="G1567" s="4" t="str">
        <f>HYPERLINK("http://141.218.60.56/~jnz1568/getInfo.php?workbook=14_02.xlsx&amp;sheet=U0&amp;row=1567&amp;col=7&amp;number=0.000296&amp;sourceID=14","0.000296")</f>
        <v>0.000296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HYPERLINK("http://141.218.60.56/~jnz1568/getInfo.php?workbook=14_02.xlsx&amp;sheet=U0&amp;row=1568&amp;col=6&amp;number=3.4&amp;sourceID=14","3.4")</f>
        <v>3.4</v>
      </c>
      <c r="G1568" s="4" t="str">
        <f>HYPERLINK("http://141.218.60.56/~jnz1568/getInfo.php?workbook=14_02.xlsx&amp;sheet=U0&amp;row=1568&amp;col=7&amp;number=0.000296&amp;sourceID=14","0.000296")</f>
        <v>0.000296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HYPERLINK("http://141.218.60.56/~jnz1568/getInfo.php?workbook=14_02.xlsx&amp;sheet=U0&amp;row=1569&amp;col=6&amp;number=3.5&amp;sourceID=14","3.5")</f>
        <v>3.5</v>
      </c>
      <c r="G1569" s="4" t="str">
        <f>HYPERLINK("http://141.218.60.56/~jnz1568/getInfo.php?workbook=14_02.xlsx&amp;sheet=U0&amp;row=1569&amp;col=7&amp;number=0.000296&amp;sourceID=14","0.000296")</f>
        <v>0.000296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HYPERLINK("http://141.218.60.56/~jnz1568/getInfo.php?workbook=14_02.xlsx&amp;sheet=U0&amp;row=1570&amp;col=6&amp;number=3.6&amp;sourceID=14","3.6")</f>
        <v>3.6</v>
      </c>
      <c r="G1570" s="4" t="str">
        <f>HYPERLINK("http://141.218.60.56/~jnz1568/getInfo.php?workbook=14_02.xlsx&amp;sheet=U0&amp;row=1570&amp;col=7&amp;number=0.000296&amp;sourceID=14","0.000296")</f>
        <v>0.000296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HYPERLINK("http://141.218.60.56/~jnz1568/getInfo.php?workbook=14_02.xlsx&amp;sheet=U0&amp;row=1571&amp;col=6&amp;number=3.7&amp;sourceID=14","3.7")</f>
        <v>3.7</v>
      </c>
      <c r="G1571" s="4" t="str">
        <f>HYPERLINK("http://141.218.60.56/~jnz1568/getInfo.php?workbook=14_02.xlsx&amp;sheet=U0&amp;row=1571&amp;col=7&amp;number=0.000296&amp;sourceID=14","0.000296")</f>
        <v>0.000296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HYPERLINK("http://141.218.60.56/~jnz1568/getInfo.php?workbook=14_02.xlsx&amp;sheet=U0&amp;row=1572&amp;col=6&amp;number=3.8&amp;sourceID=14","3.8")</f>
        <v>3.8</v>
      </c>
      <c r="G1572" s="4" t="str">
        <f>HYPERLINK("http://141.218.60.56/~jnz1568/getInfo.php?workbook=14_02.xlsx&amp;sheet=U0&amp;row=1572&amp;col=7&amp;number=0.000296&amp;sourceID=14","0.000296")</f>
        <v>0.000296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HYPERLINK("http://141.218.60.56/~jnz1568/getInfo.php?workbook=14_02.xlsx&amp;sheet=U0&amp;row=1573&amp;col=6&amp;number=3.9&amp;sourceID=14","3.9")</f>
        <v>3.9</v>
      </c>
      <c r="G1573" s="4" t="str">
        <f>HYPERLINK("http://141.218.60.56/~jnz1568/getInfo.php?workbook=14_02.xlsx&amp;sheet=U0&amp;row=1573&amp;col=7&amp;number=0.000296&amp;sourceID=14","0.000296")</f>
        <v>0.000296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HYPERLINK("http://141.218.60.56/~jnz1568/getInfo.php?workbook=14_02.xlsx&amp;sheet=U0&amp;row=1574&amp;col=6&amp;number=4&amp;sourceID=14","4")</f>
        <v>4</v>
      </c>
      <c r="G1574" s="4" t="str">
        <f>HYPERLINK("http://141.218.60.56/~jnz1568/getInfo.php?workbook=14_02.xlsx&amp;sheet=U0&amp;row=1574&amp;col=7&amp;number=0.000296&amp;sourceID=14","0.000296")</f>
        <v>0.000296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HYPERLINK("http://141.218.60.56/~jnz1568/getInfo.php?workbook=14_02.xlsx&amp;sheet=U0&amp;row=1575&amp;col=6&amp;number=4.1&amp;sourceID=14","4.1")</f>
        <v>4.1</v>
      </c>
      <c r="G1575" s="4" t="str">
        <f>HYPERLINK("http://141.218.60.56/~jnz1568/getInfo.php?workbook=14_02.xlsx&amp;sheet=U0&amp;row=1575&amp;col=7&amp;number=0.000296&amp;sourceID=14","0.000296")</f>
        <v>0.000296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HYPERLINK("http://141.218.60.56/~jnz1568/getInfo.php?workbook=14_02.xlsx&amp;sheet=U0&amp;row=1576&amp;col=6&amp;number=4.2&amp;sourceID=14","4.2")</f>
        <v>4.2</v>
      </c>
      <c r="G1576" s="4" t="str">
        <f>HYPERLINK("http://141.218.60.56/~jnz1568/getInfo.php?workbook=14_02.xlsx&amp;sheet=U0&amp;row=1576&amp;col=7&amp;number=0.000296&amp;sourceID=14","0.000296")</f>
        <v>0.000296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HYPERLINK("http://141.218.60.56/~jnz1568/getInfo.php?workbook=14_02.xlsx&amp;sheet=U0&amp;row=1577&amp;col=6&amp;number=4.3&amp;sourceID=14","4.3")</f>
        <v>4.3</v>
      </c>
      <c r="G1577" s="4" t="str">
        <f>HYPERLINK("http://141.218.60.56/~jnz1568/getInfo.php?workbook=14_02.xlsx&amp;sheet=U0&amp;row=1577&amp;col=7&amp;number=0.000295&amp;sourceID=14","0.000295")</f>
        <v>0.000295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HYPERLINK("http://141.218.60.56/~jnz1568/getInfo.php?workbook=14_02.xlsx&amp;sheet=U0&amp;row=1578&amp;col=6&amp;number=4.4&amp;sourceID=14","4.4")</f>
        <v>4.4</v>
      </c>
      <c r="G1578" s="4" t="str">
        <f>HYPERLINK("http://141.218.60.56/~jnz1568/getInfo.php?workbook=14_02.xlsx&amp;sheet=U0&amp;row=1578&amp;col=7&amp;number=0.000295&amp;sourceID=14","0.000295")</f>
        <v>0.000295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HYPERLINK("http://141.218.60.56/~jnz1568/getInfo.php?workbook=14_02.xlsx&amp;sheet=U0&amp;row=1579&amp;col=6&amp;number=4.5&amp;sourceID=14","4.5")</f>
        <v>4.5</v>
      </c>
      <c r="G1579" s="4" t="str">
        <f>HYPERLINK("http://141.218.60.56/~jnz1568/getInfo.php?workbook=14_02.xlsx&amp;sheet=U0&amp;row=1579&amp;col=7&amp;number=0.000295&amp;sourceID=14","0.000295")</f>
        <v>0.000295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HYPERLINK("http://141.218.60.56/~jnz1568/getInfo.php?workbook=14_02.xlsx&amp;sheet=U0&amp;row=1580&amp;col=6&amp;number=4.6&amp;sourceID=14","4.6")</f>
        <v>4.6</v>
      </c>
      <c r="G1580" s="4" t="str">
        <f>HYPERLINK("http://141.218.60.56/~jnz1568/getInfo.php?workbook=14_02.xlsx&amp;sheet=U0&amp;row=1580&amp;col=7&amp;number=0.000294&amp;sourceID=14","0.000294")</f>
        <v>0.000294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HYPERLINK("http://141.218.60.56/~jnz1568/getInfo.php?workbook=14_02.xlsx&amp;sheet=U0&amp;row=1581&amp;col=6&amp;number=4.7&amp;sourceID=14","4.7")</f>
        <v>4.7</v>
      </c>
      <c r="G1581" s="4" t="str">
        <f>HYPERLINK("http://141.218.60.56/~jnz1568/getInfo.php?workbook=14_02.xlsx&amp;sheet=U0&amp;row=1581&amp;col=7&amp;number=0.000294&amp;sourceID=14","0.000294")</f>
        <v>0.000294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HYPERLINK("http://141.218.60.56/~jnz1568/getInfo.php?workbook=14_02.xlsx&amp;sheet=U0&amp;row=1582&amp;col=6&amp;number=4.8&amp;sourceID=14","4.8")</f>
        <v>4.8</v>
      </c>
      <c r="G1582" s="4" t="str">
        <f>HYPERLINK("http://141.218.60.56/~jnz1568/getInfo.php?workbook=14_02.xlsx&amp;sheet=U0&amp;row=1582&amp;col=7&amp;number=0.000293&amp;sourceID=14","0.000293")</f>
        <v>0.000293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HYPERLINK("http://141.218.60.56/~jnz1568/getInfo.php?workbook=14_02.xlsx&amp;sheet=U0&amp;row=1583&amp;col=6&amp;number=4.9&amp;sourceID=14","4.9")</f>
        <v>4.9</v>
      </c>
      <c r="G1583" s="4" t="str">
        <f>HYPERLINK("http://141.218.60.56/~jnz1568/getInfo.php?workbook=14_02.xlsx&amp;sheet=U0&amp;row=1583&amp;col=7&amp;number=0.000292&amp;sourceID=14","0.000292")</f>
        <v>0.000292</v>
      </c>
    </row>
    <row r="1584" spans="1:7">
      <c r="A1584" s="3">
        <v>14</v>
      </c>
      <c r="B1584" s="3">
        <v>2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HYPERLINK("http://141.218.60.56/~jnz1568/getInfo.php?workbook=14_02.xlsx&amp;sheet=U0&amp;row=1584&amp;col=6&amp;number=3&amp;sourceID=14","3")</f>
        <v>3</v>
      </c>
      <c r="G1584" s="4" t="str">
        <f>HYPERLINK("http://141.218.60.56/~jnz1568/getInfo.php?workbook=14_02.xlsx&amp;sheet=U0&amp;row=1584&amp;col=7&amp;number=0.000609&amp;sourceID=14","0.000609")</f>
        <v>0.000609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HYPERLINK("http://141.218.60.56/~jnz1568/getInfo.php?workbook=14_02.xlsx&amp;sheet=U0&amp;row=1585&amp;col=6&amp;number=3.1&amp;sourceID=14","3.1")</f>
        <v>3.1</v>
      </c>
      <c r="G1585" s="4" t="str">
        <f>HYPERLINK("http://141.218.60.56/~jnz1568/getInfo.php?workbook=14_02.xlsx&amp;sheet=U0&amp;row=1585&amp;col=7&amp;number=0.000609&amp;sourceID=14","0.000609")</f>
        <v>0.000609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HYPERLINK("http://141.218.60.56/~jnz1568/getInfo.php?workbook=14_02.xlsx&amp;sheet=U0&amp;row=1586&amp;col=6&amp;number=3.2&amp;sourceID=14","3.2")</f>
        <v>3.2</v>
      </c>
      <c r="G1586" s="4" t="str">
        <f>HYPERLINK("http://141.218.60.56/~jnz1568/getInfo.php?workbook=14_02.xlsx&amp;sheet=U0&amp;row=1586&amp;col=7&amp;number=0.000609&amp;sourceID=14","0.000609")</f>
        <v>0.000609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HYPERLINK("http://141.218.60.56/~jnz1568/getInfo.php?workbook=14_02.xlsx&amp;sheet=U0&amp;row=1587&amp;col=6&amp;number=3.3&amp;sourceID=14","3.3")</f>
        <v>3.3</v>
      </c>
      <c r="G1587" s="4" t="str">
        <f>HYPERLINK("http://141.218.60.56/~jnz1568/getInfo.php?workbook=14_02.xlsx&amp;sheet=U0&amp;row=1587&amp;col=7&amp;number=0.000609&amp;sourceID=14","0.000609")</f>
        <v>0.000609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HYPERLINK("http://141.218.60.56/~jnz1568/getInfo.php?workbook=14_02.xlsx&amp;sheet=U0&amp;row=1588&amp;col=6&amp;number=3.4&amp;sourceID=14","3.4")</f>
        <v>3.4</v>
      </c>
      <c r="G1588" s="4" t="str">
        <f>HYPERLINK("http://141.218.60.56/~jnz1568/getInfo.php?workbook=14_02.xlsx&amp;sheet=U0&amp;row=1588&amp;col=7&amp;number=0.000609&amp;sourceID=14","0.000609")</f>
        <v>0.000609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HYPERLINK("http://141.218.60.56/~jnz1568/getInfo.php?workbook=14_02.xlsx&amp;sheet=U0&amp;row=1589&amp;col=6&amp;number=3.5&amp;sourceID=14","3.5")</f>
        <v>3.5</v>
      </c>
      <c r="G1589" s="4" t="str">
        <f>HYPERLINK("http://141.218.60.56/~jnz1568/getInfo.php?workbook=14_02.xlsx&amp;sheet=U0&amp;row=1589&amp;col=7&amp;number=0.000609&amp;sourceID=14","0.000609")</f>
        <v>0.000609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HYPERLINK("http://141.218.60.56/~jnz1568/getInfo.php?workbook=14_02.xlsx&amp;sheet=U0&amp;row=1590&amp;col=6&amp;number=3.6&amp;sourceID=14","3.6")</f>
        <v>3.6</v>
      </c>
      <c r="G1590" s="4" t="str">
        <f>HYPERLINK("http://141.218.60.56/~jnz1568/getInfo.php?workbook=14_02.xlsx&amp;sheet=U0&amp;row=1590&amp;col=7&amp;number=0.000609&amp;sourceID=14","0.000609")</f>
        <v>0.000609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HYPERLINK("http://141.218.60.56/~jnz1568/getInfo.php?workbook=14_02.xlsx&amp;sheet=U0&amp;row=1591&amp;col=6&amp;number=3.7&amp;sourceID=14","3.7")</f>
        <v>3.7</v>
      </c>
      <c r="G1591" s="4" t="str">
        <f>HYPERLINK("http://141.218.60.56/~jnz1568/getInfo.php?workbook=14_02.xlsx&amp;sheet=U0&amp;row=1591&amp;col=7&amp;number=0.000609&amp;sourceID=14","0.000609")</f>
        <v>0.000609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HYPERLINK("http://141.218.60.56/~jnz1568/getInfo.php?workbook=14_02.xlsx&amp;sheet=U0&amp;row=1592&amp;col=6&amp;number=3.8&amp;sourceID=14","3.8")</f>
        <v>3.8</v>
      </c>
      <c r="G1592" s="4" t="str">
        <f>HYPERLINK("http://141.218.60.56/~jnz1568/getInfo.php?workbook=14_02.xlsx&amp;sheet=U0&amp;row=1592&amp;col=7&amp;number=0.000609&amp;sourceID=14","0.000609")</f>
        <v>0.000609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HYPERLINK("http://141.218.60.56/~jnz1568/getInfo.php?workbook=14_02.xlsx&amp;sheet=U0&amp;row=1593&amp;col=6&amp;number=3.9&amp;sourceID=14","3.9")</f>
        <v>3.9</v>
      </c>
      <c r="G1593" s="4" t="str">
        <f>HYPERLINK("http://141.218.60.56/~jnz1568/getInfo.php?workbook=14_02.xlsx&amp;sheet=U0&amp;row=1593&amp;col=7&amp;number=0.000609&amp;sourceID=14","0.000609")</f>
        <v>0.000609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HYPERLINK("http://141.218.60.56/~jnz1568/getInfo.php?workbook=14_02.xlsx&amp;sheet=U0&amp;row=1594&amp;col=6&amp;number=4&amp;sourceID=14","4")</f>
        <v>4</v>
      </c>
      <c r="G1594" s="4" t="str">
        <f>HYPERLINK("http://141.218.60.56/~jnz1568/getInfo.php?workbook=14_02.xlsx&amp;sheet=U0&amp;row=1594&amp;col=7&amp;number=0.000609&amp;sourceID=14","0.000609")</f>
        <v>0.000609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HYPERLINK("http://141.218.60.56/~jnz1568/getInfo.php?workbook=14_02.xlsx&amp;sheet=U0&amp;row=1595&amp;col=6&amp;number=4.1&amp;sourceID=14","4.1")</f>
        <v>4.1</v>
      </c>
      <c r="G1595" s="4" t="str">
        <f>HYPERLINK("http://141.218.60.56/~jnz1568/getInfo.php?workbook=14_02.xlsx&amp;sheet=U0&amp;row=1595&amp;col=7&amp;number=0.00061&amp;sourceID=14","0.00061")</f>
        <v>0.00061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HYPERLINK("http://141.218.60.56/~jnz1568/getInfo.php?workbook=14_02.xlsx&amp;sheet=U0&amp;row=1596&amp;col=6&amp;number=4.2&amp;sourceID=14","4.2")</f>
        <v>4.2</v>
      </c>
      <c r="G1596" s="4" t="str">
        <f>HYPERLINK("http://141.218.60.56/~jnz1568/getInfo.php?workbook=14_02.xlsx&amp;sheet=U0&amp;row=1596&amp;col=7&amp;number=0.00061&amp;sourceID=14","0.00061")</f>
        <v>0.00061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HYPERLINK("http://141.218.60.56/~jnz1568/getInfo.php?workbook=14_02.xlsx&amp;sheet=U0&amp;row=1597&amp;col=6&amp;number=4.3&amp;sourceID=14","4.3")</f>
        <v>4.3</v>
      </c>
      <c r="G1597" s="4" t="str">
        <f>HYPERLINK("http://141.218.60.56/~jnz1568/getInfo.php?workbook=14_02.xlsx&amp;sheet=U0&amp;row=1597&amp;col=7&amp;number=0.00061&amp;sourceID=14","0.00061")</f>
        <v>0.00061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HYPERLINK("http://141.218.60.56/~jnz1568/getInfo.php?workbook=14_02.xlsx&amp;sheet=U0&amp;row=1598&amp;col=6&amp;number=4.4&amp;sourceID=14","4.4")</f>
        <v>4.4</v>
      </c>
      <c r="G1598" s="4" t="str">
        <f>HYPERLINK("http://141.218.60.56/~jnz1568/getInfo.php?workbook=14_02.xlsx&amp;sheet=U0&amp;row=1598&amp;col=7&amp;number=0.000611&amp;sourceID=14","0.000611")</f>
        <v>0.000611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HYPERLINK("http://141.218.60.56/~jnz1568/getInfo.php?workbook=14_02.xlsx&amp;sheet=U0&amp;row=1599&amp;col=6&amp;number=4.5&amp;sourceID=14","4.5")</f>
        <v>4.5</v>
      </c>
      <c r="G1599" s="4" t="str">
        <f>HYPERLINK("http://141.218.60.56/~jnz1568/getInfo.php?workbook=14_02.xlsx&amp;sheet=U0&amp;row=1599&amp;col=7&amp;number=0.000611&amp;sourceID=14","0.000611")</f>
        <v>0.000611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HYPERLINK("http://141.218.60.56/~jnz1568/getInfo.php?workbook=14_02.xlsx&amp;sheet=U0&amp;row=1600&amp;col=6&amp;number=4.6&amp;sourceID=14","4.6")</f>
        <v>4.6</v>
      </c>
      <c r="G1600" s="4" t="str">
        <f>HYPERLINK("http://141.218.60.56/~jnz1568/getInfo.php?workbook=14_02.xlsx&amp;sheet=U0&amp;row=1600&amp;col=7&amp;number=0.000612&amp;sourceID=14","0.000612")</f>
        <v>0.000612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HYPERLINK("http://141.218.60.56/~jnz1568/getInfo.php?workbook=14_02.xlsx&amp;sheet=U0&amp;row=1601&amp;col=6&amp;number=4.7&amp;sourceID=14","4.7")</f>
        <v>4.7</v>
      </c>
      <c r="G1601" s="4" t="str">
        <f>HYPERLINK("http://141.218.60.56/~jnz1568/getInfo.php?workbook=14_02.xlsx&amp;sheet=U0&amp;row=1601&amp;col=7&amp;number=0.000613&amp;sourceID=14","0.000613")</f>
        <v>0.000613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HYPERLINK("http://141.218.60.56/~jnz1568/getInfo.php?workbook=14_02.xlsx&amp;sheet=U0&amp;row=1602&amp;col=6&amp;number=4.8&amp;sourceID=14","4.8")</f>
        <v>4.8</v>
      </c>
      <c r="G1602" s="4" t="str">
        <f>HYPERLINK("http://141.218.60.56/~jnz1568/getInfo.php?workbook=14_02.xlsx&amp;sheet=U0&amp;row=1602&amp;col=7&amp;number=0.000614&amp;sourceID=14","0.000614")</f>
        <v>0.000614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HYPERLINK("http://141.218.60.56/~jnz1568/getInfo.php?workbook=14_02.xlsx&amp;sheet=U0&amp;row=1603&amp;col=6&amp;number=4.9&amp;sourceID=14","4.9")</f>
        <v>4.9</v>
      </c>
      <c r="G1603" s="4" t="str">
        <f>HYPERLINK("http://141.218.60.56/~jnz1568/getInfo.php?workbook=14_02.xlsx&amp;sheet=U0&amp;row=1603&amp;col=7&amp;number=0.000615&amp;sourceID=14","0.000615")</f>
        <v>0.000615</v>
      </c>
    </row>
    <row r="1604" spans="1:7">
      <c r="A1604" s="3">
        <v>14</v>
      </c>
      <c r="B1604" s="3">
        <v>2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HYPERLINK("http://141.218.60.56/~jnz1568/getInfo.php?workbook=14_02.xlsx&amp;sheet=U0&amp;row=1604&amp;col=6&amp;number=3&amp;sourceID=14","3")</f>
        <v>3</v>
      </c>
      <c r="G1604" s="4" t="str">
        <f>HYPERLINK("http://141.218.60.56/~jnz1568/getInfo.php?workbook=14_02.xlsx&amp;sheet=U0&amp;row=1604&amp;col=7&amp;number=0.00174&amp;sourceID=14","0.00174")</f>
        <v>0.00174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HYPERLINK("http://141.218.60.56/~jnz1568/getInfo.php?workbook=14_02.xlsx&amp;sheet=U0&amp;row=1605&amp;col=6&amp;number=3.1&amp;sourceID=14","3.1")</f>
        <v>3.1</v>
      </c>
      <c r="G1605" s="4" t="str">
        <f>HYPERLINK("http://141.218.60.56/~jnz1568/getInfo.php?workbook=14_02.xlsx&amp;sheet=U0&amp;row=1605&amp;col=7&amp;number=0.00174&amp;sourceID=14","0.00174")</f>
        <v>0.00174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HYPERLINK("http://141.218.60.56/~jnz1568/getInfo.php?workbook=14_02.xlsx&amp;sheet=U0&amp;row=1606&amp;col=6&amp;number=3.2&amp;sourceID=14","3.2")</f>
        <v>3.2</v>
      </c>
      <c r="G1606" s="4" t="str">
        <f>HYPERLINK("http://141.218.60.56/~jnz1568/getInfo.php?workbook=14_02.xlsx&amp;sheet=U0&amp;row=1606&amp;col=7&amp;number=0.00174&amp;sourceID=14","0.00174")</f>
        <v>0.00174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HYPERLINK("http://141.218.60.56/~jnz1568/getInfo.php?workbook=14_02.xlsx&amp;sheet=U0&amp;row=1607&amp;col=6&amp;number=3.3&amp;sourceID=14","3.3")</f>
        <v>3.3</v>
      </c>
      <c r="G1607" s="4" t="str">
        <f>HYPERLINK("http://141.218.60.56/~jnz1568/getInfo.php?workbook=14_02.xlsx&amp;sheet=U0&amp;row=1607&amp;col=7&amp;number=0.00174&amp;sourceID=14","0.00174")</f>
        <v>0.00174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HYPERLINK("http://141.218.60.56/~jnz1568/getInfo.php?workbook=14_02.xlsx&amp;sheet=U0&amp;row=1608&amp;col=6&amp;number=3.4&amp;sourceID=14","3.4")</f>
        <v>3.4</v>
      </c>
      <c r="G1608" s="4" t="str">
        <f>HYPERLINK("http://141.218.60.56/~jnz1568/getInfo.php?workbook=14_02.xlsx&amp;sheet=U0&amp;row=1608&amp;col=7&amp;number=0.00174&amp;sourceID=14","0.00174")</f>
        <v>0.00174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HYPERLINK("http://141.218.60.56/~jnz1568/getInfo.php?workbook=14_02.xlsx&amp;sheet=U0&amp;row=1609&amp;col=6&amp;number=3.5&amp;sourceID=14","3.5")</f>
        <v>3.5</v>
      </c>
      <c r="G1609" s="4" t="str">
        <f>HYPERLINK("http://141.218.60.56/~jnz1568/getInfo.php?workbook=14_02.xlsx&amp;sheet=U0&amp;row=1609&amp;col=7&amp;number=0.00174&amp;sourceID=14","0.00174")</f>
        <v>0.00174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HYPERLINK("http://141.218.60.56/~jnz1568/getInfo.php?workbook=14_02.xlsx&amp;sheet=U0&amp;row=1610&amp;col=6&amp;number=3.6&amp;sourceID=14","3.6")</f>
        <v>3.6</v>
      </c>
      <c r="G1610" s="4" t="str">
        <f>HYPERLINK("http://141.218.60.56/~jnz1568/getInfo.php?workbook=14_02.xlsx&amp;sheet=U0&amp;row=1610&amp;col=7&amp;number=0.00174&amp;sourceID=14","0.00174")</f>
        <v>0.00174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HYPERLINK("http://141.218.60.56/~jnz1568/getInfo.php?workbook=14_02.xlsx&amp;sheet=U0&amp;row=1611&amp;col=6&amp;number=3.7&amp;sourceID=14","3.7")</f>
        <v>3.7</v>
      </c>
      <c r="G1611" s="4" t="str">
        <f>HYPERLINK("http://141.218.60.56/~jnz1568/getInfo.php?workbook=14_02.xlsx&amp;sheet=U0&amp;row=1611&amp;col=7&amp;number=0.00174&amp;sourceID=14","0.00174")</f>
        <v>0.00174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HYPERLINK("http://141.218.60.56/~jnz1568/getInfo.php?workbook=14_02.xlsx&amp;sheet=U0&amp;row=1612&amp;col=6&amp;number=3.8&amp;sourceID=14","3.8")</f>
        <v>3.8</v>
      </c>
      <c r="G1612" s="4" t="str">
        <f>HYPERLINK("http://141.218.60.56/~jnz1568/getInfo.php?workbook=14_02.xlsx&amp;sheet=U0&amp;row=1612&amp;col=7&amp;number=0.00174&amp;sourceID=14","0.00174")</f>
        <v>0.00174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HYPERLINK("http://141.218.60.56/~jnz1568/getInfo.php?workbook=14_02.xlsx&amp;sheet=U0&amp;row=1613&amp;col=6&amp;number=3.9&amp;sourceID=14","3.9")</f>
        <v>3.9</v>
      </c>
      <c r="G1613" s="4" t="str">
        <f>HYPERLINK("http://141.218.60.56/~jnz1568/getInfo.php?workbook=14_02.xlsx&amp;sheet=U0&amp;row=1613&amp;col=7&amp;number=0.00174&amp;sourceID=14","0.00174")</f>
        <v>0.00174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HYPERLINK("http://141.218.60.56/~jnz1568/getInfo.php?workbook=14_02.xlsx&amp;sheet=U0&amp;row=1614&amp;col=6&amp;number=4&amp;sourceID=14","4")</f>
        <v>4</v>
      </c>
      <c r="G1614" s="4" t="str">
        <f>HYPERLINK("http://141.218.60.56/~jnz1568/getInfo.php?workbook=14_02.xlsx&amp;sheet=U0&amp;row=1614&amp;col=7&amp;number=0.00174&amp;sourceID=14","0.00174")</f>
        <v>0.00174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HYPERLINK("http://141.218.60.56/~jnz1568/getInfo.php?workbook=14_02.xlsx&amp;sheet=U0&amp;row=1615&amp;col=6&amp;number=4.1&amp;sourceID=14","4.1")</f>
        <v>4.1</v>
      </c>
      <c r="G1615" s="4" t="str">
        <f>HYPERLINK("http://141.218.60.56/~jnz1568/getInfo.php?workbook=14_02.xlsx&amp;sheet=U0&amp;row=1615&amp;col=7&amp;number=0.00174&amp;sourceID=14","0.00174")</f>
        <v>0.00174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HYPERLINK("http://141.218.60.56/~jnz1568/getInfo.php?workbook=14_02.xlsx&amp;sheet=U0&amp;row=1616&amp;col=6&amp;number=4.2&amp;sourceID=14","4.2")</f>
        <v>4.2</v>
      </c>
      <c r="G1616" s="4" t="str">
        <f>HYPERLINK("http://141.218.60.56/~jnz1568/getInfo.php?workbook=14_02.xlsx&amp;sheet=U0&amp;row=1616&amp;col=7&amp;number=0.00174&amp;sourceID=14","0.00174")</f>
        <v>0.00174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HYPERLINK("http://141.218.60.56/~jnz1568/getInfo.php?workbook=14_02.xlsx&amp;sheet=U0&amp;row=1617&amp;col=6&amp;number=4.3&amp;sourceID=14","4.3")</f>
        <v>4.3</v>
      </c>
      <c r="G1617" s="4" t="str">
        <f>HYPERLINK("http://141.218.60.56/~jnz1568/getInfo.php?workbook=14_02.xlsx&amp;sheet=U0&amp;row=1617&amp;col=7&amp;number=0.00174&amp;sourceID=14","0.00174")</f>
        <v>0.00174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HYPERLINK("http://141.218.60.56/~jnz1568/getInfo.php?workbook=14_02.xlsx&amp;sheet=U0&amp;row=1618&amp;col=6&amp;number=4.4&amp;sourceID=14","4.4")</f>
        <v>4.4</v>
      </c>
      <c r="G1618" s="4" t="str">
        <f>HYPERLINK("http://141.218.60.56/~jnz1568/getInfo.php?workbook=14_02.xlsx&amp;sheet=U0&amp;row=1618&amp;col=7&amp;number=0.00174&amp;sourceID=14","0.00174")</f>
        <v>0.00174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HYPERLINK("http://141.218.60.56/~jnz1568/getInfo.php?workbook=14_02.xlsx&amp;sheet=U0&amp;row=1619&amp;col=6&amp;number=4.5&amp;sourceID=14","4.5")</f>
        <v>4.5</v>
      </c>
      <c r="G1619" s="4" t="str">
        <f>HYPERLINK("http://141.218.60.56/~jnz1568/getInfo.php?workbook=14_02.xlsx&amp;sheet=U0&amp;row=1619&amp;col=7&amp;number=0.00175&amp;sourceID=14","0.00175")</f>
        <v>0.00175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HYPERLINK("http://141.218.60.56/~jnz1568/getInfo.php?workbook=14_02.xlsx&amp;sheet=U0&amp;row=1620&amp;col=6&amp;number=4.6&amp;sourceID=14","4.6")</f>
        <v>4.6</v>
      </c>
      <c r="G1620" s="4" t="str">
        <f>HYPERLINK("http://141.218.60.56/~jnz1568/getInfo.php?workbook=14_02.xlsx&amp;sheet=U0&amp;row=1620&amp;col=7&amp;number=0.00175&amp;sourceID=14","0.00175")</f>
        <v>0.00175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HYPERLINK("http://141.218.60.56/~jnz1568/getInfo.php?workbook=14_02.xlsx&amp;sheet=U0&amp;row=1621&amp;col=6&amp;number=4.7&amp;sourceID=14","4.7")</f>
        <v>4.7</v>
      </c>
      <c r="G1621" s="4" t="str">
        <f>HYPERLINK("http://141.218.60.56/~jnz1568/getInfo.php?workbook=14_02.xlsx&amp;sheet=U0&amp;row=1621&amp;col=7&amp;number=0.00175&amp;sourceID=14","0.00175")</f>
        <v>0.00175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HYPERLINK("http://141.218.60.56/~jnz1568/getInfo.php?workbook=14_02.xlsx&amp;sheet=U0&amp;row=1622&amp;col=6&amp;number=4.8&amp;sourceID=14","4.8")</f>
        <v>4.8</v>
      </c>
      <c r="G1622" s="4" t="str">
        <f>HYPERLINK("http://141.218.60.56/~jnz1568/getInfo.php?workbook=14_02.xlsx&amp;sheet=U0&amp;row=1622&amp;col=7&amp;number=0.00176&amp;sourceID=14","0.00176")</f>
        <v>0.00176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HYPERLINK("http://141.218.60.56/~jnz1568/getInfo.php?workbook=14_02.xlsx&amp;sheet=U0&amp;row=1623&amp;col=6&amp;number=4.9&amp;sourceID=14","4.9")</f>
        <v>4.9</v>
      </c>
      <c r="G1623" s="4" t="str">
        <f>HYPERLINK("http://141.218.60.56/~jnz1568/getInfo.php?workbook=14_02.xlsx&amp;sheet=U0&amp;row=1623&amp;col=7&amp;number=0.00176&amp;sourceID=14","0.00176")</f>
        <v>0.00176</v>
      </c>
    </row>
    <row r="1624" spans="1:7">
      <c r="A1624" s="3">
        <v>14</v>
      </c>
      <c r="B1624" s="3">
        <v>2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HYPERLINK("http://141.218.60.56/~jnz1568/getInfo.php?workbook=14_02.xlsx&amp;sheet=U0&amp;row=1624&amp;col=6&amp;number=3&amp;sourceID=14","3")</f>
        <v>3</v>
      </c>
      <c r="G1624" s="4" t="str">
        <f>HYPERLINK("http://141.218.60.56/~jnz1568/getInfo.php?workbook=14_02.xlsx&amp;sheet=U0&amp;row=1624&amp;col=7&amp;number=0.0029&amp;sourceID=14","0.0029")</f>
        <v>0.0029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HYPERLINK("http://141.218.60.56/~jnz1568/getInfo.php?workbook=14_02.xlsx&amp;sheet=U0&amp;row=1625&amp;col=6&amp;number=3.1&amp;sourceID=14","3.1")</f>
        <v>3.1</v>
      </c>
      <c r="G1625" s="4" t="str">
        <f>HYPERLINK("http://141.218.60.56/~jnz1568/getInfo.php?workbook=14_02.xlsx&amp;sheet=U0&amp;row=1625&amp;col=7&amp;number=0.0029&amp;sourceID=14","0.0029")</f>
        <v>0.0029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HYPERLINK("http://141.218.60.56/~jnz1568/getInfo.php?workbook=14_02.xlsx&amp;sheet=U0&amp;row=1626&amp;col=6&amp;number=3.2&amp;sourceID=14","3.2")</f>
        <v>3.2</v>
      </c>
      <c r="G1626" s="4" t="str">
        <f>HYPERLINK("http://141.218.60.56/~jnz1568/getInfo.php?workbook=14_02.xlsx&amp;sheet=U0&amp;row=1626&amp;col=7&amp;number=0.0029&amp;sourceID=14","0.0029")</f>
        <v>0.0029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HYPERLINK("http://141.218.60.56/~jnz1568/getInfo.php?workbook=14_02.xlsx&amp;sheet=U0&amp;row=1627&amp;col=6&amp;number=3.3&amp;sourceID=14","3.3")</f>
        <v>3.3</v>
      </c>
      <c r="G1627" s="4" t="str">
        <f>HYPERLINK("http://141.218.60.56/~jnz1568/getInfo.php?workbook=14_02.xlsx&amp;sheet=U0&amp;row=1627&amp;col=7&amp;number=0.00291&amp;sourceID=14","0.00291")</f>
        <v>0.00291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HYPERLINK("http://141.218.60.56/~jnz1568/getInfo.php?workbook=14_02.xlsx&amp;sheet=U0&amp;row=1628&amp;col=6&amp;number=3.4&amp;sourceID=14","3.4")</f>
        <v>3.4</v>
      </c>
      <c r="G1628" s="4" t="str">
        <f>HYPERLINK("http://141.218.60.56/~jnz1568/getInfo.php?workbook=14_02.xlsx&amp;sheet=U0&amp;row=1628&amp;col=7&amp;number=0.00291&amp;sourceID=14","0.00291")</f>
        <v>0.00291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HYPERLINK("http://141.218.60.56/~jnz1568/getInfo.php?workbook=14_02.xlsx&amp;sheet=U0&amp;row=1629&amp;col=6&amp;number=3.5&amp;sourceID=14","3.5")</f>
        <v>3.5</v>
      </c>
      <c r="G1629" s="4" t="str">
        <f>HYPERLINK("http://141.218.60.56/~jnz1568/getInfo.php?workbook=14_02.xlsx&amp;sheet=U0&amp;row=1629&amp;col=7&amp;number=0.00291&amp;sourceID=14","0.00291")</f>
        <v>0.00291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HYPERLINK("http://141.218.60.56/~jnz1568/getInfo.php?workbook=14_02.xlsx&amp;sheet=U0&amp;row=1630&amp;col=6&amp;number=3.6&amp;sourceID=14","3.6")</f>
        <v>3.6</v>
      </c>
      <c r="G1630" s="4" t="str">
        <f>HYPERLINK("http://141.218.60.56/~jnz1568/getInfo.php?workbook=14_02.xlsx&amp;sheet=U0&amp;row=1630&amp;col=7&amp;number=0.00291&amp;sourceID=14","0.00291")</f>
        <v>0.00291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HYPERLINK("http://141.218.60.56/~jnz1568/getInfo.php?workbook=14_02.xlsx&amp;sheet=U0&amp;row=1631&amp;col=6&amp;number=3.7&amp;sourceID=14","3.7")</f>
        <v>3.7</v>
      </c>
      <c r="G1631" s="4" t="str">
        <f>HYPERLINK("http://141.218.60.56/~jnz1568/getInfo.php?workbook=14_02.xlsx&amp;sheet=U0&amp;row=1631&amp;col=7&amp;number=0.00291&amp;sourceID=14","0.00291")</f>
        <v>0.00291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HYPERLINK("http://141.218.60.56/~jnz1568/getInfo.php?workbook=14_02.xlsx&amp;sheet=U0&amp;row=1632&amp;col=6&amp;number=3.8&amp;sourceID=14","3.8")</f>
        <v>3.8</v>
      </c>
      <c r="G1632" s="4" t="str">
        <f>HYPERLINK("http://141.218.60.56/~jnz1568/getInfo.php?workbook=14_02.xlsx&amp;sheet=U0&amp;row=1632&amp;col=7&amp;number=0.00291&amp;sourceID=14","0.00291")</f>
        <v>0.00291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HYPERLINK("http://141.218.60.56/~jnz1568/getInfo.php?workbook=14_02.xlsx&amp;sheet=U0&amp;row=1633&amp;col=6&amp;number=3.9&amp;sourceID=14","3.9")</f>
        <v>3.9</v>
      </c>
      <c r="G1633" s="4" t="str">
        <f>HYPERLINK("http://141.218.60.56/~jnz1568/getInfo.php?workbook=14_02.xlsx&amp;sheet=U0&amp;row=1633&amp;col=7&amp;number=0.00291&amp;sourceID=14","0.00291")</f>
        <v>0.00291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HYPERLINK("http://141.218.60.56/~jnz1568/getInfo.php?workbook=14_02.xlsx&amp;sheet=U0&amp;row=1634&amp;col=6&amp;number=4&amp;sourceID=14","4")</f>
        <v>4</v>
      </c>
      <c r="G1634" s="4" t="str">
        <f>HYPERLINK("http://141.218.60.56/~jnz1568/getInfo.php?workbook=14_02.xlsx&amp;sheet=U0&amp;row=1634&amp;col=7&amp;number=0.00291&amp;sourceID=14","0.00291")</f>
        <v>0.00291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HYPERLINK("http://141.218.60.56/~jnz1568/getInfo.php?workbook=14_02.xlsx&amp;sheet=U0&amp;row=1635&amp;col=6&amp;number=4.1&amp;sourceID=14","4.1")</f>
        <v>4.1</v>
      </c>
      <c r="G1635" s="4" t="str">
        <f>HYPERLINK("http://141.218.60.56/~jnz1568/getInfo.php?workbook=14_02.xlsx&amp;sheet=U0&amp;row=1635&amp;col=7&amp;number=0.00291&amp;sourceID=14","0.00291")</f>
        <v>0.00291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HYPERLINK("http://141.218.60.56/~jnz1568/getInfo.php?workbook=14_02.xlsx&amp;sheet=U0&amp;row=1636&amp;col=6&amp;number=4.2&amp;sourceID=14","4.2")</f>
        <v>4.2</v>
      </c>
      <c r="G1636" s="4" t="str">
        <f>HYPERLINK("http://141.218.60.56/~jnz1568/getInfo.php?workbook=14_02.xlsx&amp;sheet=U0&amp;row=1636&amp;col=7&amp;number=0.00291&amp;sourceID=14","0.00291")</f>
        <v>0.00291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HYPERLINK("http://141.218.60.56/~jnz1568/getInfo.php?workbook=14_02.xlsx&amp;sheet=U0&amp;row=1637&amp;col=6&amp;number=4.3&amp;sourceID=14","4.3")</f>
        <v>4.3</v>
      </c>
      <c r="G1637" s="4" t="str">
        <f>HYPERLINK("http://141.218.60.56/~jnz1568/getInfo.php?workbook=14_02.xlsx&amp;sheet=U0&amp;row=1637&amp;col=7&amp;number=0.00291&amp;sourceID=14","0.00291")</f>
        <v>0.00291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HYPERLINK("http://141.218.60.56/~jnz1568/getInfo.php?workbook=14_02.xlsx&amp;sheet=U0&amp;row=1638&amp;col=6&amp;number=4.4&amp;sourceID=14","4.4")</f>
        <v>4.4</v>
      </c>
      <c r="G1638" s="4" t="str">
        <f>HYPERLINK("http://141.218.60.56/~jnz1568/getInfo.php?workbook=14_02.xlsx&amp;sheet=U0&amp;row=1638&amp;col=7&amp;number=0.00292&amp;sourceID=14","0.00292")</f>
        <v>0.00292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HYPERLINK("http://141.218.60.56/~jnz1568/getInfo.php?workbook=14_02.xlsx&amp;sheet=U0&amp;row=1639&amp;col=6&amp;number=4.5&amp;sourceID=14","4.5")</f>
        <v>4.5</v>
      </c>
      <c r="G1639" s="4" t="str">
        <f>HYPERLINK("http://141.218.60.56/~jnz1568/getInfo.php?workbook=14_02.xlsx&amp;sheet=U0&amp;row=1639&amp;col=7&amp;number=0.00292&amp;sourceID=14","0.00292")</f>
        <v>0.00292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HYPERLINK("http://141.218.60.56/~jnz1568/getInfo.php?workbook=14_02.xlsx&amp;sheet=U0&amp;row=1640&amp;col=6&amp;number=4.6&amp;sourceID=14","4.6")</f>
        <v>4.6</v>
      </c>
      <c r="G1640" s="4" t="str">
        <f>HYPERLINK("http://141.218.60.56/~jnz1568/getInfo.php?workbook=14_02.xlsx&amp;sheet=U0&amp;row=1640&amp;col=7&amp;number=0.00292&amp;sourceID=14","0.00292")</f>
        <v>0.00292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HYPERLINK("http://141.218.60.56/~jnz1568/getInfo.php?workbook=14_02.xlsx&amp;sheet=U0&amp;row=1641&amp;col=6&amp;number=4.7&amp;sourceID=14","4.7")</f>
        <v>4.7</v>
      </c>
      <c r="G1641" s="4" t="str">
        <f>HYPERLINK("http://141.218.60.56/~jnz1568/getInfo.php?workbook=14_02.xlsx&amp;sheet=U0&amp;row=1641&amp;col=7&amp;number=0.00293&amp;sourceID=14","0.00293")</f>
        <v>0.00293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HYPERLINK("http://141.218.60.56/~jnz1568/getInfo.php?workbook=14_02.xlsx&amp;sheet=U0&amp;row=1642&amp;col=6&amp;number=4.8&amp;sourceID=14","4.8")</f>
        <v>4.8</v>
      </c>
      <c r="G1642" s="4" t="str">
        <f>HYPERLINK("http://141.218.60.56/~jnz1568/getInfo.php?workbook=14_02.xlsx&amp;sheet=U0&amp;row=1642&amp;col=7&amp;number=0.00294&amp;sourceID=14","0.00294")</f>
        <v>0.00294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HYPERLINK("http://141.218.60.56/~jnz1568/getInfo.php?workbook=14_02.xlsx&amp;sheet=U0&amp;row=1643&amp;col=6&amp;number=4.9&amp;sourceID=14","4.9")</f>
        <v>4.9</v>
      </c>
      <c r="G1643" s="4" t="str">
        <f>HYPERLINK("http://141.218.60.56/~jnz1568/getInfo.php?workbook=14_02.xlsx&amp;sheet=U0&amp;row=1643&amp;col=7&amp;number=0.00294&amp;sourceID=14","0.00294")</f>
        <v>0.00294</v>
      </c>
    </row>
    <row r="1644" spans="1:7">
      <c r="A1644" s="3">
        <v>14</v>
      </c>
      <c r="B1644" s="3">
        <v>2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HYPERLINK("http://141.218.60.56/~jnz1568/getInfo.php?workbook=14_02.xlsx&amp;sheet=U0&amp;row=1644&amp;col=6&amp;number=3&amp;sourceID=14","3")</f>
        <v>3</v>
      </c>
      <c r="G1644" s="4" t="str">
        <f>HYPERLINK("http://141.218.60.56/~jnz1568/getInfo.php?workbook=14_02.xlsx&amp;sheet=U0&amp;row=1644&amp;col=7&amp;number=0.000796&amp;sourceID=14","0.000796")</f>
        <v>0.000796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HYPERLINK("http://141.218.60.56/~jnz1568/getInfo.php?workbook=14_02.xlsx&amp;sheet=U0&amp;row=1645&amp;col=6&amp;number=3.1&amp;sourceID=14","3.1")</f>
        <v>3.1</v>
      </c>
      <c r="G1645" s="4" t="str">
        <f>HYPERLINK("http://141.218.60.56/~jnz1568/getInfo.php?workbook=14_02.xlsx&amp;sheet=U0&amp;row=1645&amp;col=7&amp;number=0.000796&amp;sourceID=14","0.000796")</f>
        <v>0.000796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HYPERLINK("http://141.218.60.56/~jnz1568/getInfo.php?workbook=14_02.xlsx&amp;sheet=U0&amp;row=1646&amp;col=6&amp;number=3.2&amp;sourceID=14","3.2")</f>
        <v>3.2</v>
      </c>
      <c r="G1646" s="4" t="str">
        <f>HYPERLINK("http://141.218.60.56/~jnz1568/getInfo.php?workbook=14_02.xlsx&amp;sheet=U0&amp;row=1646&amp;col=7&amp;number=0.000796&amp;sourceID=14","0.000796")</f>
        <v>0.000796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HYPERLINK("http://141.218.60.56/~jnz1568/getInfo.php?workbook=14_02.xlsx&amp;sheet=U0&amp;row=1647&amp;col=6&amp;number=3.3&amp;sourceID=14","3.3")</f>
        <v>3.3</v>
      </c>
      <c r="G1647" s="4" t="str">
        <f>HYPERLINK("http://141.218.60.56/~jnz1568/getInfo.php?workbook=14_02.xlsx&amp;sheet=U0&amp;row=1647&amp;col=7&amp;number=0.000796&amp;sourceID=14","0.000796")</f>
        <v>0.000796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HYPERLINK("http://141.218.60.56/~jnz1568/getInfo.php?workbook=14_02.xlsx&amp;sheet=U0&amp;row=1648&amp;col=6&amp;number=3.4&amp;sourceID=14","3.4")</f>
        <v>3.4</v>
      </c>
      <c r="G1648" s="4" t="str">
        <f>HYPERLINK("http://141.218.60.56/~jnz1568/getInfo.php?workbook=14_02.xlsx&amp;sheet=U0&amp;row=1648&amp;col=7&amp;number=0.000795&amp;sourceID=14","0.000795")</f>
        <v>0.000795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HYPERLINK("http://141.218.60.56/~jnz1568/getInfo.php?workbook=14_02.xlsx&amp;sheet=U0&amp;row=1649&amp;col=6&amp;number=3.5&amp;sourceID=14","3.5")</f>
        <v>3.5</v>
      </c>
      <c r="G1649" s="4" t="str">
        <f>HYPERLINK("http://141.218.60.56/~jnz1568/getInfo.php?workbook=14_02.xlsx&amp;sheet=U0&amp;row=1649&amp;col=7&amp;number=0.000795&amp;sourceID=14","0.000795")</f>
        <v>0.000795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HYPERLINK("http://141.218.60.56/~jnz1568/getInfo.php?workbook=14_02.xlsx&amp;sheet=U0&amp;row=1650&amp;col=6&amp;number=3.6&amp;sourceID=14","3.6")</f>
        <v>3.6</v>
      </c>
      <c r="G1650" s="4" t="str">
        <f>HYPERLINK("http://141.218.60.56/~jnz1568/getInfo.php?workbook=14_02.xlsx&amp;sheet=U0&amp;row=1650&amp;col=7&amp;number=0.000795&amp;sourceID=14","0.000795")</f>
        <v>0.000795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HYPERLINK("http://141.218.60.56/~jnz1568/getInfo.php?workbook=14_02.xlsx&amp;sheet=U0&amp;row=1651&amp;col=6&amp;number=3.7&amp;sourceID=14","3.7")</f>
        <v>3.7</v>
      </c>
      <c r="G1651" s="4" t="str">
        <f>HYPERLINK("http://141.218.60.56/~jnz1568/getInfo.php?workbook=14_02.xlsx&amp;sheet=U0&amp;row=1651&amp;col=7&amp;number=0.000795&amp;sourceID=14","0.000795")</f>
        <v>0.000795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HYPERLINK("http://141.218.60.56/~jnz1568/getInfo.php?workbook=14_02.xlsx&amp;sheet=U0&amp;row=1652&amp;col=6&amp;number=3.8&amp;sourceID=14","3.8")</f>
        <v>3.8</v>
      </c>
      <c r="G1652" s="4" t="str">
        <f>HYPERLINK("http://141.218.60.56/~jnz1568/getInfo.php?workbook=14_02.xlsx&amp;sheet=U0&amp;row=1652&amp;col=7&amp;number=0.000795&amp;sourceID=14","0.000795")</f>
        <v>0.000795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HYPERLINK("http://141.218.60.56/~jnz1568/getInfo.php?workbook=14_02.xlsx&amp;sheet=U0&amp;row=1653&amp;col=6&amp;number=3.9&amp;sourceID=14","3.9")</f>
        <v>3.9</v>
      </c>
      <c r="G1653" s="4" t="str">
        <f>HYPERLINK("http://141.218.60.56/~jnz1568/getInfo.php?workbook=14_02.xlsx&amp;sheet=U0&amp;row=1653&amp;col=7&amp;number=0.000795&amp;sourceID=14","0.000795")</f>
        <v>0.000795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HYPERLINK("http://141.218.60.56/~jnz1568/getInfo.php?workbook=14_02.xlsx&amp;sheet=U0&amp;row=1654&amp;col=6&amp;number=4&amp;sourceID=14","4")</f>
        <v>4</v>
      </c>
      <c r="G1654" s="4" t="str">
        <f>HYPERLINK("http://141.218.60.56/~jnz1568/getInfo.php?workbook=14_02.xlsx&amp;sheet=U0&amp;row=1654&amp;col=7&amp;number=0.000795&amp;sourceID=14","0.000795")</f>
        <v>0.000795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HYPERLINK("http://141.218.60.56/~jnz1568/getInfo.php?workbook=14_02.xlsx&amp;sheet=U0&amp;row=1655&amp;col=6&amp;number=4.1&amp;sourceID=14","4.1")</f>
        <v>4.1</v>
      </c>
      <c r="G1655" s="4" t="str">
        <f>HYPERLINK("http://141.218.60.56/~jnz1568/getInfo.php?workbook=14_02.xlsx&amp;sheet=U0&amp;row=1655&amp;col=7&amp;number=0.000794&amp;sourceID=14","0.000794")</f>
        <v>0.000794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HYPERLINK("http://141.218.60.56/~jnz1568/getInfo.php?workbook=14_02.xlsx&amp;sheet=U0&amp;row=1656&amp;col=6&amp;number=4.2&amp;sourceID=14","4.2")</f>
        <v>4.2</v>
      </c>
      <c r="G1656" s="4" t="str">
        <f>HYPERLINK("http://141.218.60.56/~jnz1568/getInfo.php?workbook=14_02.xlsx&amp;sheet=U0&amp;row=1656&amp;col=7&amp;number=0.000794&amp;sourceID=14","0.000794")</f>
        <v>0.000794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HYPERLINK("http://141.218.60.56/~jnz1568/getInfo.php?workbook=14_02.xlsx&amp;sheet=U0&amp;row=1657&amp;col=6&amp;number=4.3&amp;sourceID=14","4.3")</f>
        <v>4.3</v>
      </c>
      <c r="G1657" s="4" t="str">
        <f>HYPERLINK("http://141.218.60.56/~jnz1568/getInfo.php?workbook=14_02.xlsx&amp;sheet=U0&amp;row=1657&amp;col=7&amp;number=0.000793&amp;sourceID=14","0.000793")</f>
        <v>0.000793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HYPERLINK("http://141.218.60.56/~jnz1568/getInfo.php?workbook=14_02.xlsx&amp;sheet=U0&amp;row=1658&amp;col=6&amp;number=4.4&amp;sourceID=14","4.4")</f>
        <v>4.4</v>
      </c>
      <c r="G1658" s="4" t="str">
        <f>HYPERLINK("http://141.218.60.56/~jnz1568/getInfo.php?workbook=14_02.xlsx&amp;sheet=U0&amp;row=1658&amp;col=7&amp;number=0.000793&amp;sourceID=14","0.000793")</f>
        <v>0.000793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HYPERLINK("http://141.218.60.56/~jnz1568/getInfo.php?workbook=14_02.xlsx&amp;sheet=U0&amp;row=1659&amp;col=6&amp;number=4.5&amp;sourceID=14","4.5")</f>
        <v>4.5</v>
      </c>
      <c r="G1659" s="4" t="str">
        <f>HYPERLINK("http://141.218.60.56/~jnz1568/getInfo.php?workbook=14_02.xlsx&amp;sheet=U0&amp;row=1659&amp;col=7&amp;number=0.000792&amp;sourceID=14","0.000792")</f>
        <v>0.000792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HYPERLINK("http://141.218.60.56/~jnz1568/getInfo.php?workbook=14_02.xlsx&amp;sheet=U0&amp;row=1660&amp;col=6&amp;number=4.6&amp;sourceID=14","4.6")</f>
        <v>4.6</v>
      </c>
      <c r="G1660" s="4" t="str">
        <f>HYPERLINK("http://141.218.60.56/~jnz1568/getInfo.php?workbook=14_02.xlsx&amp;sheet=U0&amp;row=1660&amp;col=7&amp;number=0.000791&amp;sourceID=14","0.000791")</f>
        <v>0.000791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HYPERLINK("http://141.218.60.56/~jnz1568/getInfo.php?workbook=14_02.xlsx&amp;sheet=U0&amp;row=1661&amp;col=6&amp;number=4.7&amp;sourceID=14","4.7")</f>
        <v>4.7</v>
      </c>
      <c r="G1661" s="4" t="str">
        <f>HYPERLINK("http://141.218.60.56/~jnz1568/getInfo.php?workbook=14_02.xlsx&amp;sheet=U0&amp;row=1661&amp;col=7&amp;number=0.00079&amp;sourceID=14","0.00079")</f>
        <v>0.00079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HYPERLINK("http://141.218.60.56/~jnz1568/getInfo.php?workbook=14_02.xlsx&amp;sheet=U0&amp;row=1662&amp;col=6&amp;number=4.8&amp;sourceID=14","4.8")</f>
        <v>4.8</v>
      </c>
      <c r="G1662" s="4" t="str">
        <f>HYPERLINK("http://141.218.60.56/~jnz1568/getInfo.php?workbook=14_02.xlsx&amp;sheet=U0&amp;row=1662&amp;col=7&amp;number=0.000788&amp;sourceID=14","0.000788")</f>
        <v>0.000788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HYPERLINK("http://141.218.60.56/~jnz1568/getInfo.php?workbook=14_02.xlsx&amp;sheet=U0&amp;row=1663&amp;col=6&amp;number=4.9&amp;sourceID=14","4.9")</f>
        <v>4.9</v>
      </c>
      <c r="G1663" s="4" t="str">
        <f>HYPERLINK("http://141.218.60.56/~jnz1568/getInfo.php?workbook=14_02.xlsx&amp;sheet=U0&amp;row=1663&amp;col=7&amp;number=0.000787&amp;sourceID=14","0.000787")</f>
        <v>0.000787</v>
      </c>
    </row>
    <row r="1664" spans="1:7">
      <c r="A1664" s="3">
        <v>14</v>
      </c>
      <c r="B1664" s="3">
        <v>2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HYPERLINK("http://141.218.60.56/~jnz1568/getInfo.php?workbook=14_02.xlsx&amp;sheet=U0&amp;row=1664&amp;col=6&amp;number=3&amp;sourceID=14","3")</f>
        <v>3</v>
      </c>
      <c r="G1664" s="4" t="str">
        <f>HYPERLINK("http://141.218.60.56/~jnz1568/getInfo.php?workbook=14_02.xlsx&amp;sheet=U0&amp;row=1664&amp;col=7&amp;number=0.00117&amp;sourceID=14","0.00117")</f>
        <v>0.00117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HYPERLINK("http://141.218.60.56/~jnz1568/getInfo.php?workbook=14_02.xlsx&amp;sheet=U0&amp;row=1665&amp;col=6&amp;number=3.1&amp;sourceID=14","3.1")</f>
        <v>3.1</v>
      </c>
      <c r="G1665" s="4" t="str">
        <f>HYPERLINK("http://141.218.60.56/~jnz1568/getInfo.php?workbook=14_02.xlsx&amp;sheet=U0&amp;row=1665&amp;col=7&amp;number=0.00117&amp;sourceID=14","0.00117")</f>
        <v>0.00117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HYPERLINK("http://141.218.60.56/~jnz1568/getInfo.php?workbook=14_02.xlsx&amp;sheet=U0&amp;row=1666&amp;col=6&amp;number=3.2&amp;sourceID=14","3.2")</f>
        <v>3.2</v>
      </c>
      <c r="G1666" s="4" t="str">
        <f>HYPERLINK("http://141.218.60.56/~jnz1568/getInfo.php?workbook=14_02.xlsx&amp;sheet=U0&amp;row=1666&amp;col=7&amp;number=0.00117&amp;sourceID=14","0.00117")</f>
        <v>0.00117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HYPERLINK("http://141.218.60.56/~jnz1568/getInfo.php?workbook=14_02.xlsx&amp;sheet=U0&amp;row=1667&amp;col=6&amp;number=3.3&amp;sourceID=14","3.3")</f>
        <v>3.3</v>
      </c>
      <c r="G1667" s="4" t="str">
        <f>HYPERLINK("http://141.218.60.56/~jnz1568/getInfo.php?workbook=14_02.xlsx&amp;sheet=U0&amp;row=1667&amp;col=7&amp;number=0.00117&amp;sourceID=14","0.00117")</f>
        <v>0.00117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HYPERLINK("http://141.218.60.56/~jnz1568/getInfo.php?workbook=14_02.xlsx&amp;sheet=U0&amp;row=1668&amp;col=6&amp;number=3.4&amp;sourceID=14","3.4")</f>
        <v>3.4</v>
      </c>
      <c r="G1668" s="4" t="str">
        <f>HYPERLINK("http://141.218.60.56/~jnz1568/getInfo.php?workbook=14_02.xlsx&amp;sheet=U0&amp;row=1668&amp;col=7&amp;number=0.00117&amp;sourceID=14","0.00117")</f>
        <v>0.00117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HYPERLINK("http://141.218.60.56/~jnz1568/getInfo.php?workbook=14_02.xlsx&amp;sheet=U0&amp;row=1669&amp;col=6&amp;number=3.5&amp;sourceID=14","3.5")</f>
        <v>3.5</v>
      </c>
      <c r="G1669" s="4" t="str">
        <f>HYPERLINK("http://141.218.60.56/~jnz1568/getInfo.php?workbook=14_02.xlsx&amp;sheet=U0&amp;row=1669&amp;col=7&amp;number=0.00117&amp;sourceID=14","0.00117")</f>
        <v>0.00117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HYPERLINK("http://141.218.60.56/~jnz1568/getInfo.php?workbook=14_02.xlsx&amp;sheet=U0&amp;row=1670&amp;col=6&amp;number=3.6&amp;sourceID=14","3.6")</f>
        <v>3.6</v>
      </c>
      <c r="G1670" s="4" t="str">
        <f>HYPERLINK("http://141.218.60.56/~jnz1568/getInfo.php?workbook=14_02.xlsx&amp;sheet=U0&amp;row=1670&amp;col=7&amp;number=0.00117&amp;sourceID=14","0.00117")</f>
        <v>0.00117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HYPERLINK("http://141.218.60.56/~jnz1568/getInfo.php?workbook=14_02.xlsx&amp;sheet=U0&amp;row=1671&amp;col=6&amp;number=3.7&amp;sourceID=14","3.7")</f>
        <v>3.7</v>
      </c>
      <c r="G1671" s="4" t="str">
        <f>HYPERLINK("http://141.218.60.56/~jnz1568/getInfo.php?workbook=14_02.xlsx&amp;sheet=U0&amp;row=1671&amp;col=7&amp;number=0.00117&amp;sourceID=14","0.00117")</f>
        <v>0.00117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HYPERLINK("http://141.218.60.56/~jnz1568/getInfo.php?workbook=14_02.xlsx&amp;sheet=U0&amp;row=1672&amp;col=6&amp;number=3.8&amp;sourceID=14","3.8")</f>
        <v>3.8</v>
      </c>
      <c r="G1672" s="4" t="str">
        <f>HYPERLINK("http://141.218.60.56/~jnz1568/getInfo.php?workbook=14_02.xlsx&amp;sheet=U0&amp;row=1672&amp;col=7&amp;number=0.00117&amp;sourceID=14","0.00117")</f>
        <v>0.00117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HYPERLINK("http://141.218.60.56/~jnz1568/getInfo.php?workbook=14_02.xlsx&amp;sheet=U0&amp;row=1673&amp;col=6&amp;number=3.9&amp;sourceID=14","3.9")</f>
        <v>3.9</v>
      </c>
      <c r="G1673" s="4" t="str">
        <f>HYPERLINK("http://141.218.60.56/~jnz1568/getInfo.php?workbook=14_02.xlsx&amp;sheet=U0&amp;row=1673&amp;col=7&amp;number=0.00117&amp;sourceID=14","0.00117")</f>
        <v>0.00117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HYPERLINK("http://141.218.60.56/~jnz1568/getInfo.php?workbook=14_02.xlsx&amp;sheet=U0&amp;row=1674&amp;col=6&amp;number=4&amp;sourceID=14","4")</f>
        <v>4</v>
      </c>
      <c r="G1674" s="4" t="str">
        <f>HYPERLINK("http://141.218.60.56/~jnz1568/getInfo.php?workbook=14_02.xlsx&amp;sheet=U0&amp;row=1674&amp;col=7&amp;number=0.00117&amp;sourceID=14","0.00117")</f>
        <v>0.00117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HYPERLINK("http://141.218.60.56/~jnz1568/getInfo.php?workbook=14_02.xlsx&amp;sheet=U0&amp;row=1675&amp;col=6&amp;number=4.1&amp;sourceID=14","4.1")</f>
        <v>4.1</v>
      </c>
      <c r="G1675" s="4" t="str">
        <f>HYPERLINK("http://141.218.60.56/~jnz1568/getInfo.php?workbook=14_02.xlsx&amp;sheet=U0&amp;row=1675&amp;col=7&amp;number=0.00117&amp;sourceID=14","0.00117")</f>
        <v>0.00117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HYPERLINK("http://141.218.60.56/~jnz1568/getInfo.php?workbook=14_02.xlsx&amp;sheet=U0&amp;row=1676&amp;col=6&amp;number=4.2&amp;sourceID=14","4.2")</f>
        <v>4.2</v>
      </c>
      <c r="G1676" s="4" t="str">
        <f>HYPERLINK("http://141.218.60.56/~jnz1568/getInfo.php?workbook=14_02.xlsx&amp;sheet=U0&amp;row=1676&amp;col=7&amp;number=0.00117&amp;sourceID=14","0.00117")</f>
        <v>0.00117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HYPERLINK("http://141.218.60.56/~jnz1568/getInfo.php?workbook=14_02.xlsx&amp;sheet=U0&amp;row=1677&amp;col=6&amp;number=4.3&amp;sourceID=14","4.3")</f>
        <v>4.3</v>
      </c>
      <c r="G1677" s="4" t="str">
        <f>HYPERLINK("http://141.218.60.56/~jnz1568/getInfo.php?workbook=14_02.xlsx&amp;sheet=U0&amp;row=1677&amp;col=7&amp;number=0.00117&amp;sourceID=14","0.00117")</f>
        <v>0.00117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HYPERLINK("http://141.218.60.56/~jnz1568/getInfo.php?workbook=14_02.xlsx&amp;sheet=U0&amp;row=1678&amp;col=6&amp;number=4.4&amp;sourceID=14","4.4")</f>
        <v>4.4</v>
      </c>
      <c r="G1678" s="4" t="str">
        <f>HYPERLINK("http://141.218.60.56/~jnz1568/getInfo.php?workbook=14_02.xlsx&amp;sheet=U0&amp;row=1678&amp;col=7&amp;number=0.00117&amp;sourceID=14","0.00117")</f>
        <v>0.00117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HYPERLINK("http://141.218.60.56/~jnz1568/getInfo.php?workbook=14_02.xlsx&amp;sheet=U0&amp;row=1679&amp;col=6&amp;number=4.5&amp;sourceID=14","4.5")</f>
        <v>4.5</v>
      </c>
      <c r="G1679" s="4" t="str">
        <f>HYPERLINK("http://141.218.60.56/~jnz1568/getInfo.php?workbook=14_02.xlsx&amp;sheet=U0&amp;row=1679&amp;col=7&amp;number=0.00117&amp;sourceID=14","0.00117")</f>
        <v>0.00117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HYPERLINK("http://141.218.60.56/~jnz1568/getInfo.php?workbook=14_02.xlsx&amp;sheet=U0&amp;row=1680&amp;col=6&amp;number=4.6&amp;sourceID=14","4.6")</f>
        <v>4.6</v>
      </c>
      <c r="G1680" s="4" t="str">
        <f>HYPERLINK("http://141.218.60.56/~jnz1568/getInfo.php?workbook=14_02.xlsx&amp;sheet=U0&amp;row=1680&amp;col=7&amp;number=0.00117&amp;sourceID=14","0.00117")</f>
        <v>0.00117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HYPERLINK("http://141.218.60.56/~jnz1568/getInfo.php?workbook=14_02.xlsx&amp;sheet=U0&amp;row=1681&amp;col=6&amp;number=4.7&amp;sourceID=14","4.7")</f>
        <v>4.7</v>
      </c>
      <c r="G1681" s="4" t="str">
        <f>HYPERLINK("http://141.218.60.56/~jnz1568/getInfo.php?workbook=14_02.xlsx&amp;sheet=U0&amp;row=1681&amp;col=7&amp;number=0.00117&amp;sourceID=14","0.00117")</f>
        <v>0.00117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HYPERLINK("http://141.218.60.56/~jnz1568/getInfo.php?workbook=14_02.xlsx&amp;sheet=U0&amp;row=1682&amp;col=6&amp;number=4.8&amp;sourceID=14","4.8")</f>
        <v>4.8</v>
      </c>
      <c r="G1682" s="4" t="str">
        <f>HYPERLINK("http://141.218.60.56/~jnz1568/getInfo.php?workbook=14_02.xlsx&amp;sheet=U0&amp;row=1682&amp;col=7&amp;number=0.00117&amp;sourceID=14","0.00117")</f>
        <v>0.00117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HYPERLINK("http://141.218.60.56/~jnz1568/getInfo.php?workbook=14_02.xlsx&amp;sheet=U0&amp;row=1683&amp;col=6&amp;number=4.9&amp;sourceID=14","4.9")</f>
        <v>4.9</v>
      </c>
      <c r="G1683" s="4" t="str">
        <f>HYPERLINK("http://141.218.60.56/~jnz1568/getInfo.php?workbook=14_02.xlsx&amp;sheet=U0&amp;row=1683&amp;col=7&amp;number=0.00117&amp;sourceID=14","0.00117")</f>
        <v>0.00117</v>
      </c>
    </row>
    <row r="1684" spans="1:7">
      <c r="A1684" s="3">
        <v>14</v>
      </c>
      <c r="B1684" s="3">
        <v>2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HYPERLINK("http://141.218.60.56/~jnz1568/getInfo.php?workbook=14_02.xlsx&amp;sheet=U0&amp;row=1684&amp;col=6&amp;number=3&amp;sourceID=14","3")</f>
        <v>3</v>
      </c>
      <c r="G1684" s="4" t="str">
        <f>HYPERLINK("http://141.218.60.56/~jnz1568/getInfo.php?workbook=14_02.xlsx&amp;sheet=U0&amp;row=1684&amp;col=7&amp;number=0.00266&amp;sourceID=14","0.00266")</f>
        <v>0.00266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HYPERLINK("http://141.218.60.56/~jnz1568/getInfo.php?workbook=14_02.xlsx&amp;sheet=U0&amp;row=1685&amp;col=6&amp;number=3.1&amp;sourceID=14","3.1")</f>
        <v>3.1</v>
      </c>
      <c r="G1685" s="4" t="str">
        <f>HYPERLINK("http://141.218.60.56/~jnz1568/getInfo.php?workbook=14_02.xlsx&amp;sheet=U0&amp;row=1685&amp;col=7&amp;number=0.00266&amp;sourceID=14","0.00266")</f>
        <v>0.00266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HYPERLINK("http://141.218.60.56/~jnz1568/getInfo.php?workbook=14_02.xlsx&amp;sheet=U0&amp;row=1686&amp;col=6&amp;number=3.2&amp;sourceID=14","3.2")</f>
        <v>3.2</v>
      </c>
      <c r="G1686" s="4" t="str">
        <f>HYPERLINK("http://141.218.60.56/~jnz1568/getInfo.php?workbook=14_02.xlsx&amp;sheet=U0&amp;row=1686&amp;col=7&amp;number=0.00266&amp;sourceID=14","0.00266")</f>
        <v>0.00266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HYPERLINK("http://141.218.60.56/~jnz1568/getInfo.php?workbook=14_02.xlsx&amp;sheet=U0&amp;row=1687&amp;col=6&amp;number=3.3&amp;sourceID=14","3.3")</f>
        <v>3.3</v>
      </c>
      <c r="G1687" s="4" t="str">
        <f>HYPERLINK("http://141.218.60.56/~jnz1568/getInfo.php?workbook=14_02.xlsx&amp;sheet=U0&amp;row=1687&amp;col=7&amp;number=0.00266&amp;sourceID=14","0.00266")</f>
        <v>0.00266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HYPERLINK("http://141.218.60.56/~jnz1568/getInfo.php?workbook=14_02.xlsx&amp;sheet=U0&amp;row=1688&amp;col=6&amp;number=3.4&amp;sourceID=14","3.4")</f>
        <v>3.4</v>
      </c>
      <c r="G1688" s="4" t="str">
        <f>HYPERLINK("http://141.218.60.56/~jnz1568/getInfo.php?workbook=14_02.xlsx&amp;sheet=U0&amp;row=1688&amp;col=7&amp;number=0.00266&amp;sourceID=14","0.00266")</f>
        <v>0.00266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HYPERLINK("http://141.218.60.56/~jnz1568/getInfo.php?workbook=14_02.xlsx&amp;sheet=U0&amp;row=1689&amp;col=6&amp;number=3.5&amp;sourceID=14","3.5")</f>
        <v>3.5</v>
      </c>
      <c r="G1689" s="4" t="str">
        <f>HYPERLINK("http://141.218.60.56/~jnz1568/getInfo.php?workbook=14_02.xlsx&amp;sheet=U0&amp;row=1689&amp;col=7&amp;number=0.00266&amp;sourceID=14","0.00266")</f>
        <v>0.00266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HYPERLINK("http://141.218.60.56/~jnz1568/getInfo.php?workbook=14_02.xlsx&amp;sheet=U0&amp;row=1690&amp;col=6&amp;number=3.6&amp;sourceID=14","3.6")</f>
        <v>3.6</v>
      </c>
      <c r="G1690" s="4" t="str">
        <f>HYPERLINK("http://141.218.60.56/~jnz1568/getInfo.php?workbook=14_02.xlsx&amp;sheet=U0&amp;row=1690&amp;col=7&amp;number=0.00266&amp;sourceID=14","0.00266")</f>
        <v>0.00266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HYPERLINK("http://141.218.60.56/~jnz1568/getInfo.php?workbook=14_02.xlsx&amp;sheet=U0&amp;row=1691&amp;col=6&amp;number=3.7&amp;sourceID=14","3.7")</f>
        <v>3.7</v>
      </c>
      <c r="G1691" s="4" t="str">
        <f>HYPERLINK("http://141.218.60.56/~jnz1568/getInfo.php?workbook=14_02.xlsx&amp;sheet=U0&amp;row=1691&amp;col=7&amp;number=0.00266&amp;sourceID=14","0.00266")</f>
        <v>0.00266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HYPERLINK("http://141.218.60.56/~jnz1568/getInfo.php?workbook=14_02.xlsx&amp;sheet=U0&amp;row=1692&amp;col=6&amp;number=3.8&amp;sourceID=14","3.8")</f>
        <v>3.8</v>
      </c>
      <c r="G1692" s="4" t="str">
        <f>HYPERLINK("http://141.218.60.56/~jnz1568/getInfo.php?workbook=14_02.xlsx&amp;sheet=U0&amp;row=1692&amp;col=7&amp;number=0.00266&amp;sourceID=14","0.00266")</f>
        <v>0.00266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HYPERLINK("http://141.218.60.56/~jnz1568/getInfo.php?workbook=14_02.xlsx&amp;sheet=U0&amp;row=1693&amp;col=6&amp;number=3.9&amp;sourceID=14","3.9")</f>
        <v>3.9</v>
      </c>
      <c r="G1693" s="4" t="str">
        <f>HYPERLINK("http://141.218.60.56/~jnz1568/getInfo.php?workbook=14_02.xlsx&amp;sheet=U0&amp;row=1693&amp;col=7&amp;number=0.00266&amp;sourceID=14","0.00266")</f>
        <v>0.00266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HYPERLINK("http://141.218.60.56/~jnz1568/getInfo.php?workbook=14_02.xlsx&amp;sheet=U0&amp;row=1694&amp;col=6&amp;number=4&amp;sourceID=14","4")</f>
        <v>4</v>
      </c>
      <c r="G1694" s="4" t="str">
        <f>HYPERLINK("http://141.218.60.56/~jnz1568/getInfo.php?workbook=14_02.xlsx&amp;sheet=U0&amp;row=1694&amp;col=7&amp;number=0.00266&amp;sourceID=14","0.00266")</f>
        <v>0.00266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HYPERLINK("http://141.218.60.56/~jnz1568/getInfo.php?workbook=14_02.xlsx&amp;sheet=U0&amp;row=1695&amp;col=6&amp;number=4.1&amp;sourceID=14","4.1")</f>
        <v>4.1</v>
      </c>
      <c r="G1695" s="4" t="str">
        <f>HYPERLINK("http://141.218.60.56/~jnz1568/getInfo.php?workbook=14_02.xlsx&amp;sheet=U0&amp;row=1695&amp;col=7&amp;number=0.00266&amp;sourceID=14","0.00266")</f>
        <v>0.00266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HYPERLINK("http://141.218.60.56/~jnz1568/getInfo.php?workbook=14_02.xlsx&amp;sheet=U0&amp;row=1696&amp;col=6&amp;number=4.2&amp;sourceID=14","4.2")</f>
        <v>4.2</v>
      </c>
      <c r="G1696" s="4" t="str">
        <f>HYPERLINK("http://141.218.60.56/~jnz1568/getInfo.php?workbook=14_02.xlsx&amp;sheet=U0&amp;row=1696&amp;col=7&amp;number=0.00266&amp;sourceID=14","0.00266")</f>
        <v>0.00266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HYPERLINK("http://141.218.60.56/~jnz1568/getInfo.php?workbook=14_02.xlsx&amp;sheet=U0&amp;row=1697&amp;col=6&amp;number=4.3&amp;sourceID=14","4.3")</f>
        <v>4.3</v>
      </c>
      <c r="G1697" s="4" t="str">
        <f>HYPERLINK("http://141.218.60.56/~jnz1568/getInfo.php?workbook=14_02.xlsx&amp;sheet=U0&amp;row=1697&amp;col=7&amp;number=0.00266&amp;sourceID=14","0.00266")</f>
        <v>0.00266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HYPERLINK("http://141.218.60.56/~jnz1568/getInfo.php?workbook=14_02.xlsx&amp;sheet=U0&amp;row=1698&amp;col=6&amp;number=4.4&amp;sourceID=14","4.4")</f>
        <v>4.4</v>
      </c>
      <c r="G1698" s="4" t="str">
        <f>HYPERLINK("http://141.218.60.56/~jnz1568/getInfo.php?workbook=14_02.xlsx&amp;sheet=U0&amp;row=1698&amp;col=7&amp;number=0.00266&amp;sourceID=14","0.00266")</f>
        <v>0.00266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HYPERLINK("http://141.218.60.56/~jnz1568/getInfo.php?workbook=14_02.xlsx&amp;sheet=U0&amp;row=1699&amp;col=6&amp;number=4.5&amp;sourceID=14","4.5")</f>
        <v>4.5</v>
      </c>
      <c r="G1699" s="4" t="str">
        <f>HYPERLINK("http://141.218.60.56/~jnz1568/getInfo.php?workbook=14_02.xlsx&amp;sheet=U0&amp;row=1699&amp;col=7&amp;number=0.00266&amp;sourceID=14","0.00266")</f>
        <v>0.00266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HYPERLINK("http://141.218.60.56/~jnz1568/getInfo.php?workbook=14_02.xlsx&amp;sheet=U0&amp;row=1700&amp;col=6&amp;number=4.6&amp;sourceID=14","4.6")</f>
        <v>4.6</v>
      </c>
      <c r="G1700" s="4" t="str">
        <f>HYPERLINK("http://141.218.60.56/~jnz1568/getInfo.php?workbook=14_02.xlsx&amp;sheet=U0&amp;row=1700&amp;col=7&amp;number=0.00266&amp;sourceID=14","0.00266")</f>
        <v>0.00266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HYPERLINK("http://141.218.60.56/~jnz1568/getInfo.php?workbook=14_02.xlsx&amp;sheet=U0&amp;row=1701&amp;col=6&amp;number=4.7&amp;sourceID=14","4.7")</f>
        <v>4.7</v>
      </c>
      <c r="G1701" s="4" t="str">
        <f>HYPERLINK("http://141.218.60.56/~jnz1568/getInfo.php?workbook=14_02.xlsx&amp;sheet=U0&amp;row=1701&amp;col=7&amp;number=0.00266&amp;sourceID=14","0.00266")</f>
        <v>0.00266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HYPERLINK("http://141.218.60.56/~jnz1568/getInfo.php?workbook=14_02.xlsx&amp;sheet=U0&amp;row=1702&amp;col=6&amp;number=4.8&amp;sourceID=14","4.8")</f>
        <v>4.8</v>
      </c>
      <c r="G1702" s="4" t="str">
        <f>HYPERLINK("http://141.218.60.56/~jnz1568/getInfo.php?workbook=14_02.xlsx&amp;sheet=U0&amp;row=1702&amp;col=7&amp;number=0.00267&amp;sourceID=14","0.00267")</f>
        <v>0.00267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HYPERLINK("http://141.218.60.56/~jnz1568/getInfo.php?workbook=14_02.xlsx&amp;sheet=U0&amp;row=1703&amp;col=6&amp;number=4.9&amp;sourceID=14","4.9")</f>
        <v>4.9</v>
      </c>
      <c r="G1703" s="4" t="str">
        <f>HYPERLINK("http://141.218.60.56/~jnz1568/getInfo.php?workbook=14_02.xlsx&amp;sheet=U0&amp;row=1703&amp;col=7&amp;number=0.00267&amp;sourceID=14","0.00267")</f>
        <v>0.00267</v>
      </c>
    </row>
    <row r="1704" spans="1:7">
      <c r="A1704" s="3">
        <v>14</v>
      </c>
      <c r="B1704" s="3">
        <v>2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HYPERLINK("http://141.218.60.56/~jnz1568/getInfo.php?workbook=14_02.xlsx&amp;sheet=U0&amp;row=1704&amp;col=6&amp;number=3&amp;sourceID=14","3")</f>
        <v>3</v>
      </c>
      <c r="G1704" s="4" t="str">
        <f>HYPERLINK("http://141.218.60.56/~jnz1568/getInfo.php?workbook=14_02.xlsx&amp;sheet=U0&amp;row=1704&amp;col=7&amp;number=0.00382&amp;sourceID=14","0.00382")</f>
        <v>0.00382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HYPERLINK("http://141.218.60.56/~jnz1568/getInfo.php?workbook=14_02.xlsx&amp;sheet=U0&amp;row=1705&amp;col=6&amp;number=3.1&amp;sourceID=14","3.1")</f>
        <v>3.1</v>
      </c>
      <c r="G1705" s="4" t="str">
        <f>HYPERLINK("http://141.218.60.56/~jnz1568/getInfo.php?workbook=14_02.xlsx&amp;sheet=U0&amp;row=1705&amp;col=7&amp;number=0.00382&amp;sourceID=14","0.00382")</f>
        <v>0.00382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HYPERLINK("http://141.218.60.56/~jnz1568/getInfo.php?workbook=14_02.xlsx&amp;sheet=U0&amp;row=1706&amp;col=6&amp;number=3.2&amp;sourceID=14","3.2")</f>
        <v>3.2</v>
      </c>
      <c r="G1706" s="4" t="str">
        <f>HYPERLINK("http://141.218.60.56/~jnz1568/getInfo.php?workbook=14_02.xlsx&amp;sheet=U0&amp;row=1706&amp;col=7&amp;number=0.00382&amp;sourceID=14","0.00382")</f>
        <v>0.00382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HYPERLINK("http://141.218.60.56/~jnz1568/getInfo.php?workbook=14_02.xlsx&amp;sheet=U0&amp;row=1707&amp;col=6&amp;number=3.3&amp;sourceID=14","3.3")</f>
        <v>3.3</v>
      </c>
      <c r="G1707" s="4" t="str">
        <f>HYPERLINK("http://141.218.60.56/~jnz1568/getInfo.php?workbook=14_02.xlsx&amp;sheet=U0&amp;row=1707&amp;col=7&amp;number=0.00382&amp;sourceID=14","0.00382")</f>
        <v>0.00382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HYPERLINK("http://141.218.60.56/~jnz1568/getInfo.php?workbook=14_02.xlsx&amp;sheet=U0&amp;row=1708&amp;col=6&amp;number=3.4&amp;sourceID=14","3.4")</f>
        <v>3.4</v>
      </c>
      <c r="G1708" s="4" t="str">
        <f>HYPERLINK("http://141.218.60.56/~jnz1568/getInfo.php?workbook=14_02.xlsx&amp;sheet=U0&amp;row=1708&amp;col=7&amp;number=0.00382&amp;sourceID=14","0.00382")</f>
        <v>0.00382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HYPERLINK("http://141.218.60.56/~jnz1568/getInfo.php?workbook=14_02.xlsx&amp;sheet=U0&amp;row=1709&amp;col=6&amp;number=3.5&amp;sourceID=14","3.5")</f>
        <v>3.5</v>
      </c>
      <c r="G1709" s="4" t="str">
        <f>HYPERLINK("http://141.218.60.56/~jnz1568/getInfo.php?workbook=14_02.xlsx&amp;sheet=U0&amp;row=1709&amp;col=7&amp;number=0.00382&amp;sourceID=14","0.00382")</f>
        <v>0.00382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HYPERLINK("http://141.218.60.56/~jnz1568/getInfo.php?workbook=14_02.xlsx&amp;sheet=U0&amp;row=1710&amp;col=6&amp;number=3.6&amp;sourceID=14","3.6")</f>
        <v>3.6</v>
      </c>
      <c r="G1710" s="4" t="str">
        <f>HYPERLINK("http://141.218.60.56/~jnz1568/getInfo.php?workbook=14_02.xlsx&amp;sheet=U0&amp;row=1710&amp;col=7&amp;number=0.00382&amp;sourceID=14","0.00382")</f>
        <v>0.00382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HYPERLINK("http://141.218.60.56/~jnz1568/getInfo.php?workbook=14_02.xlsx&amp;sheet=U0&amp;row=1711&amp;col=6&amp;number=3.7&amp;sourceID=14","3.7")</f>
        <v>3.7</v>
      </c>
      <c r="G1711" s="4" t="str">
        <f>HYPERLINK("http://141.218.60.56/~jnz1568/getInfo.php?workbook=14_02.xlsx&amp;sheet=U0&amp;row=1711&amp;col=7&amp;number=0.00382&amp;sourceID=14","0.00382")</f>
        <v>0.00382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HYPERLINK("http://141.218.60.56/~jnz1568/getInfo.php?workbook=14_02.xlsx&amp;sheet=U0&amp;row=1712&amp;col=6&amp;number=3.8&amp;sourceID=14","3.8")</f>
        <v>3.8</v>
      </c>
      <c r="G1712" s="4" t="str">
        <f>HYPERLINK("http://141.218.60.56/~jnz1568/getInfo.php?workbook=14_02.xlsx&amp;sheet=U0&amp;row=1712&amp;col=7&amp;number=0.00382&amp;sourceID=14","0.00382")</f>
        <v>0.00382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HYPERLINK("http://141.218.60.56/~jnz1568/getInfo.php?workbook=14_02.xlsx&amp;sheet=U0&amp;row=1713&amp;col=6&amp;number=3.9&amp;sourceID=14","3.9")</f>
        <v>3.9</v>
      </c>
      <c r="G1713" s="4" t="str">
        <f>HYPERLINK("http://141.218.60.56/~jnz1568/getInfo.php?workbook=14_02.xlsx&amp;sheet=U0&amp;row=1713&amp;col=7&amp;number=0.00382&amp;sourceID=14","0.00382")</f>
        <v>0.00382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HYPERLINK("http://141.218.60.56/~jnz1568/getInfo.php?workbook=14_02.xlsx&amp;sheet=U0&amp;row=1714&amp;col=6&amp;number=4&amp;sourceID=14","4")</f>
        <v>4</v>
      </c>
      <c r="G1714" s="4" t="str">
        <f>HYPERLINK("http://141.218.60.56/~jnz1568/getInfo.php?workbook=14_02.xlsx&amp;sheet=U0&amp;row=1714&amp;col=7&amp;number=0.00382&amp;sourceID=14","0.00382")</f>
        <v>0.00382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HYPERLINK("http://141.218.60.56/~jnz1568/getInfo.php?workbook=14_02.xlsx&amp;sheet=U0&amp;row=1715&amp;col=6&amp;number=4.1&amp;sourceID=14","4.1")</f>
        <v>4.1</v>
      </c>
      <c r="G1715" s="4" t="str">
        <f>HYPERLINK("http://141.218.60.56/~jnz1568/getInfo.php?workbook=14_02.xlsx&amp;sheet=U0&amp;row=1715&amp;col=7&amp;number=0.00382&amp;sourceID=14","0.00382")</f>
        <v>0.00382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HYPERLINK("http://141.218.60.56/~jnz1568/getInfo.php?workbook=14_02.xlsx&amp;sheet=U0&amp;row=1716&amp;col=6&amp;number=4.2&amp;sourceID=14","4.2")</f>
        <v>4.2</v>
      </c>
      <c r="G1716" s="4" t="str">
        <f>HYPERLINK("http://141.218.60.56/~jnz1568/getInfo.php?workbook=14_02.xlsx&amp;sheet=U0&amp;row=1716&amp;col=7&amp;number=0.00382&amp;sourceID=14","0.00382")</f>
        <v>0.00382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HYPERLINK("http://141.218.60.56/~jnz1568/getInfo.php?workbook=14_02.xlsx&amp;sheet=U0&amp;row=1717&amp;col=6&amp;number=4.3&amp;sourceID=14","4.3")</f>
        <v>4.3</v>
      </c>
      <c r="G1717" s="4" t="str">
        <f>HYPERLINK("http://141.218.60.56/~jnz1568/getInfo.php?workbook=14_02.xlsx&amp;sheet=U0&amp;row=1717&amp;col=7&amp;number=0.00382&amp;sourceID=14","0.00382")</f>
        <v>0.00382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HYPERLINK("http://141.218.60.56/~jnz1568/getInfo.php?workbook=14_02.xlsx&amp;sheet=U0&amp;row=1718&amp;col=6&amp;number=4.4&amp;sourceID=14","4.4")</f>
        <v>4.4</v>
      </c>
      <c r="G1718" s="4" t="str">
        <f>HYPERLINK("http://141.218.60.56/~jnz1568/getInfo.php?workbook=14_02.xlsx&amp;sheet=U0&amp;row=1718&amp;col=7&amp;number=0.00382&amp;sourceID=14","0.00382")</f>
        <v>0.00382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HYPERLINK("http://141.218.60.56/~jnz1568/getInfo.php?workbook=14_02.xlsx&amp;sheet=U0&amp;row=1719&amp;col=6&amp;number=4.5&amp;sourceID=14","4.5")</f>
        <v>4.5</v>
      </c>
      <c r="G1719" s="4" t="str">
        <f>HYPERLINK("http://141.218.60.56/~jnz1568/getInfo.php?workbook=14_02.xlsx&amp;sheet=U0&amp;row=1719&amp;col=7&amp;number=0.00382&amp;sourceID=14","0.00382")</f>
        <v>0.00382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HYPERLINK("http://141.218.60.56/~jnz1568/getInfo.php?workbook=14_02.xlsx&amp;sheet=U0&amp;row=1720&amp;col=6&amp;number=4.6&amp;sourceID=14","4.6")</f>
        <v>4.6</v>
      </c>
      <c r="G1720" s="4" t="str">
        <f>HYPERLINK("http://141.218.60.56/~jnz1568/getInfo.php?workbook=14_02.xlsx&amp;sheet=U0&amp;row=1720&amp;col=7&amp;number=0.00382&amp;sourceID=14","0.00382")</f>
        <v>0.00382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HYPERLINK("http://141.218.60.56/~jnz1568/getInfo.php?workbook=14_02.xlsx&amp;sheet=U0&amp;row=1721&amp;col=6&amp;number=4.7&amp;sourceID=14","4.7")</f>
        <v>4.7</v>
      </c>
      <c r="G1721" s="4" t="str">
        <f>HYPERLINK("http://141.218.60.56/~jnz1568/getInfo.php?workbook=14_02.xlsx&amp;sheet=U0&amp;row=1721&amp;col=7&amp;number=0.00382&amp;sourceID=14","0.00382")</f>
        <v>0.00382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HYPERLINK("http://141.218.60.56/~jnz1568/getInfo.php?workbook=14_02.xlsx&amp;sheet=U0&amp;row=1722&amp;col=6&amp;number=4.8&amp;sourceID=14","4.8")</f>
        <v>4.8</v>
      </c>
      <c r="G1722" s="4" t="str">
        <f>HYPERLINK("http://141.218.60.56/~jnz1568/getInfo.php?workbook=14_02.xlsx&amp;sheet=U0&amp;row=1722&amp;col=7&amp;number=0.00382&amp;sourceID=14","0.00382")</f>
        <v>0.00382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HYPERLINK("http://141.218.60.56/~jnz1568/getInfo.php?workbook=14_02.xlsx&amp;sheet=U0&amp;row=1723&amp;col=6&amp;number=4.9&amp;sourceID=14","4.9")</f>
        <v>4.9</v>
      </c>
      <c r="G1723" s="4" t="str">
        <f>HYPERLINK("http://141.218.60.56/~jnz1568/getInfo.php?workbook=14_02.xlsx&amp;sheet=U0&amp;row=1723&amp;col=7&amp;number=0.00382&amp;sourceID=14","0.00382")</f>
        <v>0.00382</v>
      </c>
    </row>
    <row r="1724" spans="1:7">
      <c r="A1724" s="3">
        <v>14</v>
      </c>
      <c r="B1724" s="3">
        <v>2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HYPERLINK("http://141.218.60.56/~jnz1568/getInfo.php?workbook=14_02.xlsx&amp;sheet=U0&amp;row=1724&amp;col=6&amp;number=3&amp;sourceID=14","3")</f>
        <v>3</v>
      </c>
      <c r="G1724" s="4" t="str">
        <f>HYPERLINK("http://141.218.60.56/~jnz1568/getInfo.php?workbook=14_02.xlsx&amp;sheet=U0&amp;row=1724&amp;col=7&amp;number=0.00182&amp;sourceID=14","0.00182")</f>
        <v>0.00182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HYPERLINK("http://141.218.60.56/~jnz1568/getInfo.php?workbook=14_02.xlsx&amp;sheet=U0&amp;row=1725&amp;col=6&amp;number=3.1&amp;sourceID=14","3.1")</f>
        <v>3.1</v>
      </c>
      <c r="G1725" s="4" t="str">
        <f>HYPERLINK("http://141.218.60.56/~jnz1568/getInfo.php?workbook=14_02.xlsx&amp;sheet=U0&amp;row=1725&amp;col=7&amp;number=0.00182&amp;sourceID=14","0.00182")</f>
        <v>0.00182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HYPERLINK("http://141.218.60.56/~jnz1568/getInfo.php?workbook=14_02.xlsx&amp;sheet=U0&amp;row=1726&amp;col=6&amp;number=3.2&amp;sourceID=14","3.2")</f>
        <v>3.2</v>
      </c>
      <c r="G1726" s="4" t="str">
        <f>HYPERLINK("http://141.218.60.56/~jnz1568/getInfo.php?workbook=14_02.xlsx&amp;sheet=U0&amp;row=1726&amp;col=7&amp;number=0.00182&amp;sourceID=14","0.00182")</f>
        <v>0.00182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HYPERLINK("http://141.218.60.56/~jnz1568/getInfo.php?workbook=14_02.xlsx&amp;sheet=U0&amp;row=1727&amp;col=6&amp;number=3.3&amp;sourceID=14","3.3")</f>
        <v>3.3</v>
      </c>
      <c r="G1727" s="4" t="str">
        <f>HYPERLINK("http://141.218.60.56/~jnz1568/getInfo.php?workbook=14_02.xlsx&amp;sheet=U0&amp;row=1727&amp;col=7&amp;number=0.00182&amp;sourceID=14","0.00182")</f>
        <v>0.00182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HYPERLINK("http://141.218.60.56/~jnz1568/getInfo.php?workbook=14_02.xlsx&amp;sheet=U0&amp;row=1728&amp;col=6&amp;number=3.4&amp;sourceID=14","3.4")</f>
        <v>3.4</v>
      </c>
      <c r="G1728" s="4" t="str">
        <f>HYPERLINK("http://141.218.60.56/~jnz1568/getInfo.php?workbook=14_02.xlsx&amp;sheet=U0&amp;row=1728&amp;col=7&amp;number=0.00182&amp;sourceID=14","0.00182")</f>
        <v>0.00182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HYPERLINK("http://141.218.60.56/~jnz1568/getInfo.php?workbook=14_02.xlsx&amp;sheet=U0&amp;row=1729&amp;col=6&amp;number=3.5&amp;sourceID=14","3.5")</f>
        <v>3.5</v>
      </c>
      <c r="G1729" s="4" t="str">
        <f>HYPERLINK("http://141.218.60.56/~jnz1568/getInfo.php?workbook=14_02.xlsx&amp;sheet=U0&amp;row=1729&amp;col=7&amp;number=0.00182&amp;sourceID=14","0.00182")</f>
        <v>0.00182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HYPERLINK("http://141.218.60.56/~jnz1568/getInfo.php?workbook=14_02.xlsx&amp;sheet=U0&amp;row=1730&amp;col=6&amp;number=3.6&amp;sourceID=14","3.6")</f>
        <v>3.6</v>
      </c>
      <c r="G1730" s="4" t="str">
        <f>HYPERLINK("http://141.218.60.56/~jnz1568/getInfo.php?workbook=14_02.xlsx&amp;sheet=U0&amp;row=1730&amp;col=7&amp;number=0.00182&amp;sourceID=14","0.00182")</f>
        <v>0.00182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HYPERLINK("http://141.218.60.56/~jnz1568/getInfo.php?workbook=14_02.xlsx&amp;sheet=U0&amp;row=1731&amp;col=6&amp;number=3.7&amp;sourceID=14","3.7")</f>
        <v>3.7</v>
      </c>
      <c r="G1731" s="4" t="str">
        <f>HYPERLINK("http://141.218.60.56/~jnz1568/getInfo.php?workbook=14_02.xlsx&amp;sheet=U0&amp;row=1731&amp;col=7&amp;number=0.00182&amp;sourceID=14","0.00182")</f>
        <v>0.00182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HYPERLINK("http://141.218.60.56/~jnz1568/getInfo.php?workbook=14_02.xlsx&amp;sheet=U0&amp;row=1732&amp;col=6&amp;number=3.8&amp;sourceID=14","3.8")</f>
        <v>3.8</v>
      </c>
      <c r="G1732" s="4" t="str">
        <f>HYPERLINK("http://141.218.60.56/~jnz1568/getInfo.php?workbook=14_02.xlsx&amp;sheet=U0&amp;row=1732&amp;col=7&amp;number=0.00182&amp;sourceID=14","0.00182")</f>
        <v>0.00182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HYPERLINK("http://141.218.60.56/~jnz1568/getInfo.php?workbook=14_02.xlsx&amp;sheet=U0&amp;row=1733&amp;col=6&amp;number=3.9&amp;sourceID=14","3.9")</f>
        <v>3.9</v>
      </c>
      <c r="G1733" s="4" t="str">
        <f>HYPERLINK("http://141.218.60.56/~jnz1568/getInfo.php?workbook=14_02.xlsx&amp;sheet=U0&amp;row=1733&amp;col=7&amp;number=0.00182&amp;sourceID=14","0.00182")</f>
        <v>0.00182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HYPERLINK("http://141.218.60.56/~jnz1568/getInfo.php?workbook=14_02.xlsx&amp;sheet=U0&amp;row=1734&amp;col=6&amp;number=4&amp;sourceID=14","4")</f>
        <v>4</v>
      </c>
      <c r="G1734" s="4" t="str">
        <f>HYPERLINK("http://141.218.60.56/~jnz1568/getInfo.php?workbook=14_02.xlsx&amp;sheet=U0&amp;row=1734&amp;col=7&amp;number=0.00182&amp;sourceID=14","0.00182")</f>
        <v>0.00182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HYPERLINK("http://141.218.60.56/~jnz1568/getInfo.php?workbook=14_02.xlsx&amp;sheet=U0&amp;row=1735&amp;col=6&amp;number=4.1&amp;sourceID=14","4.1")</f>
        <v>4.1</v>
      </c>
      <c r="G1735" s="4" t="str">
        <f>HYPERLINK("http://141.218.60.56/~jnz1568/getInfo.php?workbook=14_02.xlsx&amp;sheet=U0&amp;row=1735&amp;col=7&amp;number=0.00182&amp;sourceID=14","0.00182")</f>
        <v>0.00182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HYPERLINK("http://141.218.60.56/~jnz1568/getInfo.php?workbook=14_02.xlsx&amp;sheet=U0&amp;row=1736&amp;col=6&amp;number=4.2&amp;sourceID=14","4.2")</f>
        <v>4.2</v>
      </c>
      <c r="G1736" s="4" t="str">
        <f>HYPERLINK("http://141.218.60.56/~jnz1568/getInfo.php?workbook=14_02.xlsx&amp;sheet=U0&amp;row=1736&amp;col=7&amp;number=0.00182&amp;sourceID=14","0.00182")</f>
        <v>0.00182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HYPERLINK("http://141.218.60.56/~jnz1568/getInfo.php?workbook=14_02.xlsx&amp;sheet=U0&amp;row=1737&amp;col=6&amp;number=4.3&amp;sourceID=14","4.3")</f>
        <v>4.3</v>
      </c>
      <c r="G1737" s="4" t="str">
        <f>HYPERLINK("http://141.218.60.56/~jnz1568/getInfo.php?workbook=14_02.xlsx&amp;sheet=U0&amp;row=1737&amp;col=7&amp;number=0.00182&amp;sourceID=14","0.00182")</f>
        <v>0.00182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HYPERLINK("http://141.218.60.56/~jnz1568/getInfo.php?workbook=14_02.xlsx&amp;sheet=U0&amp;row=1738&amp;col=6&amp;number=4.4&amp;sourceID=14","4.4")</f>
        <v>4.4</v>
      </c>
      <c r="G1738" s="4" t="str">
        <f>HYPERLINK("http://141.218.60.56/~jnz1568/getInfo.php?workbook=14_02.xlsx&amp;sheet=U0&amp;row=1738&amp;col=7&amp;number=0.00182&amp;sourceID=14","0.00182")</f>
        <v>0.00182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HYPERLINK("http://141.218.60.56/~jnz1568/getInfo.php?workbook=14_02.xlsx&amp;sheet=U0&amp;row=1739&amp;col=6&amp;number=4.5&amp;sourceID=14","4.5")</f>
        <v>4.5</v>
      </c>
      <c r="G1739" s="4" t="str">
        <f>HYPERLINK("http://141.218.60.56/~jnz1568/getInfo.php?workbook=14_02.xlsx&amp;sheet=U0&amp;row=1739&amp;col=7&amp;number=0.00181&amp;sourceID=14","0.00181")</f>
        <v>0.00181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HYPERLINK("http://141.218.60.56/~jnz1568/getInfo.php?workbook=14_02.xlsx&amp;sheet=U0&amp;row=1740&amp;col=6&amp;number=4.6&amp;sourceID=14","4.6")</f>
        <v>4.6</v>
      </c>
      <c r="G1740" s="4" t="str">
        <f>HYPERLINK("http://141.218.60.56/~jnz1568/getInfo.php?workbook=14_02.xlsx&amp;sheet=U0&amp;row=1740&amp;col=7&amp;number=0.00181&amp;sourceID=14","0.00181")</f>
        <v>0.00181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HYPERLINK("http://141.218.60.56/~jnz1568/getInfo.php?workbook=14_02.xlsx&amp;sheet=U0&amp;row=1741&amp;col=6&amp;number=4.7&amp;sourceID=14","4.7")</f>
        <v>4.7</v>
      </c>
      <c r="G1741" s="4" t="str">
        <f>HYPERLINK("http://141.218.60.56/~jnz1568/getInfo.php?workbook=14_02.xlsx&amp;sheet=U0&amp;row=1741&amp;col=7&amp;number=0.00181&amp;sourceID=14","0.00181")</f>
        <v>0.00181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HYPERLINK("http://141.218.60.56/~jnz1568/getInfo.php?workbook=14_02.xlsx&amp;sheet=U0&amp;row=1742&amp;col=6&amp;number=4.8&amp;sourceID=14","4.8")</f>
        <v>4.8</v>
      </c>
      <c r="G1742" s="4" t="str">
        <f>HYPERLINK("http://141.218.60.56/~jnz1568/getInfo.php?workbook=14_02.xlsx&amp;sheet=U0&amp;row=1742&amp;col=7&amp;number=0.00181&amp;sourceID=14","0.00181")</f>
        <v>0.00181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HYPERLINK("http://141.218.60.56/~jnz1568/getInfo.php?workbook=14_02.xlsx&amp;sheet=U0&amp;row=1743&amp;col=6&amp;number=4.9&amp;sourceID=14","4.9")</f>
        <v>4.9</v>
      </c>
      <c r="G1743" s="4" t="str">
        <f>HYPERLINK("http://141.218.60.56/~jnz1568/getInfo.php?workbook=14_02.xlsx&amp;sheet=U0&amp;row=1743&amp;col=7&amp;number=0.0018&amp;sourceID=14","0.0018")</f>
        <v>0.0018</v>
      </c>
    </row>
    <row r="1744" spans="1:7">
      <c r="A1744" s="3">
        <v>14</v>
      </c>
      <c r="B1744" s="3">
        <v>2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HYPERLINK("http://141.218.60.56/~jnz1568/getInfo.php?workbook=14_02.xlsx&amp;sheet=U0&amp;row=1744&amp;col=6&amp;number=3&amp;sourceID=14","3")</f>
        <v>3</v>
      </c>
      <c r="G1744" s="4" t="str">
        <f>HYPERLINK("http://141.218.60.56/~jnz1568/getInfo.php?workbook=14_02.xlsx&amp;sheet=U0&amp;row=1744&amp;col=7&amp;number=0.00143&amp;sourceID=14","0.00143")</f>
        <v>0.00143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HYPERLINK("http://141.218.60.56/~jnz1568/getInfo.php?workbook=14_02.xlsx&amp;sheet=U0&amp;row=1745&amp;col=6&amp;number=3.1&amp;sourceID=14","3.1")</f>
        <v>3.1</v>
      </c>
      <c r="G1745" s="4" t="str">
        <f>HYPERLINK("http://141.218.60.56/~jnz1568/getInfo.php?workbook=14_02.xlsx&amp;sheet=U0&amp;row=1745&amp;col=7&amp;number=0.00143&amp;sourceID=14","0.00143")</f>
        <v>0.00143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HYPERLINK("http://141.218.60.56/~jnz1568/getInfo.php?workbook=14_02.xlsx&amp;sheet=U0&amp;row=1746&amp;col=6&amp;number=3.2&amp;sourceID=14","3.2")</f>
        <v>3.2</v>
      </c>
      <c r="G1746" s="4" t="str">
        <f>HYPERLINK("http://141.218.60.56/~jnz1568/getInfo.php?workbook=14_02.xlsx&amp;sheet=U0&amp;row=1746&amp;col=7&amp;number=0.00143&amp;sourceID=14","0.00143")</f>
        <v>0.00143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HYPERLINK("http://141.218.60.56/~jnz1568/getInfo.php?workbook=14_02.xlsx&amp;sheet=U0&amp;row=1747&amp;col=6&amp;number=3.3&amp;sourceID=14","3.3")</f>
        <v>3.3</v>
      </c>
      <c r="G1747" s="4" t="str">
        <f>HYPERLINK("http://141.218.60.56/~jnz1568/getInfo.php?workbook=14_02.xlsx&amp;sheet=U0&amp;row=1747&amp;col=7&amp;number=0.00143&amp;sourceID=14","0.00143")</f>
        <v>0.00143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HYPERLINK("http://141.218.60.56/~jnz1568/getInfo.php?workbook=14_02.xlsx&amp;sheet=U0&amp;row=1748&amp;col=6&amp;number=3.4&amp;sourceID=14","3.4")</f>
        <v>3.4</v>
      </c>
      <c r="G1748" s="4" t="str">
        <f>HYPERLINK("http://141.218.60.56/~jnz1568/getInfo.php?workbook=14_02.xlsx&amp;sheet=U0&amp;row=1748&amp;col=7&amp;number=0.00143&amp;sourceID=14","0.00143")</f>
        <v>0.00143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HYPERLINK("http://141.218.60.56/~jnz1568/getInfo.php?workbook=14_02.xlsx&amp;sheet=U0&amp;row=1749&amp;col=6&amp;number=3.5&amp;sourceID=14","3.5")</f>
        <v>3.5</v>
      </c>
      <c r="G1749" s="4" t="str">
        <f>HYPERLINK("http://141.218.60.56/~jnz1568/getInfo.php?workbook=14_02.xlsx&amp;sheet=U0&amp;row=1749&amp;col=7&amp;number=0.00143&amp;sourceID=14","0.00143")</f>
        <v>0.00143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HYPERLINK("http://141.218.60.56/~jnz1568/getInfo.php?workbook=14_02.xlsx&amp;sheet=U0&amp;row=1750&amp;col=6&amp;number=3.6&amp;sourceID=14","3.6")</f>
        <v>3.6</v>
      </c>
      <c r="G1750" s="4" t="str">
        <f>HYPERLINK("http://141.218.60.56/~jnz1568/getInfo.php?workbook=14_02.xlsx&amp;sheet=U0&amp;row=1750&amp;col=7&amp;number=0.00143&amp;sourceID=14","0.00143")</f>
        <v>0.00143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HYPERLINK("http://141.218.60.56/~jnz1568/getInfo.php?workbook=14_02.xlsx&amp;sheet=U0&amp;row=1751&amp;col=6&amp;number=3.7&amp;sourceID=14","3.7")</f>
        <v>3.7</v>
      </c>
      <c r="G1751" s="4" t="str">
        <f>HYPERLINK("http://141.218.60.56/~jnz1568/getInfo.php?workbook=14_02.xlsx&amp;sheet=U0&amp;row=1751&amp;col=7&amp;number=0.00143&amp;sourceID=14","0.00143")</f>
        <v>0.00143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HYPERLINK("http://141.218.60.56/~jnz1568/getInfo.php?workbook=14_02.xlsx&amp;sheet=U0&amp;row=1752&amp;col=6&amp;number=3.8&amp;sourceID=14","3.8")</f>
        <v>3.8</v>
      </c>
      <c r="G1752" s="4" t="str">
        <f>HYPERLINK("http://141.218.60.56/~jnz1568/getInfo.php?workbook=14_02.xlsx&amp;sheet=U0&amp;row=1752&amp;col=7&amp;number=0.00143&amp;sourceID=14","0.00143")</f>
        <v>0.00143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HYPERLINK("http://141.218.60.56/~jnz1568/getInfo.php?workbook=14_02.xlsx&amp;sheet=U0&amp;row=1753&amp;col=6&amp;number=3.9&amp;sourceID=14","3.9")</f>
        <v>3.9</v>
      </c>
      <c r="G1753" s="4" t="str">
        <f>HYPERLINK("http://141.218.60.56/~jnz1568/getInfo.php?workbook=14_02.xlsx&amp;sheet=U0&amp;row=1753&amp;col=7&amp;number=0.00143&amp;sourceID=14","0.00143")</f>
        <v>0.00143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HYPERLINK("http://141.218.60.56/~jnz1568/getInfo.php?workbook=14_02.xlsx&amp;sheet=U0&amp;row=1754&amp;col=6&amp;number=4&amp;sourceID=14","4")</f>
        <v>4</v>
      </c>
      <c r="G1754" s="4" t="str">
        <f>HYPERLINK("http://141.218.60.56/~jnz1568/getInfo.php?workbook=14_02.xlsx&amp;sheet=U0&amp;row=1754&amp;col=7&amp;number=0.00143&amp;sourceID=14","0.00143")</f>
        <v>0.00143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HYPERLINK("http://141.218.60.56/~jnz1568/getInfo.php?workbook=14_02.xlsx&amp;sheet=U0&amp;row=1755&amp;col=6&amp;number=4.1&amp;sourceID=14","4.1")</f>
        <v>4.1</v>
      </c>
      <c r="G1755" s="4" t="str">
        <f>HYPERLINK("http://141.218.60.56/~jnz1568/getInfo.php?workbook=14_02.xlsx&amp;sheet=U0&amp;row=1755&amp;col=7&amp;number=0.00143&amp;sourceID=14","0.00143")</f>
        <v>0.00143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HYPERLINK("http://141.218.60.56/~jnz1568/getInfo.php?workbook=14_02.xlsx&amp;sheet=U0&amp;row=1756&amp;col=6&amp;number=4.2&amp;sourceID=14","4.2")</f>
        <v>4.2</v>
      </c>
      <c r="G1756" s="4" t="str">
        <f>HYPERLINK("http://141.218.60.56/~jnz1568/getInfo.php?workbook=14_02.xlsx&amp;sheet=U0&amp;row=1756&amp;col=7&amp;number=0.00143&amp;sourceID=14","0.00143")</f>
        <v>0.00143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HYPERLINK("http://141.218.60.56/~jnz1568/getInfo.php?workbook=14_02.xlsx&amp;sheet=U0&amp;row=1757&amp;col=6&amp;number=4.3&amp;sourceID=14","4.3")</f>
        <v>4.3</v>
      </c>
      <c r="G1757" s="4" t="str">
        <f>HYPERLINK("http://141.218.60.56/~jnz1568/getInfo.php?workbook=14_02.xlsx&amp;sheet=U0&amp;row=1757&amp;col=7&amp;number=0.00143&amp;sourceID=14","0.00143")</f>
        <v>0.00143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HYPERLINK("http://141.218.60.56/~jnz1568/getInfo.php?workbook=14_02.xlsx&amp;sheet=U0&amp;row=1758&amp;col=6&amp;number=4.4&amp;sourceID=14","4.4")</f>
        <v>4.4</v>
      </c>
      <c r="G1758" s="4" t="str">
        <f>HYPERLINK("http://141.218.60.56/~jnz1568/getInfo.php?workbook=14_02.xlsx&amp;sheet=U0&amp;row=1758&amp;col=7&amp;number=0.00143&amp;sourceID=14","0.00143")</f>
        <v>0.00143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HYPERLINK("http://141.218.60.56/~jnz1568/getInfo.php?workbook=14_02.xlsx&amp;sheet=U0&amp;row=1759&amp;col=6&amp;number=4.5&amp;sourceID=14","4.5")</f>
        <v>4.5</v>
      </c>
      <c r="G1759" s="4" t="str">
        <f>HYPERLINK("http://141.218.60.56/~jnz1568/getInfo.php?workbook=14_02.xlsx&amp;sheet=U0&amp;row=1759&amp;col=7&amp;number=0.00143&amp;sourceID=14","0.00143")</f>
        <v>0.00143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HYPERLINK("http://141.218.60.56/~jnz1568/getInfo.php?workbook=14_02.xlsx&amp;sheet=U0&amp;row=1760&amp;col=6&amp;number=4.6&amp;sourceID=14","4.6")</f>
        <v>4.6</v>
      </c>
      <c r="G1760" s="4" t="str">
        <f>HYPERLINK("http://141.218.60.56/~jnz1568/getInfo.php?workbook=14_02.xlsx&amp;sheet=U0&amp;row=1760&amp;col=7&amp;number=0.00143&amp;sourceID=14","0.00143")</f>
        <v>0.00143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HYPERLINK("http://141.218.60.56/~jnz1568/getInfo.php?workbook=14_02.xlsx&amp;sheet=U0&amp;row=1761&amp;col=6&amp;number=4.7&amp;sourceID=14","4.7")</f>
        <v>4.7</v>
      </c>
      <c r="G1761" s="4" t="str">
        <f>HYPERLINK("http://141.218.60.56/~jnz1568/getInfo.php?workbook=14_02.xlsx&amp;sheet=U0&amp;row=1761&amp;col=7&amp;number=0.00143&amp;sourceID=14","0.00143")</f>
        <v>0.00143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HYPERLINK("http://141.218.60.56/~jnz1568/getInfo.php?workbook=14_02.xlsx&amp;sheet=U0&amp;row=1762&amp;col=6&amp;number=4.8&amp;sourceID=14","4.8")</f>
        <v>4.8</v>
      </c>
      <c r="G1762" s="4" t="str">
        <f>HYPERLINK("http://141.218.60.56/~jnz1568/getInfo.php?workbook=14_02.xlsx&amp;sheet=U0&amp;row=1762&amp;col=7&amp;number=0.00143&amp;sourceID=14","0.00143")</f>
        <v>0.00143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HYPERLINK("http://141.218.60.56/~jnz1568/getInfo.php?workbook=14_02.xlsx&amp;sheet=U0&amp;row=1763&amp;col=6&amp;number=4.9&amp;sourceID=14","4.9")</f>
        <v>4.9</v>
      </c>
      <c r="G1763" s="4" t="str">
        <f>HYPERLINK("http://141.218.60.56/~jnz1568/getInfo.php?workbook=14_02.xlsx&amp;sheet=U0&amp;row=1763&amp;col=7&amp;number=0.00143&amp;sourceID=14","0.00143")</f>
        <v>0.00143</v>
      </c>
    </row>
    <row r="1764" spans="1:7">
      <c r="A1764" s="3">
        <v>14</v>
      </c>
      <c r="B1764" s="3">
        <v>2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HYPERLINK("http://141.218.60.56/~jnz1568/getInfo.php?workbook=14_02.xlsx&amp;sheet=U0&amp;row=1764&amp;col=6&amp;number=3&amp;sourceID=14","3")</f>
        <v>3</v>
      </c>
      <c r="G1764" s="4" t="str">
        <f>HYPERLINK("http://141.218.60.56/~jnz1568/getInfo.php?workbook=14_02.xlsx&amp;sheet=U0&amp;row=1764&amp;col=7&amp;number=0.00177&amp;sourceID=14","0.00177")</f>
        <v>0.00177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HYPERLINK("http://141.218.60.56/~jnz1568/getInfo.php?workbook=14_02.xlsx&amp;sheet=U0&amp;row=1765&amp;col=6&amp;number=3.1&amp;sourceID=14","3.1")</f>
        <v>3.1</v>
      </c>
      <c r="G1765" s="4" t="str">
        <f>HYPERLINK("http://141.218.60.56/~jnz1568/getInfo.php?workbook=14_02.xlsx&amp;sheet=U0&amp;row=1765&amp;col=7&amp;number=0.00177&amp;sourceID=14","0.00177")</f>
        <v>0.00177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HYPERLINK("http://141.218.60.56/~jnz1568/getInfo.php?workbook=14_02.xlsx&amp;sheet=U0&amp;row=1766&amp;col=6&amp;number=3.2&amp;sourceID=14","3.2")</f>
        <v>3.2</v>
      </c>
      <c r="G1766" s="4" t="str">
        <f>HYPERLINK("http://141.218.60.56/~jnz1568/getInfo.php?workbook=14_02.xlsx&amp;sheet=U0&amp;row=1766&amp;col=7&amp;number=0.00177&amp;sourceID=14","0.00177")</f>
        <v>0.00177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HYPERLINK("http://141.218.60.56/~jnz1568/getInfo.php?workbook=14_02.xlsx&amp;sheet=U0&amp;row=1767&amp;col=6&amp;number=3.3&amp;sourceID=14","3.3")</f>
        <v>3.3</v>
      </c>
      <c r="G1767" s="4" t="str">
        <f>HYPERLINK("http://141.218.60.56/~jnz1568/getInfo.php?workbook=14_02.xlsx&amp;sheet=U0&amp;row=1767&amp;col=7&amp;number=0.00177&amp;sourceID=14","0.00177")</f>
        <v>0.00177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HYPERLINK("http://141.218.60.56/~jnz1568/getInfo.php?workbook=14_02.xlsx&amp;sheet=U0&amp;row=1768&amp;col=6&amp;number=3.4&amp;sourceID=14","3.4")</f>
        <v>3.4</v>
      </c>
      <c r="G1768" s="4" t="str">
        <f>HYPERLINK("http://141.218.60.56/~jnz1568/getInfo.php?workbook=14_02.xlsx&amp;sheet=U0&amp;row=1768&amp;col=7&amp;number=0.00177&amp;sourceID=14","0.00177")</f>
        <v>0.00177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HYPERLINK("http://141.218.60.56/~jnz1568/getInfo.php?workbook=14_02.xlsx&amp;sheet=U0&amp;row=1769&amp;col=6&amp;number=3.5&amp;sourceID=14","3.5")</f>
        <v>3.5</v>
      </c>
      <c r="G1769" s="4" t="str">
        <f>HYPERLINK("http://141.218.60.56/~jnz1568/getInfo.php?workbook=14_02.xlsx&amp;sheet=U0&amp;row=1769&amp;col=7&amp;number=0.00177&amp;sourceID=14","0.00177")</f>
        <v>0.00177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HYPERLINK("http://141.218.60.56/~jnz1568/getInfo.php?workbook=14_02.xlsx&amp;sheet=U0&amp;row=1770&amp;col=6&amp;number=3.6&amp;sourceID=14","3.6")</f>
        <v>3.6</v>
      </c>
      <c r="G1770" s="4" t="str">
        <f>HYPERLINK("http://141.218.60.56/~jnz1568/getInfo.php?workbook=14_02.xlsx&amp;sheet=U0&amp;row=1770&amp;col=7&amp;number=0.00177&amp;sourceID=14","0.00177")</f>
        <v>0.00177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HYPERLINK("http://141.218.60.56/~jnz1568/getInfo.php?workbook=14_02.xlsx&amp;sheet=U0&amp;row=1771&amp;col=6&amp;number=3.7&amp;sourceID=14","3.7")</f>
        <v>3.7</v>
      </c>
      <c r="G1771" s="4" t="str">
        <f>HYPERLINK("http://141.218.60.56/~jnz1568/getInfo.php?workbook=14_02.xlsx&amp;sheet=U0&amp;row=1771&amp;col=7&amp;number=0.00177&amp;sourceID=14","0.00177")</f>
        <v>0.00177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HYPERLINK("http://141.218.60.56/~jnz1568/getInfo.php?workbook=14_02.xlsx&amp;sheet=U0&amp;row=1772&amp;col=6&amp;number=3.8&amp;sourceID=14","3.8")</f>
        <v>3.8</v>
      </c>
      <c r="G1772" s="4" t="str">
        <f>HYPERLINK("http://141.218.60.56/~jnz1568/getInfo.php?workbook=14_02.xlsx&amp;sheet=U0&amp;row=1772&amp;col=7&amp;number=0.00177&amp;sourceID=14","0.00177")</f>
        <v>0.00177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HYPERLINK("http://141.218.60.56/~jnz1568/getInfo.php?workbook=14_02.xlsx&amp;sheet=U0&amp;row=1773&amp;col=6&amp;number=3.9&amp;sourceID=14","3.9")</f>
        <v>3.9</v>
      </c>
      <c r="G1773" s="4" t="str">
        <f>HYPERLINK("http://141.218.60.56/~jnz1568/getInfo.php?workbook=14_02.xlsx&amp;sheet=U0&amp;row=1773&amp;col=7&amp;number=0.00177&amp;sourceID=14","0.00177")</f>
        <v>0.00177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HYPERLINK("http://141.218.60.56/~jnz1568/getInfo.php?workbook=14_02.xlsx&amp;sheet=U0&amp;row=1774&amp;col=6&amp;number=4&amp;sourceID=14","4")</f>
        <v>4</v>
      </c>
      <c r="G1774" s="4" t="str">
        <f>HYPERLINK("http://141.218.60.56/~jnz1568/getInfo.php?workbook=14_02.xlsx&amp;sheet=U0&amp;row=1774&amp;col=7&amp;number=0.00177&amp;sourceID=14","0.00177")</f>
        <v>0.00177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HYPERLINK("http://141.218.60.56/~jnz1568/getInfo.php?workbook=14_02.xlsx&amp;sheet=U0&amp;row=1775&amp;col=6&amp;number=4.1&amp;sourceID=14","4.1")</f>
        <v>4.1</v>
      </c>
      <c r="G1775" s="4" t="str">
        <f>HYPERLINK("http://141.218.60.56/~jnz1568/getInfo.php?workbook=14_02.xlsx&amp;sheet=U0&amp;row=1775&amp;col=7&amp;number=0.00177&amp;sourceID=14","0.00177")</f>
        <v>0.00177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HYPERLINK("http://141.218.60.56/~jnz1568/getInfo.php?workbook=14_02.xlsx&amp;sheet=U0&amp;row=1776&amp;col=6&amp;number=4.2&amp;sourceID=14","4.2")</f>
        <v>4.2</v>
      </c>
      <c r="G1776" s="4" t="str">
        <f>HYPERLINK("http://141.218.60.56/~jnz1568/getInfo.php?workbook=14_02.xlsx&amp;sheet=U0&amp;row=1776&amp;col=7&amp;number=0.00177&amp;sourceID=14","0.00177")</f>
        <v>0.00177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HYPERLINK("http://141.218.60.56/~jnz1568/getInfo.php?workbook=14_02.xlsx&amp;sheet=U0&amp;row=1777&amp;col=6&amp;number=4.3&amp;sourceID=14","4.3")</f>
        <v>4.3</v>
      </c>
      <c r="G1777" s="4" t="str">
        <f>HYPERLINK("http://141.218.60.56/~jnz1568/getInfo.php?workbook=14_02.xlsx&amp;sheet=U0&amp;row=1777&amp;col=7&amp;number=0.00177&amp;sourceID=14","0.00177")</f>
        <v>0.00177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HYPERLINK("http://141.218.60.56/~jnz1568/getInfo.php?workbook=14_02.xlsx&amp;sheet=U0&amp;row=1778&amp;col=6&amp;number=4.4&amp;sourceID=14","4.4")</f>
        <v>4.4</v>
      </c>
      <c r="G1778" s="4" t="str">
        <f>HYPERLINK("http://141.218.60.56/~jnz1568/getInfo.php?workbook=14_02.xlsx&amp;sheet=U0&amp;row=1778&amp;col=7&amp;number=0.00177&amp;sourceID=14","0.00177")</f>
        <v>0.00177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HYPERLINK("http://141.218.60.56/~jnz1568/getInfo.php?workbook=14_02.xlsx&amp;sheet=U0&amp;row=1779&amp;col=6&amp;number=4.5&amp;sourceID=14","4.5")</f>
        <v>4.5</v>
      </c>
      <c r="G1779" s="4" t="str">
        <f>HYPERLINK("http://141.218.60.56/~jnz1568/getInfo.php?workbook=14_02.xlsx&amp;sheet=U0&amp;row=1779&amp;col=7&amp;number=0.00177&amp;sourceID=14","0.00177")</f>
        <v>0.00177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HYPERLINK("http://141.218.60.56/~jnz1568/getInfo.php?workbook=14_02.xlsx&amp;sheet=U0&amp;row=1780&amp;col=6&amp;number=4.6&amp;sourceID=14","4.6")</f>
        <v>4.6</v>
      </c>
      <c r="G1780" s="4" t="str">
        <f>HYPERLINK("http://141.218.60.56/~jnz1568/getInfo.php?workbook=14_02.xlsx&amp;sheet=U0&amp;row=1780&amp;col=7&amp;number=0.00177&amp;sourceID=14","0.00177")</f>
        <v>0.00177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HYPERLINK("http://141.218.60.56/~jnz1568/getInfo.php?workbook=14_02.xlsx&amp;sheet=U0&amp;row=1781&amp;col=6&amp;number=4.7&amp;sourceID=14","4.7")</f>
        <v>4.7</v>
      </c>
      <c r="G1781" s="4" t="str">
        <f>HYPERLINK("http://141.218.60.56/~jnz1568/getInfo.php?workbook=14_02.xlsx&amp;sheet=U0&amp;row=1781&amp;col=7&amp;number=0.00177&amp;sourceID=14","0.00177")</f>
        <v>0.00177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HYPERLINK("http://141.218.60.56/~jnz1568/getInfo.php?workbook=14_02.xlsx&amp;sheet=U0&amp;row=1782&amp;col=6&amp;number=4.8&amp;sourceID=14","4.8")</f>
        <v>4.8</v>
      </c>
      <c r="G1782" s="4" t="str">
        <f>HYPERLINK("http://141.218.60.56/~jnz1568/getInfo.php?workbook=14_02.xlsx&amp;sheet=U0&amp;row=1782&amp;col=7&amp;number=0.00177&amp;sourceID=14","0.00177")</f>
        <v>0.00177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HYPERLINK("http://141.218.60.56/~jnz1568/getInfo.php?workbook=14_02.xlsx&amp;sheet=U0&amp;row=1783&amp;col=6&amp;number=4.9&amp;sourceID=14","4.9")</f>
        <v>4.9</v>
      </c>
      <c r="G1783" s="4" t="str">
        <f>HYPERLINK("http://141.218.60.56/~jnz1568/getInfo.php?workbook=14_02.xlsx&amp;sheet=U0&amp;row=1783&amp;col=7&amp;number=0.00177&amp;sourceID=14","0.00177")</f>
        <v>0.00177</v>
      </c>
    </row>
    <row r="1784" spans="1:7">
      <c r="A1784" s="3">
        <v>14</v>
      </c>
      <c r="B1784" s="3">
        <v>2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HYPERLINK("http://141.218.60.56/~jnz1568/getInfo.php?workbook=14_02.xlsx&amp;sheet=U0&amp;row=1784&amp;col=6&amp;number=3&amp;sourceID=14","3")</f>
        <v>3</v>
      </c>
      <c r="G1784" s="4" t="str">
        <f>HYPERLINK("http://141.218.60.56/~jnz1568/getInfo.php?workbook=14_02.xlsx&amp;sheet=U0&amp;row=1784&amp;col=7&amp;number=0.00257&amp;sourceID=14","0.00257")</f>
        <v>0.00257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HYPERLINK("http://141.218.60.56/~jnz1568/getInfo.php?workbook=14_02.xlsx&amp;sheet=U0&amp;row=1785&amp;col=6&amp;number=3.1&amp;sourceID=14","3.1")</f>
        <v>3.1</v>
      </c>
      <c r="G1785" s="4" t="str">
        <f>HYPERLINK("http://141.218.60.56/~jnz1568/getInfo.php?workbook=14_02.xlsx&amp;sheet=U0&amp;row=1785&amp;col=7&amp;number=0.00257&amp;sourceID=14","0.00257")</f>
        <v>0.00257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HYPERLINK("http://141.218.60.56/~jnz1568/getInfo.php?workbook=14_02.xlsx&amp;sheet=U0&amp;row=1786&amp;col=6&amp;number=3.2&amp;sourceID=14","3.2")</f>
        <v>3.2</v>
      </c>
      <c r="G1786" s="4" t="str">
        <f>HYPERLINK("http://141.218.60.56/~jnz1568/getInfo.php?workbook=14_02.xlsx&amp;sheet=U0&amp;row=1786&amp;col=7&amp;number=0.00257&amp;sourceID=14","0.00257")</f>
        <v>0.00257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HYPERLINK("http://141.218.60.56/~jnz1568/getInfo.php?workbook=14_02.xlsx&amp;sheet=U0&amp;row=1787&amp;col=6&amp;number=3.3&amp;sourceID=14","3.3")</f>
        <v>3.3</v>
      </c>
      <c r="G1787" s="4" t="str">
        <f>HYPERLINK("http://141.218.60.56/~jnz1568/getInfo.php?workbook=14_02.xlsx&amp;sheet=U0&amp;row=1787&amp;col=7&amp;number=0.00257&amp;sourceID=14","0.00257")</f>
        <v>0.00257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HYPERLINK("http://141.218.60.56/~jnz1568/getInfo.php?workbook=14_02.xlsx&amp;sheet=U0&amp;row=1788&amp;col=6&amp;number=3.4&amp;sourceID=14","3.4")</f>
        <v>3.4</v>
      </c>
      <c r="G1788" s="4" t="str">
        <f>HYPERLINK("http://141.218.60.56/~jnz1568/getInfo.php?workbook=14_02.xlsx&amp;sheet=U0&amp;row=1788&amp;col=7&amp;number=0.00257&amp;sourceID=14","0.00257")</f>
        <v>0.00257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HYPERLINK("http://141.218.60.56/~jnz1568/getInfo.php?workbook=14_02.xlsx&amp;sheet=U0&amp;row=1789&amp;col=6&amp;number=3.5&amp;sourceID=14","3.5")</f>
        <v>3.5</v>
      </c>
      <c r="G1789" s="4" t="str">
        <f>HYPERLINK("http://141.218.60.56/~jnz1568/getInfo.php?workbook=14_02.xlsx&amp;sheet=U0&amp;row=1789&amp;col=7&amp;number=0.00257&amp;sourceID=14","0.00257")</f>
        <v>0.00257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HYPERLINK("http://141.218.60.56/~jnz1568/getInfo.php?workbook=14_02.xlsx&amp;sheet=U0&amp;row=1790&amp;col=6&amp;number=3.6&amp;sourceID=14","3.6")</f>
        <v>3.6</v>
      </c>
      <c r="G1790" s="4" t="str">
        <f>HYPERLINK("http://141.218.60.56/~jnz1568/getInfo.php?workbook=14_02.xlsx&amp;sheet=U0&amp;row=1790&amp;col=7&amp;number=0.00257&amp;sourceID=14","0.00257")</f>
        <v>0.00257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HYPERLINK("http://141.218.60.56/~jnz1568/getInfo.php?workbook=14_02.xlsx&amp;sheet=U0&amp;row=1791&amp;col=6&amp;number=3.7&amp;sourceID=14","3.7")</f>
        <v>3.7</v>
      </c>
      <c r="G1791" s="4" t="str">
        <f>HYPERLINK("http://141.218.60.56/~jnz1568/getInfo.php?workbook=14_02.xlsx&amp;sheet=U0&amp;row=1791&amp;col=7&amp;number=0.00257&amp;sourceID=14","0.00257")</f>
        <v>0.00257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HYPERLINK("http://141.218.60.56/~jnz1568/getInfo.php?workbook=14_02.xlsx&amp;sheet=U0&amp;row=1792&amp;col=6&amp;number=3.8&amp;sourceID=14","3.8")</f>
        <v>3.8</v>
      </c>
      <c r="G1792" s="4" t="str">
        <f>HYPERLINK("http://141.218.60.56/~jnz1568/getInfo.php?workbook=14_02.xlsx&amp;sheet=U0&amp;row=1792&amp;col=7&amp;number=0.00257&amp;sourceID=14","0.00257")</f>
        <v>0.00257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HYPERLINK("http://141.218.60.56/~jnz1568/getInfo.php?workbook=14_02.xlsx&amp;sheet=U0&amp;row=1793&amp;col=6&amp;number=3.9&amp;sourceID=14","3.9")</f>
        <v>3.9</v>
      </c>
      <c r="G1793" s="4" t="str">
        <f>HYPERLINK("http://141.218.60.56/~jnz1568/getInfo.php?workbook=14_02.xlsx&amp;sheet=U0&amp;row=1793&amp;col=7&amp;number=0.00257&amp;sourceID=14","0.00257")</f>
        <v>0.00257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HYPERLINK("http://141.218.60.56/~jnz1568/getInfo.php?workbook=14_02.xlsx&amp;sheet=U0&amp;row=1794&amp;col=6&amp;number=4&amp;sourceID=14","4")</f>
        <v>4</v>
      </c>
      <c r="G1794" s="4" t="str">
        <f>HYPERLINK("http://141.218.60.56/~jnz1568/getInfo.php?workbook=14_02.xlsx&amp;sheet=U0&amp;row=1794&amp;col=7&amp;number=0.00257&amp;sourceID=14","0.00257")</f>
        <v>0.00257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HYPERLINK("http://141.218.60.56/~jnz1568/getInfo.php?workbook=14_02.xlsx&amp;sheet=U0&amp;row=1795&amp;col=6&amp;number=4.1&amp;sourceID=14","4.1")</f>
        <v>4.1</v>
      </c>
      <c r="G1795" s="4" t="str">
        <f>HYPERLINK("http://141.218.60.56/~jnz1568/getInfo.php?workbook=14_02.xlsx&amp;sheet=U0&amp;row=1795&amp;col=7&amp;number=0.00257&amp;sourceID=14","0.00257")</f>
        <v>0.00257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HYPERLINK("http://141.218.60.56/~jnz1568/getInfo.php?workbook=14_02.xlsx&amp;sheet=U0&amp;row=1796&amp;col=6&amp;number=4.2&amp;sourceID=14","4.2")</f>
        <v>4.2</v>
      </c>
      <c r="G1796" s="4" t="str">
        <f>HYPERLINK("http://141.218.60.56/~jnz1568/getInfo.php?workbook=14_02.xlsx&amp;sheet=U0&amp;row=1796&amp;col=7&amp;number=0.00257&amp;sourceID=14","0.00257")</f>
        <v>0.00257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HYPERLINK("http://141.218.60.56/~jnz1568/getInfo.php?workbook=14_02.xlsx&amp;sheet=U0&amp;row=1797&amp;col=6&amp;number=4.3&amp;sourceID=14","4.3")</f>
        <v>4.3</v>
      </c>
      <c r="G1797" s="4" t="str">
        <f>HYPERLINK("http://141.218.60.56/~jnz1568/getInfo.php?workbook=14_02.xlsx&amp;sheet=U0&amp;row=1797&amp;col=7&amp;number=0.00257&amp;sourceID=14","0.00257")</f>
        <v>0.00257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HYPERLINK("http://141.218.60.56/~jnz1568/getInfo.php?workbook=14_02.xlsx&amp;sheet=U0&amp;row=1798&amp;col=6&amp;number=4.4&amp;sourceID=14","4.4")</f>
        <v>4.4</v>
      </c>
      <c r="G1798" s="4" t="str">
        <f>HYPERLINK("http://141.218.60.56/~jnz1568/getInfo.php?workbook=14_02.xlsx&amp;sheet=U0&amp;row=1798&amp;col=7&amp;number=0.00257&amp;sourceID=14","0.00257")</f>
        <v>0.00257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HYPERLINK("http://141.218.60.56/~jnz1568/getInfo.php?workbook=14_02.xlsx&amp;sheet=U0&amp;row=1799&amp;col=6&amp;number=4.5&amp;sourceID=14","4.5")</f>
        <v>4.5</v>
      </c>
      <c r="G1799" s="4" t="str">
        <f>HYPERLINK("http://141.218.60.56/~jnz1568/getInfo.php?workbook=14_02.xlsx&amp;sheet=U0&amp;row=1799&amp;col=7&amp;number=0.00257&amp;sourceID=14","0.00257")</f>
        <v>0.00257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HYPERLINK("http://141.218.60.56/~jnz1568/getInfo.php?workbook=14_02.xlsx&amp;sheet=U0&amp;row=1800&amp;col=6&amp;number=4.6&amp;sourceID=14","4.6")</f>
        <v>4.6</v>
      </c>
      <c r="G1800" s="4" t="str">
        <f>HYPERLINK("http://141.218.60.56/~jnz1568/getInfo.php?workbook=14_02.xlsx&amp;sheet=U0&amp;row=1800&amp;col=7&amp;number=0.00257&amp;sourceID=14","0.00257")</f>
        <v>0.00257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HYPERLINK("http://141.218.60.56/~jnz1568/getInfo.php?workbook=14_02.xlsx&amp;sheet=U0&amp;row=1801&amp;col=6&amp;number=4.7&amp;sourceID=14","4.7")</f>
        <v>4.7</v>
      </c>
      <c r="G1801" s="4" t="str">
        <f>HYPERLINK("http://141.218.60.56/~jnz1568/getInfo.php?workbook=14_02.xlsx&amp;sheet=U0&amp;row=1801&amp;col=7&amp;number=0.00257&amp;sourceID=14","0.00257")</f>
        <v>0.00257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HYPERLINK("http://141.218.60.56/~jnz1568/getInfo.php?workbook=14_02.xlsx&amp;sheet=U0&amp;row=1802&amp;col=6&amp;number=4.8&amp;sourceID=14","4.8")</f>
        <v>4.8</v>
      </c>
      <c r="G1802" s="4" t="str">
        <f>HYPERLINK("http://141.218.60.56/~jnz1568/getInfo.php?workbook=14_02.xlsx&amp;sheet=U0&amp;row=1802&amp;col=7&amp;number=0.00257&amp;sourceID=14","0.00257")</f>
        <v>0.00257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HYPERLINK("http://141.218.60.56/~jnz1568/getInfo.php?workbook=14_02.xlsx&amp;sheet=U0&amp;row=1803&amp;col=6&amp;number=4.9&amp;sourceID=14","4.9")</f>
        <v>4.9</v>
      </c>
      <c r="G1803" s="4" t="str">
        <f>HYPERLINK("http://141.218.60.56/~jnz1568/getInfo.php?workbook=14_02.xlsx&amp;sheet=U0&amp;row=1803&amp;col=7&amp;number=0.00257&amp;sourceID=14","0.00257")</f>
        <v>0.00257</v>
      </c>
    </row>
    <row r="1804" spans="1:7">
      <c r="A1804" s="3">
        <v>14</v>
      </c>
      <c r="B1804" s="3">
        <v>2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HYPERLINK("http://141.218.60.56/~jnz1568/getInfo.php?workbook=14_02.xlsx&amp;sheet=U0&amp;row=1804&amp;col=6&amp;number=3&amp;sourceID=14","3")</f>
        <v>3</v>
      </c>
      <c r="G1804" s="4" t="str">
        <f>HYPERLINK("http://141.218.60.56/~jnz1568/getInfo.php?workbook=14_02.xlsx&amp;sheet=U0&amp;row=1804&amp;col=7&amp;number=0.00169&amp;sourceID=14","0.00169")</f>
        <v>0.00169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HYPERLINK("http://141.218.60.56/~jnz1568/getInfo.php?workbook=14_02.xlsx&amp;sheet=U0&amp;row=1805&amp;col=6&amp;number=3.1&amp;sourceID=14","3.1")</f>
        <v>3.1</v>
      </c>
      <c r="G1805" s="4" t="str">
        <f>HYPERLINK("http://141.218.60.56/~jnz1568/getInfo.php?workbook=14_02.xlsx&amp;sheet=U0&amp;row=1805&amp;col=7&amp;number=0.00169&amp;sourceID=14","0.00169")</f>
        <v>0.00169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HYPERLINK("http://141.218.60.56/~jnz1568/getInfo.php?workbook=14_02.xlsx&amp;sheet=U0&amp;row=1806&amp;col=6&amp;number=3.2&amp;sourceID=14","3.2")</f>
        <v>3.2</v>
      </c>
      <c r="G1806" s="4" t="str">
        <f>HYPERLINK("http://141.218.60.56/~jnz1568/getInfo.php?workbook=14_02.xlsx&amp;sheet=U0&amp;row=1806&amp;col=7&amp;number=0.00169&amp;sourceID=14","0.00169")</f>
        <v>0.00169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HYPERLINK("http://141.218.60.56/~jnz1568/getInfo.php?workbook=14_02.xlsx&amp;sheet=U0&amp;row=1807&amp;col=6&amp;number=3.3&amp;sourceID=14","3.3")</f>
        <v>3.3</v>
      </c>
      <c r="G1807" s="4" t="str">
        <f>HYPERLINK("http://141.218.60.56/~jnz1568/getInfo.php?workbook=14_02.xlsx&amp;sheet=U0&amp;row=1807&amp;col=7&amp;number=0.00169&amp;sourceID=14","0.00169")</f>
        <v>0.00169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HYPERLINK("http://141.218.60.56/~jnz1568/getInfo.php?workbook=14_02.xlsx&amp;sheet=U0&amp;row=1808&amp;col=6&amp;number=3.4&amp;sourceID=14","3.4")</f>
        <v>3.4</v>
      </c>
      <c r="G1808" s="4" t="str">
        <f>HYPERLINK("http://141.218.60.56/~jnz1568/getInfo.php?workbook=14_02.xlsx&amp;sheet=U0&amp;row=1808&amp;col=7&amp;number=0.00169&amp;sourceID=14","0.00169")</f>
        <v>0.00169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HYPERLINK("http://141.218.60.56/~jnz1568/getInfo.php?workbook=14_02.xlsx&amp;sheet=U0&amp;row=1809&amp;col=6&amp;number=3.5&amp;sourceID=14","3.5")</f>
        <v>3.5</v>
      </c>
      <c r="G1809" s="4" t="str">
        <f>HYPERLINK("http://141.218.60.56/~jnz1568/getInfo.php?workbook=14_02.xlsx&amp;sheet=U0&amp;row=1809&amp;col=7&amp;number=0.00169&amp;sourceID=14","0.00169")</f>
        <v>0.00169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HYPERLINK("http://141.218.60.56/~jnz1568/getInfo.php?workbook=14_02.xlsx&amp;sheet=U0&amp;row=1810&amp;col=6&amp;number=3.6&amp;sourceID=14","3.6")</f>
        <v>3.6</v>
      </c>
      <c r="G1810" s="4" t="str">
        <f>HYPERLINK("http://141.218.60.56/~jnz1568/getInfo.php?workbook=14_02.xlsx&amp;sheet=U0&amp;row=1810&amp;col=7&amp;number=0.00169&amp;sourceID=14","0.00169")</f>
        <v>0.00169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HYPERLINK("http://141.218.60.56/~jnz1568/getInfo.php?workbook=14_02.xlsx&amp;sheet=U0&amp;row=1811&amp;col=6&amp;number=3.7&amp;sourceID=14","3.7")</f>
        <v>3.7</v>
      </c>
      <c r="G1811" s="4" t="str">
        <f>HYPERLINK("http://141.218.60.56/~jnz1568/getInfo.php?workbook=14_02.xlsx&amp;sheet=U0&amp;row=1811&amp;col=7&amp;number=0.00169&amp;sourceID=14","0.00169")</f>
        <v>0.00169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HYPERLINK("http://141.218.60.56/~jnz1568/getInfo.php?workbook=14_02.xlsx&amp;sheet=U0&amp;row=1812&amp;col=6&amp;number=3.8&amp;sourceID=14","3.8")</f>
        <v>3.8</v>
      </c>
      <c r="G1812" s="4" t="str">
        <f>HYPERLINK("http://141.218.60.56/~jnz1568/getInfo.php?workbook=14_02.xlsx&amp;sheet=U0&amp;row=1812&amp;col=7&amp;number=0.00169&amp;sourceID=14","0.00169")</f>
        <v>0.00169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HYPERLINK("http://141.218.60.56/~jnz1568/getInfo.php?workbook=14_02.xlsx&amp;sheet=U0&amp;row=1813&amp;col=6&amp;number=3.9&amp;sourceID=14","3.9")</f>
        <v>3.9</v>
      </c>
      <c r="G1813" s="4" t="str">
        <f>HYPERLINK("http://141.218.60.56/~jnz1568/getInfo.php?workbook=14_02.xlsx&amp;sheet=U0&amp;row=1813&amp;col=7&amp;number=0.00169&amp;sourceID=14","0.00169")</f>
        <v>0.00169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HYPERLINK("http://141.218.60.56/~jnz1568/getInfo.php?workbook=14_02.xlsx&amp;sheet=U0&amp;row=1814&amp;col=6&amp;number=4&amp;sourceID=14","4")</f>
        <v>4</v>
      </c>
      <c r="G1814" s="4" t="str">
        <f>HYPERLINK("http://141.218.60.56/~jnz1568/getInfo.php?workbook=14_02.xlsx&amp;sheet=U0&amp;row=1814&amp;col=7&amp;number=0.00169&amp;sourceID=14","0.00169")</f>
        <v>0.00169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HYPERLINK("http://141.218.60.56/~jnz1568/getInfo.php?workbook=14_02.xlsx&amp;sheet=U0&amp;row=1815&amp;col=6&amp;number=4.1&amp;sourceID=14","4.1")</f>
        <v>4.1</v>
      </c>
      <c r="G1815" s="4" t="str">
        <f>HYPERLINK("http://141.218.60.56/~jnz1568/getInfo.php?workbook=14_02.xlsx&amp;sheet=U0&amp;row=1815&amp;col=7&amp;number=0.00169&amp;sourceID=14","0.00169")</f>
        <v>0.00169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HYPERLINK("http://141.218.60.56/~jnz1568/getInfo.php?workbook=14_02.xlsx&amp;sheet=U0&amp;row=1816&amp;col=6&amp;number=4.2&amp;sourceID=14","4.2")</f>
        <v>4.2</v>
      </c>
      <c r="G1816" s="4" t="str">
        <f>HYPERLINK("http://141.218.60.56/~jnz1568/getInfo.php?workbook=14_02.xlsx&amp;sheet=U0&amp;row=1816&amp;col=7&amp;number=0.00169&amp;sourceID=14","0.00169")</f>
        <v>0.00169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HYPERLINK("http://141.218.60.56/~jnz1568/getInfo.php?workbook=14_02.xlsx&amp;sheet=U0&amp;row=1817&amp;col=6&amp;number=4.3&amp;sourceID=14","4.3")</f>
        <v>4.3</v>
      </c>
      <c r="G1817" s="4" t="str">
        <f>HYPERLINK("http://141.218.60.56/~jnz1568/getInfo.php?workbook=14_02.xlsx&amp;sheet=U0&amp;row=1817&amp;col=7&amp;number=0.00169&amp;sourceID=14","0.00169")</f>
        <v>0.00169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HYPERLINK("http://141.218.60.56/~jnz1568/getInfo.php?workbook=14_02.xlsx&amp;sheet=U0&amp;row=1818&amp;col=6&amp;number=4.4&amp;sourceID=14","4.4")</f>
        <v>4.4</v>
      </c>
      <c r="G1818" s="4" t="str">
        <f>HYPERLINK("http://141.218.60.56/~jnz1568/getInfo.php?workbook=14_02.xlsx&amp;sheet=U0&amp;row=1818&amp;col=7&amp;number=0.00169&amp;sourceID=14","0.00169")</f>
        <v>0.00169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HYPERLINK("http://141.218.60.56/~jnz1568/getInfo.php?workbook=14_02.xlsx&amp;sheet=U0&amp;row=1819&amp;col=6&amp;number=4.5&amp;sourceID=14","4.5")</f>
        <v>4.5</v>
      </c>
      <c r="G1819" s="4" t="str">
        <f>HYPERLINK("http://141.218.60.56/~jnz1568/getInfo.php?workbook=14_02.xlsx&amp;sheet=U0&amp;row=1819&amp;col=7&amp;number=0.00169&amp;sourceID=14","0.00169")</f>
        <v>0.00169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HYPERLINK("http://141.218.60.56/~jnz1568/getInfo.php?workbook=14_02.xlsx&amp;sheet=U0&amp;row=1820&amp;col=6&amp;number=4.6&amp;sourceID=14","4.6")</f>
        <v>4.6</v>
      </c>
      <c r="G1820" s="4" t="str">
        <f>HYPERLINK("http://141.218.60.56/~jnz1568/getInfo.php?workbook=14_02.xlsx&amp;sheet=U0&amp;row=1820&amp;col=7&amp;number=0.00169&amp;sourceID=14","0.00169")</f>
        <v>0.00169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HYPERLINK("http://141.218.60.56/~jnz1568/getInfo.php?workbook=14_02.xlsx&amp;sheet=U0&amp;row=1821&amp;col=6&amp;number=4.7&amp;sourceID=14","4.7")</f>
        <v>4.7</v>
      </c>
      <c r="G1821" s="4" t="str">
        <f>HYPERLINK("http://141.218.60.56/~jnz1568/getInfo.php?workbook=14_02.xlsx&amp;sheet=U0&amp;row=1821&amp;col=7&amp;number=0.00169&amp;sourceID=14","0.00169")</f>
        <v>0.00169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HYPERLINK("http://141.218.60.56/~jnz1568/getInfo.php?workbook=14_02.xlsx&amp;sheet=U0&amp;row=1822&amp;col=6&amp;number=4.8&amp;sourceID=14","4.8")</f>
        <v>4.8</v>
      </c>
      <c r="G1822" s="4" t="str">
        <f>HYPERLINK("http://141.218.60.56/~jnz1568/getInfo.php?workbook=14_02.xlsx&amp;sheet=U0&amp;row=1822&amp;col=7&amp;number=0.00169&amp;sourceID=14","0.00169")</f>
        <v>0.00169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HYPERLINK("http://141.218.60.56/~jnz1568/getInfo.php?workbook=14_02.xlsx&amp;sheet=U0&amp;row=1823&amp;col=6&amp;number=4.9&amp;sourceID=14","4.9")</f>
        <v>4.9</v>
      </c>
      <c r="G1823" s="4" t="str">
        <f>HYPERLINK("http://141.218.60.56/~jnz1568/getInfo.php?workbook=14_02.xlsx&amp;sheet=U0&amp;row=1823&amp;col=7&amp;number=0.00169&amp;sourceID=14","0.00169")</f>
        <v>0.00169</v>
      </c>
    </row>
    <row r="1824" spans="1:7">
      <c r="A1824" s="3">
        <v>14</v>
      </c>
      <c r="B1824" s="3">
        <v>2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HYPERLINK("http://141.218.60.56/~jnz1568/getInfo.php?workbook=14_02.xlsx&amp;sheet=U0&amp;row=1824&amp;col=6&amp;number=3&amp;sourceID=14","3")</f>
        <v>3</v>
      </c>
      <c r="G1824" s="4" t="str">
        <f>HYPERLINK("http://141.218.60.56/~jnz1568/getInfo.php?workbook=14_02.xlsx&amp;sheet=U0&amp;row=1824&amp;col=7&amp;number=0.000196&amp;sourceID=14","0.000196")</f>
        <v>0.000196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HYPERLINK("http://141.218.60.56/~jnz1568/getInfo.php?workbook=14_02.xlsx&amp;sheet=U0&amp;row=1825&amp;col=6&amp;number=3.1&amp;sourceID=14","3.1")</f>
        <v>3.1</v>
      </c>
      <c r="G1825" s="4" t="str">
        <f>HYPERLINK("http://141.218.60.56/~jnz1568/getInfo.php?workbook=14_02.xlsx&amp;sheet=U0&amp;row=1825&amp;col=7&amp;number=0.000196&amp;sourceID=14","0.000196")</f>
        <v>0.000196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HYPERLINK("http://141.218.60.56/~jnz1568/getInfo.php?workbook=14_02.xlsx&amp;sheet=U0&amp;row=1826&amp;col=6&amp;number=3.2&amp;sourceID=14","3.2")</f>
        <v>3.2</v>
      </c>
      <c r="G1826" s="4" t="str">
        <f>HYPERLINK("http://141.218.60.56/~jnz1568/getInfo.php?workbook=14_02.xlsx&amp;sheet=U0&amp;row=1826&amp;col=7&amp;number=0.000196&amp;sourceID=14","0.000196")</f>
        <v>0.000196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HYPERLINK("http://141.218.60.56/~jnz1568/getInfo.php?workbook=14_02.xlsx&amp;sheet=U0&amp;row=1827&amp;col=6&amp;number=3.3&amp;sourceID=14","3.3")</f>
        <v>3.3</v>
      </c>
      <c r="G1827" s="4" t="str">
        <f>HYPERLINK("http://141.218.60.56/~jnz1568/getInfo.php?workbook=14_02.xlsx&amp;sheet=U0&amp;row=1827&amp;col=7&amp;number=0.000196&amp;sourceID=14","0.000196")</f>
        <v>0.000196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HYPERLINK("http://141.218.60.56/~jnz1568/getInfo.php?workbook=14_02.xlsx&amp;sheet=U0&amp;row=1828&amp;col=6&amp;number=3.4&amp;sourceID=14","3.4")</f>
        <v>3.4</v>
      </c>
      <c r="G1828" s="4" t="str">
        <f>HYPERLINK("http://141.218.60.56/~jnz1568/getInfo.php?workbook=14_02.xlsx&amp;sheet=U0&amp;row=1828&amp;col=7&amp;number=0.000196&amp;sourceID=14","0.000196")</f>
        <v>0.000196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HYPERLINK("http://141.218.60.56/~jnz1568/getInfo.php?workbook=14_02.xlsx&amp;sheet=U0&amp;row=1829&amp;col=6&amp;number=3.5&amp;sourceID=14","3.5")</f>
        <v>3.5</v>
      </c>
      <c r="G1829" s="4" t="str">
        <f>HYPERLINK("http://141.218.60.56/~jnz1568/getInfo.php?workbook=14_02.xlsx&amp;sheet=U0&amp;row=1829&amp;col=7&amp;number=0.000196&amp;sourceID=14","0.000196")</f>
        <v>0.000196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HYPERLINK("http://141.218.60.56/~jnz1568/getInfo.php?workbook=14_02.xlsx&amp;sheet=U0&amp;row=1830&amp;col=6&amp;number=3.6&amp;sourceID=14","3.6")</f>
        <v>3.6</v>
      </c>
      <c r="G1830" s="4" t="str">
        <f>HYPERLINK("http://141.218.60.56/~jnz1568/getInfo.php?workbook=14_02.xlsx&amp;sheet=U0&amp;row=1830&amp;col=7&amp;number=0.000196&amp;sourceID=14","0.000196")</f>
        <v>0.000196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HYPERLINK("http://141.218.60.56/~jnz1568/getInfo.php?workbook=14_02.xlsx&amp;sheet=U0&amp;row=1831&amp;col=6&amp;number=3.7&amp;sourceID=14","3.7")</f>
        <v>3.7</v>
      </c>
      <c r="G1831" s="4" t="str">
        <f>HYPERLINK("http://141.218.60.56/~jnz1568/getInfo.php?workbook=14_02.xlsx&amp;sheet=U0&amp;row=1831&amp;col=7&amp;number=0.000196&amp;sourceID=14","0.000196")</f>
        <v>0.000196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HYPERLINK("http://141.218.60.56/~jnz1568/getInfo.php?workbook=14_02.xlsx&amp;sheet=U0&amp;row=1832&amp;col=6&amp;number=3.8&amp;sourceID=14","3.8")</f>
        <v>3.8</v>
      </c>
      <c r="G1832" s="4" t="str">
        <f>HYPERLINK("http://141.218.60.56/~jnz1568/getInfo.php?workbook=14_02.xlsx&amp;sheet=U0&amp;row=1832&amp;col=7&amp;number=0.000196&amp;sourceID=14","0.000196")</f>
        <v>0.000196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HYPERLINK("http://141.218.60.56/~jnz1568/getInfo.php?workbook=14_02.xlsx&amp;sheet=U0&amp;row=1833&amp;col=6&amp;number=3.9&amp;sourceID=14","3.9")</f>
        <v>3.9</v>
      </c>
      <c r="G1833" s="4" t="str">
        <f>HYPERLINK("http://141.218.60.56/~jnz1568/getInfo.php?workbook=14_02.xlsx&amp;sheet=U0&amp;row=1833&amp;col=7&amp;number=0.000196&amp;sourceID=14","0.000196")</f>
        <v>0.000196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HYPERLINK("http://141.218.60.56/~jnz1568/getInfo.php?workbook=14_02.xlsx&amp;sheet=U0&amp;row=1834&amp;col=6&amp;number=4&amp;sourceID=14","4")</f>
        <v>4</v>
      </c>
      <c r="G1834" s="4" t="str">
        <f>HYPERLINK("http://141.218.60.56/~jnz1568/getInfo.php?workbook=14_02.xlsx&amp;sheet=U0&amp;row=1834&amp;col=7&amp;number=0.000196&amp;sourceID=14","0.000196")</f>
        <v>0.000196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HYPERLINK("http://141.218.60.56/~jnz1568/getInfo.php?workbook=14_02.xlsx&amp;sheet=U0&amp;row=1835&amp;col=6&amp;number=4.1&amp;sourceID=14","4.1")</f>
        <v>4.1</v>
      </c>
      <c r="G1835" s="4" t="str">
        <f>HYPERLINK("http://141.218.60.56/~jnz1568/getInfo.php?workbook=14_02.xlsx&amp;sheet=U0&amp;row=1835&amp;col=7&amp;number=0.000196&amp;sourceID=14","0.000196")</f>
        <v>0.000196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HYPERLINK("http://141.218.60.56/~jnz1568/getInfo.php?workbook=14_02.xlsx&amp;sheet=U0&amp;row=1836&amp;col=6&amp;number=4.2&amp;sourceID=14","4.2")</f>
        <v>4.2</v>
      </c>
      <c r="G1836" s="4" t="str">
        <f>HYPERLINK("http://141.218.60.56/~jnz1568/getInfo.php?workbook=14_02.xlsx&amp;sheet=U0&amp;row=1836&amp;col=7&amp;number=0.000196&amp;sourceID=14","0.000196")</f>
        <v>0.000196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HYPERLINK("http://141.218.60.56/~jnz1568/getInfo.php?workbook=14_02.xlsx&amp;sheet=U0&amp;row=1837&amp;col=6&amp;number=4.3&amp;sourceID=14","4.3")</f>
        <v>4.3</v>
      </c>
      <c r="G1837" s="4" t="str">
        <f>HYPERLINK("http://141.218.60.56/~jnz1568/getInfo.php?workbook=14_02.xlsx&amp;sheet=U0&amp;row=1837&amp;col=7&amp;number=0.000196&amp;sourceID=14","0.000196")</f>
        <v>0.000196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HYPERLINK("http://141.218.60.56/~jnz1568/getInfo.php?workbook=14_02.xlsx&amp;sheet=U0&amp;row=1838&amp;col=6&amp;number=4.4&amp;sourceID=14","4.4")</f>
        <v>4.4</v>
      </c>
      <c r="G1838" s="4" t="str">
        <f>HYPERLINK("http://141.218.60.56/~jnz1568/getInfo.php?workbook=14_02.xlsx&amp;sheet=U0&amp;row=1838&amp;col=7&amp;number=0.000196&amp;sourceID=14","0.000196")</f>
        <v>0.000196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HYPERLINK("http://141.218.60.56/~jnz1568/getInfo.php?workbook=14_02.xlsx&amp;sheet=U0&amp;row=1839&amp;col=6&amp;number=4.5&amp;sourceID=14","4.5")</f>
        <v>4.5</v>
      </c>
      <c r="G1839" s="4" t="str">
        <f>HYPERLINK("http://141.218.60.56/~jnz1568/getInfo.php?workbook=14_02.xlsx&amp;sheet=U0&amp;row=1839&amp;col=7&amp;number=0.000196&amp;sourceID=14","0.000196")</f>
        <v>0.000196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HYPERLINK("http://141.218.60.56/~jnz1568/getInfo.php?workbook=14_02.xlsx&amp;sheet=U0&amp;row=1840&amp;col=6&amp;number=4.6&amp;sourceID=14","4.6")</f>
        <v>4.6</v>
      </c>
      <c r="G1840" s="4" t="str">
        <f>HYPERLINK("http://141.218.60.56/~jnz1568/getInfo.php?workbook=14_02.xlsx&amp;sheet=U0&amp;row=1840&amp;col=7&amp;number=0.000195&amp;sourceID=14","0.000195")</f>
        <v>0.000195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HYPERLINK("http://141.218.60.56/~jnz1568/getInfo.php?workbook=14_02.xlsx&amp;sheet=U0&amp;row=1841&amp;col=6&amp;number=4.7&amp;sourceID=14","4.7")</f>
        <v>4.7</v>
      </c>
      <c r="G1841" s="4" t="str">
        <f>HYPERLINK("http://141.218.60.56/~jnz1568/getInfo.php?workbook=14_02.xlsx&amp;sheet=U0&amp;row=1841&amp;col=7&amp;number=0.000195&amp;sourceID=14","0.000195")</f>
        <v>0.000195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HYPERLINK("http://141.218.60.56/~jnz1568/getInfo.php?workbook=14_02.xlsx&amp;sheet=U0&amp;row=1842&amp;col=6&amp;number=4.8&amp;sourceID=14","4.8")</f>
        <v>4.8</v>
      </c>
      <c r="G1842" s="4" t="str">
        <f>HYPERLINK("http://141.218.60.56/~jnz1568/getInfo.php?workbook=14_02.xlsx&amp;sheet=U0&amp;row=1842&amp;col=7&amp;number=0.000195&amp;sourceID=14","0.000195")</f>
        <v>0.000195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HYPERLINK("http://141.218.60.56/~jnz1568/getInfo.php?workbook=14_02.xlsx&amp;sheet=U0&amp;row=1843&amp;col=6&amp;number=4.9&amp;sourceID=14","4.9")</f>
        <v>4.9</v>
      </c>
      <c r="G1843" s="4" t="str">
        <f>HYPERLINK("http://141.218.60.56/~jnz1568/getInfo.php?workbook=14_02.xlsx&amp;sheet=U0&amp;row=1843&amp;col=7&amp;number=0.000195&amp;sourceID=14","0.000195")</f>
        <v>0.000195</v>
      </c>
    </row>
    <row r="1844" spans="1:7">
      <c r="A1844" s="3">
        <v>14</v>
      </c>
      <c r="B1844" s="3">
        <v>2</v>
      </c>
      <c r="C1844" s="3">
        <v>2</v>
      </c>
      <c r="D1844" s="3">
        <v>47</v>
      </c>
      <c r="E1844" s="3">
        <v>1</v>
      </c>
      <c r="F1844" s="4" t="str">
        <f>HYPERLINK("http://141.218.60.56/~jnz1568/getInfo.php?workbook=14_02.xlsx&amp;sheet=U0&amp;row=1844&amp;col=6&amp;number=3&amp;sourceID=14","3")</f>
        <v>3</v>
      </c>
      <c r="G1844" s="4" t="str">
        <f>HYPERLINK("http://141.218.60.56/~jnz1568/getInfo.php?workbook=14_02.xlsx&amp;sheet=U0&amp;row=1844&amp;col=7&amp;number=0.000245&amp;sourceID=14","0.000245")</f>
        <v>0.000245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HYPERLINK("http://141.218.60.56/~jnz1568/getInfo.php?workbook=14_02.xlsx&amp;sheet=U0&amp;row=1845&amp;col=6&amp;number=3.1&amp;sourceID=14","3.1")</f>
        <v>3.1</v>
      </c>
      <c r="G1845" s="4" t="str">
        <f>HYPERLINK("http://141.218.60.56/~jnz1568/getInfo.php?workbook=14_02.xlsx&amp;sheet=U0&amp;row=1845&amp;col=7&amp;number=0.000245&amp;sourceID=14","0.000245")</f>
        <v>0.000245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HYPERLINK("http://141.218.60.56/~jnz1568/getInfo.php?workbook=14_02.xlsx&amp;sheet=U0&amp;row=1846&amp;col=6&amp;number=3.2&amp;sourceID=14","3.2")</f>
        <v>3.2</v>
      </c>
      <c r="G1846" s="4" t="str">
        <f>HYPERLINK("http://141.218.60.56/~jnz1568/getInfo.php?workbook=14_02.xlsx&amp;sheet=U0&amp;row=1846&amp;col=7&amp;number=0.000245&amp;sourceID=14","0.000245")</f>
        <v>0.000245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HYPERLINK("http://141.218.60.56/~jnz1568/getInfo.php?workbook=14_02.xlsx&amp;sheet=U0&amp;row=1847&amp;col=6&amp;number=3.3&amp;sourceID=14","3.3")</f>
        <v>3.3</v>
      </c>
      <c r="G1847" s="4" t="str">
        <f>HYPERLINK("http://141.218.60.56/~jnz1568/getInfo.php?workbook=14_02.xlsx&amp;sheet=U0&amp;row=1847&amp;col=7&amp;number=0.000245&amp;sourceID=14","0.000245")</f>
        <v>0.000245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HYPERLINK("http://141.218.60.56/~jnz1568/getInfo.php?workbook=14_02.xlsx&amp;sheet=U0&amp;row=1848&amp;col=6&amp;number=3.4&amp;sourceID=14","3.4")</f>
        <v>3.4</v>
      </c>
      <c r="G1848" s="4" t="str">
        <f>HYPERLINK("http://141.218.60.56/~jnz1568/getInfo.php?workbook=14_02.xlsx&amp;sheet=U0&amp;row=1848&amp;col=7&amp;number=0.000245&amp;sourceID=14","0.000245")</f>
        <v>0.000245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HYPERLINK("http://141.218.60.56/~jnz1568/getInfo.php?workbook=14_02.xlsx&amp;sheet=U0&amp;row=1849&amp;col=6&amp;number=3.5&amp;sourceID=14","3.5")</f>
        <v>3.5</v>
      </c>
      <c r="G1849" s="4" t="str">
        <f>HYPERLINK("http://141.218.60.56/~jnz1568/getInfo.php?workbook=14_02.xlsx&amp;sheet=U0&amp;row=1849&amp;col=7&amp;number=0.000245&amp;sourceID=14","0.000245")</f>
        <v>0.000245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HYPERLINK("http://141.218.60.56/~jnz1568/getInfo.php?workbook=14_02.xlsx&amp;sheet=U0&amp;row=1850&amp;col=6&amp;number=3.6&amp;sourceID=14","3.6")</f>
        <v>3.6</v>
      </c>
      <c r="G1850" s="4" t="str">
        <f>HYPERLINK("http://141.218.60.56/~jnz1568/getInfo.php?workbook=14_02.xlsx&amp;sheet=U0&amp;row=1850&amp;col=7&amp;number=0.000245&amp;sourceID=14","0.000245")</f>
        <v>0.000245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HYPERLINK("http://141.218.60.56/~jnz1568/getInfo.php?workbook=14_02.xlsx&amp;sheet=U0&amp;row=1851&amp;col=6&amp;number=3.7&amp;sourceID=14","3.7")</f>
        <v>3.7</v>
      </c>
      <c r="G1851" s="4" t="str">
        <f>HYPERLINK("http://141.218.60.56/~jnz1568/getInfo.php?workbook=14_02.xlsx&amp;sheet=U0&amp;row=1851&amp;col=7&amp;number=0.000245&amp;sourceID=14","0.000245")</f>
        <v>0.000245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HYPERLINK("http://141.218.60.56/~jnz1568/getInfo.php?workbook=14_02.xlsx&amp;sheet=U0&amp;row=1852&amp;col=6&amp;number=3.8&amp;sourceID=14","3.8")</f>
        <v>3.8</v>
      </c>
      <c r="G1852" s="4" t="str">
        <f>HYPERLINK("http://141.218.60.56/~jnz1568/getInfo.php?workbook=14_02.xlsx&amp;sheet=U0&amp;row=1852&amp;col=7&amp;number=0.000245&amp;sourceID=14","0.000245")</f>
        <v>0.000245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HYPERLINK("http://141.218.60.56/~jnz1568/getInfo.php?workbook=14_02.xlsx&amp;sheet=U0&amp;row=1853&amp;col=6&amp;number=3.9&amp;sourceID=14","3.9")</f>
        <v>3.9</v>
      </c>
      <c r="G1853" s="4" t="str">
        <f>HYPERLINK("http://141.218.60.56/~jnz1568/getInfo.php?workbook=14_02.xlsx&amp;sheet=U0&amp;row=1853&amp;col=7&amp;number=0.000245&amp;sourceID=14","0.000245")</f>
        <v>0.000245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HYPERLINK("http://141.218.60.56/~jnz1568/getInfo.php?workbook=14_02.xlsx&amp;sheet=U0&amp;row=1854&amp;col=6&amp;number=4&amp;sourceID=14","4")</f>
        <v>4</v>
      </c>
      <c r="G1854" s="4" t="str">
        <f>HYPERLINK("http://141.218.60.56/~jnz1568/getInfo.php?workbook=14_02.xlsx&amp;sheet=U0&amp;row=1854&amp;col=7&amp;number=0.000245&amp;sourceID=14","0.000245")</f>
        <v>0.000245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HYPERLINK("http://141.218.60.56/~jnz1568/getInfo.php?workbook=14_02.xlsx&amp;sheet=U0&amp;row=1855&amp;col=6&amp;number=4.1&amp;sourceID=14","4.1")</f>
        <v>4.1</v>
      </c>
      <c r="G1855" s="4" t="str">
        <f>HYPERLINK("http://141.218.60.56/~jnz1568/getInfo.php?workbook=14_02.xlsx&amp;sheet=U0&amp;row=1855&amp;col=7&amp;number=0.000245&amp;sourceID=14","0.000245")</f>
        <v>0.000245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HYPERLINK("http://141.218.60.56/~jnz1568/getInfo.php?workbook=14_02.xlsx&amp;sheet=U0&amp;row=1856&amp;col=6&amp;number=4.2&amp;sourceID=14","4.2")</f>
        <v>4.2</v>
      </c>
      <c r="G1856" s="4" t="str">
        <f>HYPERLINK("http://141.218.60.56/~jnz1568/getInfo.php?workbook=14_02.xlsx&amp;sheet=U0&amp;row=1856&amp;col=7&amp;number=0.000245&amp;sourceID=14","0.000245")</f>
        <v>0.000245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HYPERLINK("http://141.218.60.56/~jnz1568/getInfo.php?workbook=14_02.xlsx&amp;sheet=U0&amp;row=1857&amp;col=6&amp;number=4.3&amp;sourceID=14","4.3")</f>
        <v>4.3</v>
      </c>
      <c r="G1857" s="4" t="str">
        <f>HYPERLINK("http://141.218.60.56/~jnz1568/getInfo.php?workbook=14_02.xlsx&amp;sheet=U0&amp;row=1857&amp;col=7&amp;number=0.000244&amp;sourceID=14","0.000244")</f>
        <v>0.000244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HYPERLINK("http://141.218.60.56/~jnz1568/getInfo.php?workbook=14_02.xlsx&amp;sheet=U0&amp;row=1858&amp;col=6&amp;number=4.4&amp;sourceID=14","4.4")</f>
        <v>4.4</v>
      </c>
      <c r="G1858" s="4" t="str">
        <f>HYPERLINK("http://141.218.60.56/~jnz1568/getInfo.php?workbook=14_02.xlsx&amp;sheet=U0&amp;row=1858&amp;col=7&amp;number=0.000244&amp;sourceID=14","0.000244")</f>
        <v>0.000244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HYPERLINK("http://141.218.60.56/~jnz1568/getInfo.php?workbook=14_02.xlsx&amp;sheet=U0&amp;row=1859&amp;col=6&amp;number=4.5&amp;sourceID=14","4.5")</f>
        <v>4.5</v>
      </c>
      <c r="G1859" s="4" t="str">
        <f>HYPERLINK("http://141.218.60.56/~jnz1568/getInfo.php?workbook=14_02.xlsx&amp;sheet=U0&amp;row=1859&amp;col=7&amp;number=0.000244&amp;sourceID=14","0.000244")</f>
        <v>0.000244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HYPERLINK("http://141.218.60.56/~jnz1568/getInfo.php?workbook=14_02.xlsx&amp;sheet=U0&amp;row=1860&amp;col=6&amp;number=4.6&amp;sourceID=14","4.6")</f>
        <v>4.6</v>
      </c>
      <c r="G1860" s="4" t="str">
        <f>HYPERLINK("http://141.218.60.56/~jnz1568/getInfo.php?workbook=14_02.xlsx&amp;sheet=U0&amp;row=1860&amp;col=7&amp;number=0.000244&amp;sourceID=14","0.000244")</f>
        <v>0.000244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HYPERLINK("http://141.218.60.56/~jnz1568/getInfo.php?workbook=14_02.xlsx&amp;sheet=U0&amp;row=1861&amp;col=6&amp;number=4.7&amp;sourceID=14","4.7")</f>
        <v>4.7</v>
      </c>
      <c r="G1861" s="4" t="str">
        <f>HYPERLINK("http://141.218.60.56/~jnz1568/getInfo.php?workbook=14_02.xlsx&amp;sheet=U0&amp;row=1861&amp;col=7&amp;number=0.000244&amp;sourceID=14","0.000244")</f>
        <v>0.000244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HYPERLINK("http://141.218.60.56/~jnz1568/getInfo.php?workbook=14_02.xlsx&amp;sheet=U0&amp;row=1862&amp;col=6&amp;number=4.8&amp;sourceID=14","4.8")</f>
        <v>4.8</v>
      </c>
      <c r="G1862" s="4" t="str">
        <f>HYPERLINK("http://141.218.60.56/~jnz1568/getInfo.php?workbook=14_02.xlsx&amp;sheet=U0&amp;row=1862&amp;col=7&amp;number=0.000243&amp;sourceID=14","0.000243")</f>
        <v>0.000243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HYPERLINK("http://141.218.60.56/~jnz1568/getInfo.php?workbook=14_02.xlsx&amp;sheet=U0&amp;row=1863&amp;col=6&amp;number=4.9&amp;sourceID=14","4.9")</f>
        <v>4.9</v>
      </c>
      <c r="G1863" s="4" t="str">
        <f>HYPERLINK("http://141.218.60.56/~jnz1568/getInfo.php?workbook=14_02.xlsx&amp;sheet=U0&amp;row=1863&amp;col=7&amp;number=0.000243&amp;sourceID=14","0.000243")</f>
        <v>0.000243</v>
      </c>
    </row>
    <row r="1864" spans="1:7">
      <c r="A1864" s="3">
        <v>14</v>
      </c>
      <c r="B1864" s="3">
        <v>2</v>
      </c>
      <c r="C1864" s="3">
        <v>2</v>
      </c>
      <c r="D1864" s="3">
        <v>48</v>
      </c>
      <c r="E1864" s="3">
        <v>1</v>
      </c>
      <c r="F1864" s="4" t="str">
        <f>HYPERLINK("http://141.218.60.56/~jnz1568/getInfo.php?workbook=14_02.xlsx&amp;sheet=U0&amp;row=1864&amp;col=6&amp;number=3&amp;sourceID=14","3")</f>
        <v>3</v>
      </c>
      <c r="G1864" s="4" t="str">
        <f>HYPERLINK("http://141.218.60.56/~jnz1568/getInfo.php?workbook=14_02.xlsx&amp;sheet=U0&amp;row=1864&amp;col=7&amp;number=0.000308&amp;sourceID=14","0.000308")</f>
        <v>0.000308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HYPERLINK("http://141.218.60.56/~jnz1568/getInfo.php?workbook=14_02.xlsx&amp;sheet=U0&amp;row=1865&amp;col=6&amp;number=3.1&amp;sourceID=14","3.1")</f>
        <v>3.1</v>
      </c>
      <c r="G1865" s="4" t="str">
        <f>HYPERLINK("http://141.218.60.56/~jnz1568/getInfo.php?workbook=14_02.xlsx&amp;sheet=U0&amp;row=1865&amp;col=7&amp;number=0.000308&amp;sourceID=14","0.000308")</f>
        <v>0.000308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HYPERLINK("http://141.218.60.56/~jnz1568/getInfo.php?workbook=14_02.xlsx&amp;sheet=U0&amp;row=1866&amp;col=6&amp;number=3.2&amp;sourceID=14","3.2")</f>
        <v>3.2</v>
      </c>
      <c r="G1866" s="4" t="str">
        <f>HYPERLINK("http://141.218.60.56/~jnz1568/getInfo.php?workbook=14_02.xlsx&amp;sheet=U0&amp;row=1866&amp;col=7&amp;number=0.000308&amp;sourceID=14","0.000308")</f>
        <v>0.000308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HYPERLINK("http://141.218.60.56/~jnz1568/getInfo.php?workbook=14_02.xlsx&amp;sheet=U0&amp;row=1867&amp;col=6&amp;number=3.3&amp;sourceID=14","3.3")</f>
        <v>3.3</v>
      </c>
      <c r="G1867" s="4" t="str">
        <f>HYPERLINK("http://141.218.60.56/~jnz1568/getInfo.php?workbook=14_02.xlsx&amp;sheet=U0&amp;row=1867&amp;col=7&amp;number=0.000308&amp;sourceID=14","0.000308")</f>
        <v>0.000308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HYPERLINK("http://141.218.60.56/~jnz1568/getInfo.php?workbook=14_02.xlsx&amp;sheet=U0&amp;row=1868&amp;col=6&amp;number=3.4&amp;sourceID=14","3.4")</f>
        <v>3.4</v>
      </c>
      <c r="G1868" s="4" t="str">
        <f>HYPERLINK("http://141.218.60.56/~jnz1568/getInfo.php?workbook=14_02.xlsx&amp;sheet=U0&amp;row=1868&amp;col=7&amp;number=0.000308&amp;sourceID=14","0.000308")</f>
        <v>0.000308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HYPERLINK("http://141.218.60.56/~jnz1568/getInfo.php?workbook=14_02.xlsx&amp;sheet=U0&amp;row=1869&amp;col=6&amp;number=3.5&amp;sourceID=14","3.5")</f>
        <v>3.5</v>
      </c>
      <c r="G1869" s="4" t="str">
        <f>HYPERLINK("http://141.218.60.56/~jnz1568/getInfo.php?workbook=14_02.xlsx&amp;sheet=U0&amp;row=1869&amp;col=7&amp;number=0.000308&amp;sourceID=14","0.000308")</f>
        <v>0.000308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HYPERLINK("http://141.218.60.56/~jnz1568/getInfo.php?workbook=14_02.xlsx&amp;sheet=U0&amp;row=1870&amp;col=6&amp;number=3.6&amp;sourceID=14","3.6")</f>
        <v>3.6</v>
      </c>
      <c r="G1870" s="4" t="str">
        <f>HYPERLINK("http://141.218.60.56/~jnz1568/getInfo.php?workbook=14_02.xlsx&amp;sheet=U0&amp;row=1870&amp;col=7&amp;number=0.000308&amp;sourceID=14","0.000308")</f>
        <v>0.000308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HYPERLINK("http://141.218.60.56/~jnz1568/getInfo.php?workbook=14_02.xlsx&amp;sheet=U0&amp;row=1871&amp;col=6&amp;number=3.7&amp;sourceID=14","3.7")</f>
        <v>3.7</v>
      </c>
      <c r="G1871" s="4" t="str">
        <f>HYPERLINK("http://141.218.60.56/~jnz1568/getInfo.php?workbook=14_02.xlsx&amp;sheet=U0&amp;row=1871&amp;col=7&amp;number=0.000308&amp;sourceID=14","0.000308")</f>
        <v>0.000308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HYPERLINK("http://141.218.60.56/~jnz1568/getInfo.php?workbook=14_02.xlsx&amp;sheet=U0&amp;row=1872&amp;col=6&amp;number=3.8&amp;sourceID=14","3.8")</f>
        <v>3.8</v>
      </c>
      <c r="G1872" s="4" t="str">
        <f>HYPERLINK("http://141.218.60.56/~jnz1568/getInfo.php?workbook=14_02.xlsx&amp;sheet=U0&amp;row=1872&amp;col=7&amp;number=0.000308&amp;sourceID=14","0.000308")</f>
        <v>0.000308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HYPERLINK("http://141.218.60.56/~jnz1568/getInfo.php?workbook=14_02.xlsx&amp;sheet=U0&amp;row=1873&amp;col=6&amp;number=3.9&amp;sourceID=14","3.9")</f>
        <v>3.9</v>
      </c>
      <c r="G1873" s="4" t="str">
        <f>HYPERLINK("http://141.218.60.56/~jnz1568/getInfo.php?workbook=14_02.xlsx&amp;sheet=U0&amp;row=1873&amp;col=7&amp;number=0.000308&amp;sourceID=14","0.000308")</f>
        <v>0.000308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HYPERLINK("http://141.218.60.56/~jnz1568/getInfo.php?workbook=14_02.xlsx&amp;sheet=U0&amp;row=1874&amp;col=6&amp;number=4&amp;sourceID=14","4")</f>
        <v>4</v>
      </c>
      <c r="G1874" s="4" t="str">
        <f>HYPERLINK("http://141.218.60.56/~jnz1568/getInfo.php?workbook=14_02.xlsx&amp;sheet=U0&amp;row=1874&amp;col=7&amp;number=0.000308&amp;sourceID=14","0.000308")</f>
        <v>0.000308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HYPERLINK("http://141.218.60.56/~jnz1568/getInfo.php?workbook=14_02.xlsx&amp;sheet=U0&amp;row=1875&amp;col=6&amp;number=4.1&amp;sourceID=14","4.1")</f>
        <v>4.1</v>
      </c>
      <c r="G1875" s="4" t="str">
        <f>HYPERLINK("http://141.218.60.56/~jnz1568/getInfo.php?workbook=14_02.xlsx&amp;sheet=U0&amp;row=1875&amp;col=7&amp;number=0.000308&amp;sourceID=14","0.000308")</f>
        <v>0.000308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HYPERLINK("http://141.218.60.56/~jnz1568/getInfo.php?workbook=14_02.xlsx&amp;sheet=U0&amp;row=1876&amp;col=6&amp;number=4.2&amp;sourceID=14","4.2")</f>
        <v>4.2</v>
      </c>
      <c r="G1876" s="4" t="str">
        <f>HYPERLINK("http://141.218.60.56/~jnz1568/getInfo.php?workbook=14_02.xlsx&amp;sheet=U0&amp;row=1876&amp;col=7&amp;number=0.000308&amp;sourceID=14","0.000308")</f>
        <v>0.000308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HYPERLINK("http://141.218.60.56/~jnz1568/getInfo.php?workbook=14_02.xlsx&amp;sheet=U0&amp;row=1877&amp;col=6&amp;number=4.3&amp;sourceID=14","4.3")</f>
        <v>4.3</v>
      </c>
      <c r="G1877" s="4" t="str">
        <f>HYPERLINK("http://141.218.60.56/~jnz1568/getInfo.php?workbook=14_02.xlsx&amp;sheet=U0&amp;row=1877&amp;col=7&amp;number=0.000308&amp;sourceID=14","0.000308")</f>
        <v>0.000308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HYPERLINK("http://141.218.60.56/~jnz1568/getInfo.php?workbook=14_02.xlsx&amp;sheet=U0&amp;row=1878&amp;col=6&amp;number=4.4&amp;sourceID=14","4.4")</f>
        <v>4.4</v>
      </c>
      <c r="G1878" s="4" t="str">
        <f>HYPERLINK("http://141.218.60.56/~jnz1568/getInfo.php?workbook=14_02.xlsx&amp;sheet=U0&amp;row=1878&amp;col=7&amp;number=0.000307&amp;sourceID=14","0.000307")</f>
        <v>0.000307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HYPERLINK("http://141.218.60.56/~jnz1568/getInfo.php?workbook=14_02.xlsx&amp;sheet=U0&amp;row=1879&amp;col=6&amp;number=4.5&amp;sourceID=14","4.5")</f>
        <v>4.5</v>
      </c>
      <c r="G1879" s="4" t="str">
        <f>HYPERLINK("http://141.218.60.56/~jnz1568/getInfo.php?workbook=14_02.xlsx&amp;sheet=U0&amp;row=1879&amp;col=7&amp;number=0.000307&amp;sourceID=14","0.000307")</f>
        <v>0.000307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HYPERLINK("http://141.218.60.56/~jnz1568/getInfo.php?workbook=14_02.xlsx&amp;sheet=U0&amp;row=1880&amp;col=6&amp;number=4.6&amp;sourceID=14","4.6")</f>
        <v>4.6</v>
      </c>
      <c r="G1880" s="4" t="str">
        <f>HYPERLINK("http://141.218.60.56/~jnz1568/getInfo.php?workbook=14_02.xlsx&amp;sheet=U0&amp;row=1880&amp;col=7&amp;number=0.000307&amp;sourceID=14","0.000307")</f>
        <v>0.000307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HYPERLINK("http://141.218.60.56/~jnz1568/getInfo.php?workbook=14_02.xlsx&amp;sheet=U0&amp;row=1881&amp;col=6&amp;number=4.7&amp;sourceID=14","4.7")</f>
        <v>4.7</v>
      </c>
      <c r="G1881" s="4" t="str">
        <f>HYPERLINK("http://141.218.60.56/~jnz1568/getInfo.php?workbook=14_02.xlsx&amp;sheet=U0&amp;row=1881&amp;col=7&amp;number=0.000307&amp;sourceID=14","0.000307")</f>
        <v>0.000307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HYPERLINK("http://141.218.60.56/~jnz1568/getInfo.php?workbook=14_02.xlsx&amp;sheet=U0&amp;row=1882&amp;col=6&amp;number=4.8&amp;sourceID=14","4.8")</f>
        <v>4.8</v>
      </c>
      <c r="G1882" s="4" t="str">
        <f>HYPERLINK("http://141.218.60.56/~jnz1568/getInfo.php?workbook=14_02.xlsx&amp;sheet=U0&amp;row=1882&amp;col=7&amp;number=0.000307&amp;sourceID=14","0.000307")</f>
        <v>0.000307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HYPERLINK("http://141.218.60.56/~jnz1568/getInfo.php?workbook=14_02.xlsx&amp;sheet=U0&amp;row=1883&amp;col=6&amp;number=4.9&amp;sourceID=14","4.9")</f>
        <v>4.9</v>
      </c>
      <c r="G1883" s="4" t="str">
        <f>HYPERLINK("http://141.218.60.56/~jnz1568/getInfo.php?workbook=14_02.xlsx&amp;sheet=U0&amp;row=1883&amp;col=7&amp;number=0.000306&amp;sourceID=14","0.000306")</f>
        <v>0.000306</v>
      </c>
    </row>
    <row r="1884" spans="1:7">
      <c r="A1884" s="3">
        <v>14</v>
      </c>
      <c r="B1884" s="3">
        <v>2</v>
      </c>
      <c r="C1884" s="3">
        <v>2</v>
      </c>
      <c r="D1884" s="3">
        <v>49</v>
      </c>
      <c r="E1884" s="3">
        <v>1</v>
      </c>
      <c r="F1884" s="4" t="str">
        <f>HYPERLINK("http://141.218.60.56/~jnz1568/getInfo.php?workbook=14_02.xlsx&amp;sheet=U0&amp;row=1884&amp;col=6&amp;number=3&amp;sourceID=14","3")</f>
        <v>3</v>
      </c>
      <c r="G1884" s="4" t="str">
        <f>HYPERLINK("http://141.218.60.56/~jnz1568/getInfo.php?workbook=14_02.xlsx&amp;sheet=U0&amp;row=1884&amp;col=7&amp;number=0.000249&amp;sourceID=14","0.000249")</f>
        <v>0.000249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HYPERLINK("http://141.218.60.56/~jnz1568/getInfo.php?workbook=14_02.xlsx&amp;sheet=U0&amp;row=1885&amp;col=6&amp;number=3.1&amp;sourceID=14","3.1")</f>
        <v>3.1</v>
      </c>
      <c r="G1885" s="4" t="str">
        <f>HYPERLINK("http://141.218.60.56/~jnz1568/getInfo.php?workbook=14_02.xlsx&amp;sheet=U0&amp;row=1885&amp;col=7&amp;number=0.000249&amp;sourceID=14","0.000249")</f>
        <v>0.000249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HYPERLINK("http://141.218.60.56/~jnz1568/getInfo.php?workbook=14_02.xlsx&amp;sheet=U0&amp;row=1886&amp;col=6&amp;number=3.2&amp;sourceID=14","3.2")</f>
        <v>3.2</v>
      </c>
      <c r="G1886" s="4" t="str">
        <f>HYPERLINK("http://141.218.60.56/~jnz1568/getInfo.php?workbook=14_02.xlsx&amp;sheet=U0&amp;row=1886&amp;col=7&amp;number=0.000249&amp;sourceID=14","0.000249")</f>
        <v>0.000249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HYPERLINK("http://141.218.60.56/~jnz1568/getInfo.php?workbook=14_02.xlsx&amp;sheet=U0&amp;row=1887&amp;col=6&amp;number=3.3&amp;sourceID=14","3.3")</f>
        <v>3.3</v>
      </c>
      <c r="G1887" s="4" t="str">
        <f>HYPERLINK("http://141.218.60.56/~jnz1568/getInfo.php?workbook=14_02.xlsx&amp;sheet=U0&amp;row=1887&amp;col=7&amp;number=0.000249&amp;sourceID=14","0.000249")</f>
        <v>0.000249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HYPERLINK("http://141.218.60.56/~jnz1568/getInfo.php?workbook=14_02.xlsx&amp;sheet=U0&amp;row=1888&amp;col=6&amp;number=3.4&amp;sourceID=14","3.4")</f>
        <v>3.4</v>
      </c>
      <c r="G1888" s="4" t="str">
        <f>HYPERLINK("http://141.218.60.56/~jnz1568/getInfo.php?workbook=14_02.xlsx&amp;sheet=U0&amp;row=1888&amp;col=7&amp;number=0.000249&amp;sourceID=14","0.000249")</f>
        <v>0.000249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HYPERLINK("http://141.218.60.56/~jnz1568/getInfo.php?workbook=14_02.xlsx&amp;sheet=U0&amp;row=1889&amp;col=6&amp;number=3.5&amp;sourceID=14","3.5")</f>
        <v>3.5</v>
      </c>
      <c r="G1889" s="4" t="str">
        <f>HYPERLINK("http://141.218.60.56/~jnz1568/getInfo.php?workbook=14_02.xlsx&amp;sheet=U0&amp;row=1889&amp;col=7&amp;number=0.000249&amp;sourceID=14","0.000249")</f>
        <v>0.000249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HYPERLINK("http://141.218.60.56/~jnz1568/getInfo.php?workbook=14_02.xlsx&amp;sheet=U0&amp;row=1890&amp;col=6&amp;number=3.6&amp;sourceID=14","3.6")</f>
        <v>3.6</v>
      </c>
      <c r="G1890" s="4" t="str">
        <f>HYPERLINK("http://141.218.60.56/~jnz1568/getInfo.php?workbook=14_02.xlsx&amp;sheet=U0&amp;row=1890&amp;col=7&amp;number=0.000249&amp;sourceID=14","0.000249")</f>
        <v>0.000249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HYPERLINK("http://141.218.60.56/~jnz1568/getInfo.php?workbook=14_02.xlsx&amp;sheet=U0&amp;row=1891&amp;col=6&amp;number=3.7&amp;sourceID=14","3.7")</f>
        <v>3.7</v>
      </c>
      <c r="G1891" s="4" t="str">
        <f>HYPERLINK("http://141.218.60.56/~jnz1568/getInfo.php?workbook=14_02.xlsx&amp;sheet=U0&amp;row=1891&amp;col=7&amp;number=0.000249&amp;sourceID=14","0.000249")</f>
        <v>0.000249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HYPERLINK("http://141.218.60.56/~jnz1568/getInfo.php?workbook=14_02.xlsx&amp;sheet=U0&amp;row=1892&amp;col=6&amp;number=3.8&amp;sourceID=14","3.8")</f>
        <v>3.8</v>
      </c>
      <c r="G1892" s="4" t="str">
        <f>HYPERLINK("http://141.218.60.56/~jnz1568/getInfo.php?workbook=14_02.xlsx&amp;sheet=U0&amp;row=1892&amp;col=7&amp;number=0.000249&amp;sourceID=14","0.000249")</f>
        <v>0.000249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HYPERLINK("http://141.218.60.56/~jnz1568/getInfo.php?workbook=14_02.xlsx&amp;sheet=U0&amp;row=1893&amp;col=6&amp;number=3.9&amp;sourceID=14","3.9")</f>
        <v>3.9</v>
      </c>
      <c r="G1893" s="4" t="str">
        <f>HYPERLINK("http://141.218.60.56/~jnz1568/getInfo.php?workbook=14_02.xlsx&amp;sheet=U0&amp;row=1893&amp;col=7&amp;number=0.000249&amp;sourceID=14","0.000249")</f>
        <v>0.000249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HYPERLINK("http://141.218.60.56/~jnz1568/getInfo.php?workbook=14_02.xlsx&amp;sheet=U0&amp;row=1894&amp;col=6&amp;number=4&amp;sourceID=14","4")</f>
        <v>4</v>
      </c>
      <c r="G1894" s="4" t="str">
        <f>HYPERLINK("http://141.218.60.56/~jnz1568/getInfo.php?workbook=14_02.xlsx&amp;sheet=U0&amp;row=1894&amp;col=7&amp;number=0.000249&amp;sourceID=14","0.000249")</f>
        <v>0.000249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HYPERLINK("http://141.218.60.56/~jnz1568/getInfo.php?workbook=14_02.xlsx&amp;sheet=U0&amp;row=1895&amp;col=6&amp;number=4.1&amp;sourceID=14","4.1")</f>
        <v>4.1</v>
      </c>
      <c r="G1895" s="4" t="str">
        <f>HYPERLINK("http://141.218.60.56/~jnz1568/getInfo.php?workbook=14_02.xlsx&amp;sheet=U0&amp;row=1895&amp;col=7&amp;number=0.000249&amp;sourceID=14","0.000249")</f>
        <v>0.000249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HYPERLINK("http://141.218.60.56/~jnz1568/getInfo.php?workbook=14_02.xlsx&amp;sheet=U0&amp;row=1896&amp;col=6&amp;number=4.2&amp;sourceID=14","4.2")</f>
        <v>4.2</v>
      </c>
      <c r="G1896" s="4" t="str">
        <f>HYPERLINK("http://141.218.60.56/~jnz1568/getInfo.php?workbook=14_02.xlsx&amp;sheet=U0&amp;row=1896&amp;col=7&amp;number=0.000249&amp;sourceID=14","0.000249")</f>
        <v>0.000249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HYPERLINK("http://141.218.60.56/~jnz1568/getInfo.php?workbook=14_02.xlsx&amp;sheet=U0&amp;row=1897&amp;col=6&amp;number=4.3&amp;sourceID=14","4.3")</f>
        <v>4.3</v>
      </c>
      <c r="G1897" s="4" t="str">
        <f>HYPERLINK("http://141.218.60.56/~jnz1568/getInfo.php?workbook=14_02.xlsx&amp;sheet=U0&amp;row=1897&amp;col=7&amp;number=0.000248&amp;sourceID=14","0.000248")</f>
        <v>0.000248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HYPERLINK("http://141.218.60.56/~jnz1568/getInfo.php?workbook=14_02.xlsx&amp;sheet=U0&amp;row=1898&amp;col=6&amp;number=4.4&amp;sourceID=14","4.4")</f>
        <v>4.4</v>
      </c>
      <c r="G1898" s="4" t="str">
        <f>HYPERLINK("http://141.218.60.56/~jnz1568/getInfo.php?workbook=14_02.xlsx&amp;sheet=U0&amp;row=1898&amp;col=7&amp;number=0.000248&amp;sourceID=14","0.000248")</f>
        <v>0.000248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HYPERLINK("http://141.218.60.56/~jnz1568/getInfo.php?workbook=14_02.xlsx&amp;sheet=U0&amp;row=1899&amp;col=6&amp;number=4.5&amp;sourceID=14","4.5")</f>
        <v>4.5</v>
      </c>
      <c r="G1899" s="4" t="str">
        <f>HYPERLINK("http://141.218.60.56/~jnz1568/getInfo.php?workbook=14_02.xlsx&amp;sheet=U0&amp;row=1899&amp;col=7&amp;number=0.000248&amp;sourceID=14","0.000248")</f>
        <v>0.000248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HYPERLINK("http://141.218.60.56/~jnz1568/getInfo.php?workbook=14_02.xlsx&amp;sheet=U0&amp;row=1900&amp;col=6&amp;number=4.6&amp;sourceID=14","4.6")</f>
        <v>4.6</v>
      </c>
      <c r="G1900" s="4" t="str">
        <f>HYPERLINK("http://141.218.60.56/~jnz1568/getInfo.php?workbook=14_02.xlsx&amp;sheet=U0&amp;row=1900&amp;col=7&amp;number=0.000248&amp;sourceID=14","0.000248")</f>
        <v>0.000248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HYPERLINK("http://141.218.60.56/~jnz1568/getInfo.php?workbook=14_02.xlsx&amp;sheet=U0&amp;row=1901&amp;col=6&amp;number=4.7&amp;sourceID=14","4.7")</f>
        <v>4.7</v>
      </c>
      <c r="G1901" s="4" t="str">
        <f>HYPERLINK("http://141.218.60.56/~jnz1568/getInfo.php?workbook=14_02.xlsx&amp;sheet=U0&amp;row=1901&amp;col=7&amp;number=0.000247&amp;sourceID=14","0.000247")</f>
        <v>0.000247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HYPERLINK("http://141.218.60.56/~jnz1568/getInfo.php?workbook=14_02.xlsx&amp;sheet=U0&amp;row=1902&amp;col=6&amp;number=4.8&amp;sourceID=14","4.8")</f>
        <v>4.8</v>
      </c>
      <c r="G1902" s="4" t="str">
        <f>HYPERLINK("http://141.218.60.56/~jnz1568/getInfo.php?workbook=14_02.xlsx&amp;sheet=U0&amp;row=1902&amp;col=7&amp;number=0.000247&amp;sourceID=14","0.000247")</f>
        <v>0.000247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HYPERLINK("http://141.218.60.56/~jnz1568/getInfo.php?workbook=14_02.xlsx&amp;sheet=U0&amp;row=1903&amp;col=6&amp;number=4.9&amp;sourceID=14","4.9")</f>
        <v>4.9</v>
      </c>
      <c r="G1903" s="4" t="str">
        <f>HYPERLINK("http://141.218.60.56/~jnz1568/getInfo.php?workbook=14_02.xlsx&amp;sheet=U0&amp;row=1903&amp;col=7&amp;number=0.000246&amp;sourceID=14","0.000246")</f>
        <v>0.000246</v>
      </c>
    </row>
    <row r="1904" spans="1:7">
      <c r="A1904" s="3">
        <v>14</v>
      </c>
      <c r="B1904" s="3">
        <v>2</v>
      </c>
      <c r="C1904" s="3">
        <v>3</v>
      </c>
      <c r="D1904" s="3">
        <v>4</v>
      </c>
      <c r="E1904" s="3">
        <v>1</v>
      </c>
      <c r="F1904" s="4" t="str">
        <f>HYPERLINK("http://141.218.60.56/~jnz1568/getInfo.php?workbook=14_02.xlsx&amp;sheet=U0&amp;row=1904&amp;col=6&amp;number=3&amp;sourceID=14","3")</f>
        <v>3</v>
      </c>
      <c r="G1904" s="4" t="str">
        <f>HYPERLINK("http://141.218.60.56/~jnz1568/getInfo.php?workbook=14_02.xlsx&amp;sheet=U0&amp;row=1904&amp;col=7&amp;number=0.00294&amp;sourceID=14","0.00294")</f>
        <v>0.00294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HYPERLINK("http://141.218.60.56/~jnz1568/getInfo.php?workbook=14_02.xlsx&amp;sheet=U0&amp;row=1905&amp;col=6&amp;number=3.1&amp;sourceID=14","3.1")</f>
        <v>3.1</v>
      </c>
      <c r="G1905" s="4" t="str">
        <f>HYPERLINK("http://141.218.60.56/~jnz1568/getInfo.php?workbook=14_02.xlsx&amp;sheet=U0&amp;row=1905&amp;col=7&amp;number=0.00294&amp;sourceID=14","0.00294")</f>
        <v>0.00294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HYPERLINK("http://141.218.60.56/~jnz1568/getInfo.php?workbook=14_02.xlsx&amp;sheet=U0&amp;row=1906&amp;col=6&amp;number=3.2&amp;sourceID=14","3.2")</f>
        <v>3.2</v>
      </c>
      <c r="G1906" s="4" t="str">
        <f>HYPERLINK("http://141.218.60.56/~jnz1568/getInfo.php?workbook=14_02.xlsx&amp;sheet=U0&amp;row=1906&amp;col=7&amp;number=0.00294&amp;sourceID=14","0.00294")</f>
        <v>0.00294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HYPERLINK("http://141.218.60.56/~jnz1568/getInfo.php?workbook=14_02.xlsx&amp;sheet=U0&amp;row=1907&amp;col=6&amp;number=3.3&amp;sourceID=14","3.3")</f>
        <v>3.3</v>
      </c>
      <c r="G1907" s="4" t="str">
        <f>HYPERLINK("http://141.218.60.56/~jnz1568/getInfo.php?workbook=14_02.xlsx&amp;sheet=U0&amp;row=1907&amp;col=7&amp;number=0.00294&amp;sourceID=14","0.00294")</f>
        <v>0.00294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HYPERLINK("http://141.218.60.56/~jnz1568/getInfo.php?workbook=14_02.xlsx&amp;sheet=U0&amp;row=1908&amp;col=6&amp;number=3.4&amp;sourceID=14","3.4")</f>
        <v>3.4</v>
      </c>
      <c r="G1908" s="4" t="str">
        <f>HYPERLINK("http://141.218.60.56/~jnz1568/getInfo.php?workbook=14_02.xlsx&amp;sheet=U0&amp;row=1908&amp;col=7&amp;number=0.00294&amp;sourceID=14","0.00294")</f>
        <v>0.00294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HYPERLINK("http://141.218.60.56/~jnz1568/getInfo.php?workbook=14_02.xlsx&amp;sheet=U0&amp;row=1909&amp;col=6&amp;number=3.5&amp;sourceID=14","3.5")</f>
        <v>3.5</v>
      </c>
      <c r="G1909" s="4" t="str">
        <f>HYPERLINK("http://141.218.60.56/~jnz1568/getInfo.php?workbook=14_02.xlsx&amp;sheet=U0&amp;row=1909&amp;col=7&amp;number=0.00295&amp;sourceID=14","0.00295")</f>
        <v>0.00295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HYPERLINK("http://141.218.60.56/~jnz1568/getInfo.php?workbook=14_02.xlsx&amp;sheet=U0&amp;row=1910&amp;col=6&amp;number=3.6&amp;sourceID=14","3.6")</f>
        <v>3.6</v>
      </c>
      <c r="G1910" s="4" t="str">
        <f>HYPERLINK("http://141.218.60.56/~jnz1568/getInfo.php?workbook=14_02.xlsx&amp;sheet=U0&amp;row=1910&amp;col=7&amp;number=0.00295&amp;sourceID=14","0.00295")</f>
        <v>0.00295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HYPERLINK("http://141.218.60.56/~jnz1568/getInfo.php?workbook=14_02.xlsx&amp;sheet=U0&amp;row=1911&amp;col=6&amp;number=3.7&amp;sourceID=14","3.7")</f>
        <v>3.7</v>
      </c>
      <c r="G1911" s="4" t="str">
        <f>HYPERLINK("http://141.218.60.56/~jnz1568/getInfo.php?workbook=14_02.xlsx&amp;sheet=U0&amp;row=1911&amp;col=7&amp;number=0.00295&amp;sourceID=14","0.00295")</f>
        <v>0.00295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HYPERLINK("http://141.218.60.56/~jnz1568/getInfo.php?workbook=14_02.xlsx&amp;sheet=U0&amp;row=1912&amp;col=6&amp;number=3.8&amp;sourceID=14","3.8")</f>
        <v>3.8</v>
      </c>
      <c r="G1912" s="4" t="str">
        <f>HYPERLINK("http://141.218.60.56/~jnz1568/getInfo.php?workbook=14_02.xlsx&amp;sheet=U0&amp;row=1912&amp;col=7&amp;number=0.00295&amp;sourceID=14","0.00295")</f>
        <v>0.00295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HYPERLINK("http://141.218.60.56/~jnz1568/getInfo.php?workbook=14_02.xlsx&amp;sheet=U0&amp;row=1913&amp;col=6&amp;number=3.9&amp;sourceID=14","3.9")</f>
        <v>3.9</v>
      </c>
      <c r="G1913" s="4" t="str">
        <f>HYPERLINK("http://141.218.60.56/~jnz1568/getInfo.php?workbook=14_02.xlsx&amp;sheet=U0&amp;row=1913&amp;col=7&amp;number=0.00295&amp;sourceID=14","0.00295")</f>
        <v>0.00295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HYPERLINK("http://141.218.60.56/~jnz1568/getInfo.php?workbook=14_02.xlsx&amp;sheet=U0&amp;row=1914&amp;col=6&amp;number=4&amp;sourceID=14","4")</f>
        <v>4</v>
      </c>
      <c r="G1914" s="4" t="str">
        <f>HYPERLINK("http://141.218.60.56/~jnz1568/getInfo.php?workbook=14_02.xlsx&amp;sheet=U0&amp;row=1914&amp;col=7&amp;number=0.00295&amp;sourceID=14","0.00295")</f>
        <v>0.00295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HYPERLINK("http://141.218.60.56/~jnz1568/getInfo.php?workbook=14_02.xlsx&amp;sheet=U0&amp;row=1915&amp;col=6&amp;number=4.1&amp;sourceID=14","4.1")</f>
        <v>4.1</v>
      </c>
      <c r="G1915" s="4" t="str">
        <f>HYPERLINK("http://141.218.60.56/~jnz1568/getInfo.php?workbook=14_02.xlsx&amp;sheet=U0&amp;row=1915&amp;col=7&amp;number=0.00295&amp;sourceID=14","0.00295")</f>
        <v>0.00295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HYPERLINK("http://141.218.60.56/~jnz1568/getInfo.php?workbook=14_02.xlsx&amp;sheet=U0&amp;row=1916&amp;col=6&amp;number=4.2&amp;sourceID=14","4.2")</f>
        <v>4.2</v>
      </c>
      <c r="G1916" s="4" t="str">
        <f>HYPERLINK("http://141.218.60.56/~jnz1568/getInfo.php?workbook=14_02.xlsx&amp;sheet=U0&amp;row=1916&amp;col=7&amp;number=0.00296&amp;sourceID=14","0.00296")</f>
        <v>0.00296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HYPERLINK("http://141.218.60.56/~jnz1568/getInfo.php?workbook=14_02.xlsx&amp;sheet=U0&amp;row=1917&amp;col=6&amp;number=4.3&amp;sourceID=14","4.3")</f>
        <v>4.3</v>
      </c>
      <c r="G1917" s="4" t="str">
        <f>HYPERLINK("http://141.218.60.56/~jnz1568/getInfo.php?workbook=14_02.xlsx&amp;sheet=U0&amp;row=1917&amp;col=7&amp;number=0.00296&amp;sourceID=14","0.00296")</f>
        <v>0.00296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HYPERLINK("http://141.218.60.56/~jnz1568/getInfo.php?workbook=14_02.xlsx&amp;sheet=U0&amp;row=1918&amp;col=6&amp;number=4.4&amp;sourceID=14","4.4")</f>
        <v>4.4</v>
      </c>
      <c r="G1918" s="4" t="str">
        <f>HYPERLINK("http://141.218.60.56/~jnz1568/getInfo.php?workbook=14_02.xlsx&amp;sheet=U0&amp;row=1918&amp;col=7&amp;number=0.00296&amp;sourceID=14","0.00296")</f>
        <v>0.00296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HYPERLINK("http://141.218.60.56/~jnz1568/getInfo.php?workbook=14_02.xlsx&amp;sheet=U0&amp;row=1919&amp;col=6&amp;number=4.5&amp;sourceID=14","4.5")</f>
        <v>4.5</v>
      </c>
      <c r="G1919" s="4" t="str">
        <f>HYPERLINK("http://141.218.60.56/~jnz1568/getInfo.php?workbook=14_02.xlsx&amp;sheet=U0&amp;row=1919&amp;col=7&amp;number=0.00297&amp;sourceID=14","0.00297")</f>
        <v>0.00297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HYPERLINK("http://141.218.60.56/~jnz1568/getInfo.php?workbook=14_02.xlsx&amp;sheet=U0&amp;row=1920&amp;col=6&amp;number=4.6&amp;sourceID=14","4.6")</f>
        <v>4.6</v>
      </c>
      <c r="G1920" s="4" t="str">
        <f>HYPERLINK("http://141.218.60.56/~jnz1568/getInfo.php?workbook=14_02.xlsx&amp;sheet=U0&amp;row=1920&amp;col=7&amp;number=0.00297&amp;sourceID=14","0.00297")</f>
        <v>0.00297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HYPERLINK("http://141.218.60.56/~jnz1568/getInfo.php?workbook=14_02.xlsx&amp;sheet=U0&amp;row=1921&amp;col=6&amp;number=4.7&amp;sourceID=14","4.7")</f>
        <v>4.7</v>
      </c>
      <c r="G1921" s="4" t="str">
        <f>HYPERLINK("http://141.218.60.56/~jnz1568/getInfo.php?workbook=14_02.xlsx&amp;sheet=U0&amp;row=1921&amp;col=7&amp;number=0.00298&amp;sourceID=14","0.00298")</f>
        <v>0.00298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HYPERLINK("http://141.218.60.56/~jnz1568/getInfo.php?workbook=14_02.xlsx&amp;sheet=U0&amp;row=1922&amp;col=6&amp;number=4.8&amp;sourceID=14","4.8")</f>
        <v>4.8</v>
      </c>
      <c r="G1922" s="4" t="str">
        <f>HYPERLINK("http://141.218.60.56/~jnz1568/getInfo.php?workbook=14_02.xlsx&amp;sheet=U0&amp;row=1922&amp;col=7&amp;number=0.00299&amp;sourceID=14","0.00299")</f>
        <v>0.00299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HYPERLINK("http://141.218.60.56/~jnz1568/getInfo.php?workbook=14_02.xlsx&amp;sheet=U0&amp;row=1923&amp;col=6&amp;number=4.9&amp;sourceID=14","4.9")</f>
        <v>4.9</v>
      </c>
      <c r="G1923" s="4" t="str">
        <f>HYPERLINK("http://141.218.60.56/~jnz1568/getInfo.php?workbook=14_02.xlsx&amp;sheet=U0&amp;row=1923&amp;col=7&amp;number=0.003&amp;sourceID=14","0.003")</f>
        <v>0.003</v>
      </c>
    </row>
    <row r="1924" spans="1:7">
      <c r="A1924" s="3">
        <v>14</v>
      </c>
      <c r="B1924" s="3">
        <v>2</v>
      </c>
      <c r="C1924" s="3">
        <v>3</v>
      </c>
      <c r="D1924" s="3">
        <v>5</v>
      </c>
      <c r="E1924" s="3">
        <v>1</v>
      </c>
      <c r="F1924" s="4" t="str">
        <f>HYPERLINK("http://141.218.60.56/~jnz1568/getInfo.php?workbook=14_02.xlsx&amp;sheet=U0&amp;row=1924&amp;col=6&amp;number=3&amp;sourceID=14","3")</f>
        <v>3</v>
      </c>
      <c r="G1924" s="4" t="str">
        <f>HYPERLINK("http://141.218.60.56/~jnz1568/getInfo.php?workbook=14_02.xlsx&amp;sheet=U0&amp;row=1924&amp;col=7&amp;number=0.0135&amp;sourceID=14","0.0135")</f>
        <v>0.0135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HYPERLINK("http://141.218.60.56/~jnz1568/getInfo.php?workbook=14_02.xlsx&amp;sheet=U0&amp;row=1925&amp;col=6&amp;number=3.1&amp;sourceID=14","3.1")</f>
        <v>3.1</v>
      </c>
      <c r="G1925" s="4" t="str">
        <f>HYPERLINK("http://141.218.60.56/~jnz1568/getInfo.php?workbook=14_02.xlsx&amp;sheet=U0&amp;row=1925&amp;col=7&amp;number=0.0135&amp;sourceID=14","0.0135")</f>
        <v>0.0135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HYPERLINK("http://141.218.60.56/~jnz1568/getInfo.php?workbook=14_02.xlsx&amp;sheet=U0&amp;row=1926&amp;col=6&amp;number=3.2&amp;sourceID=14","3.2")</f>
        <v>3.2</v>
      </c>
      <c r="G1926" s="4" t="str">
        <f>HYPERLINK("http://141.218.60.56/~jnz1568/getInfo.php?workbook=14_02.xlsx&amp;sheet=U0&amp;row=1926&amp;col=7&amp;number=0.0135&amp;sourceID=14","0.0135")</f>
        <v>0.0135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HYPERLINK("http://141.218.60.56/~jnz1568/getInfo.php?workbook=14_02.xlsx&amp;sheet=U0&amp;row=1927&amp;col=6&amp;number=3.3&amp;sourceID=14","3.3")</f>
        <v>3.3</v>
      </c>
      <c r="G1927" s="4" t="str">
        <f>HYPERLINK("http://141.218.60.56/~jnz1568/getInfo.php?workbook=14_02.xlsx&amp;sheet=U0&amp;row=1927&amp;col=7&amp;number=0.0135&amp;sourceID=14","0.0135")</f>
        <v>0.0135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HYPERLINK("http://141.218.60.56/~jnz1568/getInfo.php?workbook=14_02.xlsx&amp;sheet=U0&amp;row=1928&amp;col=6&amp;number=3.4&amp;sourceID=14","3.4")</f>
        <v>3.4</v>
      </c>
      <c r="G1928" s="4" t="str">
        <f>HYPERLINK("http://141.218.60.56/~jnz1568/getInfo.php?workbook=14_02.xlsx&amp;sheet=U0&amp;row=1928&amp;col=7&amp;number=0.0135&amp;sourceID=14","0.0135")</f>
        <v>0.0135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HYPERLINK("http://141.218.60.56/~jnz1568/getInfo.php?workbook=14_02.xlsx&amp;sheet=U0&amp;row=1929&amp;col=6&amp;number=3.5&amp;sourceID=14","3.5")</f>
        <v>3.5</v>
      </c>
      <c r="G1929" s="4" t="str">
        <f>HYPERLINK("http://141.218.60.56/~jnz1568/getInfo.php?workbook=14_02.xlsx&amp;sheet=U0&amp;row=1929&amp;col=7&amp;number=0.0135&amp;sourceID=14","0.0135")</f>
        <v>0.0135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HYPERLINK("http://141.218.60.56/~jnz1568/getInfo.php?workbook=14_02.xlsx&amp;sheet=U0&amp;row=1930&amp;col=6&amp;number=3.6&amp;sourceID=14","3.6")</f>
        <v>3.6</v>
      </c>
      <c r="G1930" s="4" t="str">
        <f>HYPERLINK("http://141.218.60.56/~jnz1568/getInfo.php?workbook=14_02.xlsx&amp;sheet=U0&amp;row=1930&amp;col=7&amp;number=0.0135&amp;sourceID=14","0.0135")</f>
        <v>0.0135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HYPERLINK("http://141.218.60.56/~jnz1568/getInfo.php?workbook=14_02.xlsx&amp;sheet=U0&amp;row=1931&amp;col=6&amp;number=3.7&amp;sourceID=14","3.7")</f>
        <v>3.7</v>
      </c>
      <c r="G1931" s="4" t="str">
        <f>HYPERLINK("http://141.218.60.56/~jnz1568/getInfo.php?workbook=14_02.xlsx&amp;sheet=U0&amp;row=1931&amp;col=7&amp;number=0.0135&amp;sourceID=14","0.0135")</f>
        <v>0.0135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HYPERLINK("http://141.218.60.56/~jnz1568/getInfo.php?workbook=14_02.xlsx&amp;sheet=U0&amp;row=1932&amp;col=6&amp;number=3.8&amp;sourceID=14","3.8")</f>
        <v>3.8</v>
      </c>
      <c r="G1932" s="4" t="str">
        <f>HYPERLINK("http://141.218.60.56/~jnz1568/getInfo.php?workbook=14_02.xlsx&amp;sheet=U0&amp;row=1932&amp;col=7&amp;number=0.0135&amp;sourceID=14","0.0135")</f>
        <v>0.0135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HYPERLINK("http://141.218.60.56/~jnz1568/getInfo.php?workbook=14_02.xlsx&amp;sheet=U0&amp;row=1933&amp;col=6&amp;number=3.9&amp;sourceID=14","3.9")</f>
        <v>3.9</v>
      </c>
      <c r="G1933" s="4" t="str">
        <f>HYPERLINK("http://141.218.60.56/~jnz1568/getInfo.php?workbook=14_02.xlsx&amp;sheet=U0&amp;row=1933&amp;col=7&amp;number=0.0135&amp;sourceID=14","0.0135")</f>
        <v>0.0135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HYPERLINK("http://141.218.60.56/~jnz1568/getInfo.php?workbook=14_02.xlsx&amp;sheet=U0&amp;row=1934&amp;col=6&amp;number=4&amp;sourceID=14","4")</f>
        <v>4</v>
      </c>
      <c r="G1934" s="4" t="str">
        <f>HYPERLINK("http://141.218.60.56/~jnz1568/getInfo.php?workbook=14_02.xlsx&amp;sheet=U0&amp;row=1934&amp;col=7&amp;number=0.0135&amp;sourceID=14","0.0135")</f>
        <v>0.0135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HYPERLINK("http://141.218.60.56/~jnz1568/getInfo.php?workbook=14_02.xlsx&amp;sheet=U0&amp;row=1935&amp;col=6&amp;number=4.1&amp;sourceID=14","4.1")</f>
        <v>4.1</v>
      </c>
      <c r="G1935" s="4" t="str">
        <f>HYPERLINK("http://141.218.60.56/~jnz1568/getInfo.php?workbook=14_02.xlsx&amp;sheet=U0&amp;row=1935&amp;col=7&amp;number=0.0135&amp;sourceID=14","0.0135")</f>
        <v>0.0135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HYPERLINK("http://141.218.60.56/~jnz1568/getInfo.php?workbook=14_02.xlsx&amp;sheet=U0&amp;row=1936&amp;col=6&amp;number=4.2&amp;sourceID=14","4.2")</f>
        <v>4.2</v>
      </c>
      <c r="G1936" s="4" t="str">
        <f>HYPERLINK("http://141.218.60.56/~jnz1568/getInfo.php?workbook=14_02.xlsx&amp;sheet=U0&amp;row=1936&amp;col=7&amp;number=0.0135&amp;sourceID=14","0.0135")</f>
        <v>0.0135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HYPERLINK("http://141.218.60.56/~jnz1568/getInfo.php?workbook=14_02.xlsx&amp;sheet=U0&amp;row=1937&amp;col=6&amp;number=4.3&amp;sourceID=14","4.3")</f>
        <v>4.3</v>
      </c>
      <c r="G1937" s="4" t="str">
        <f>HYPERLINK("http://141.218.60.56/~jnz1568/getInfo.php?workbook=14_02.xlsx&amp;sheet=U0&amp;row=1937&amp;col=7&amp;number=0.0136&amp;sourceID=14","0.0136")</f>
        <v>0.0136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HYPERLINK("http://141.218.60.56/~jnz1568/getInfo.php?workbook=14_02.xlsx&amp;sheet=U0&amp;row=1938&amp;col=6&amp;number=4.4&amp;sourceID=14","4.4")</f>
        <v>4.4</v>
      </c>
      <c r="G1938" s="4" t="str">
        <f>HYPERLINK("http://141.218.60.56/~jnz1568/getInfo.php?workbook=14_02.xlsx&amp;sheet=U0&amp;row=1938&amp;col=7&amp;number=0.0136&amp;sourceID=14","0.0136")</f>
        <v>0.0136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HYPERLINK("http://141.218.60.56/~jnz1568/getInfo.php?workbook=14_02.xlsx&amp;sheet=U0&amp;row=1939&amp;col=6&amp;number=4.5&amp;sourceID=14","4.5")</f>
        <v>4.5</v>
      </c>
      <c r="G1939" s="4" t="str">
        <f>HYPERLINK("http://141.218.60.56/~jnz1568/getInfo.php?workbook=14_02.xlsx&amp;sheet=U0&amp;row=1939&amp;col=7&amp;number=0.0136&amp;sourceID=14","0.0136")</f>
        <v>0.0136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HYPERLINK("http://141.218.60.56/~jnz1568/getInfo.php?workbook=14_02.xlsx&amp;sheet=U0&amp;row=1940&amp;col=6&amp;number=4.6&amp;sourceID=14","4.6")</f>
        <v>4.6</v>
      </c>
      <c r="G1940" s="4" t="str">
        <f>HYPERLINK("http://141.218.60.56/~jnz1568/getInfo.php?workbook=14_02.xlsx&amp;sheet=U0&amp;row=1940&amp;col=7&amp;number=0.0136&amp;sourceID=14","0.0136")</f>
        <v>0.0136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HYPERLINK("http://141.218.60.56/~jnz1568/getInfo.php?workbook=14_02.xlsx&amp;sheet=U0&amp;row=1941&amp;col=6&amp;number=4.7&amp;sourceID=14","4.7")</f>
        <v>4.7</v>
      </c>
      <c r="G1941" s="4" t="str">
        <f>HYPERLINK("http://141.218.60.56/~jnz1568/getInfo.php?workbook=14_02.xlsx&amp;sheet=U0&amp;row=1941&amp;col=7&amp;number=0.0136&amp;sourceID=14","0.0136")</f>
        <v>0.0136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HYPERLINK("http://141.218.60.56/~jnz1568/getInfo.php?workbook=14_02.xlsx&amp;sheet=U0&amp;row=1942&amp;col=6&amp;number=4.8&amp;sourceID=14","4.8")</f>
        <v>4.8</v>
      </c>
      <c r="G1942" s="4" t="str">
        <f>HYPERLINK("http://141.218.60.56/~jnz1568/getInfo.php?workbook=14_02.xlsx&amp;sheet=U0&amp;row=1942&amp;col=7&amp;number=0.0137&amp;sourceID=14","0.0137")</f>
        <v>0.0137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HYPERLINK("http://141.218.60.56/~jnz1568/getInfo.php?workbook=14_02.xlsx&amp;sheet=U0&amp;row=1943&amp;col=6&amp;number=4.9&amp;sourceID=14","4.9")</f>
        <v>4.9</v>
      </c>
      <c r="G1943" s="4" t="str">
        <f>HYPERLINK("http://141.218.60.56/~jnz1568/getInfo.php?workbook=14_02.xlsx&amp;sheet=U0&amp;row=1943&amp;col=7&amp;number=0.0137&amp;sourceID=14","0.0137")</f>
        <v>0.0137</v>
      </c>
    </row>
    <row r="1944" spans="1:7">
      <c r="A1944" s="3">
        <v>14</v>
      </c>
      <c r="B1944" s="3">
        <v>2</v>
      </c>
      <c r="C1944" s="3">
        <v>3</v>
      </c>
      <c r="D1944" s="3">
        <v>6</v>
      </c>
      <c r="E1944" s="3">
        <v>1</v>
      </c>
      <c r="F1944" s="4" t="str">
        <f>HYPERLINK("http://141.218.60.56/~jnz1568/getInfo.php?workbook=14_02.xlsx&amp;sheet=U0&amp;row=1944&amp;col=6&amp;number=3&amp;sourceID=14","3")</f>
        <v>3</v>
      </c>
      <c r="G1944" s="4" t="str">
        <f>HYPERLINK("http://141.218.60.56/~jnz1568/getInfo.php?workbook=14_02.xlsx&amp;sheet=U0&amp;row=1944&amp;col=7&amp;number=0.0137&amp;sourceID=14","0.0137")</f>
        <v>0.0137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HYPERLINK("http://141.218.60.56/~jnz1568/getInfo.php?workbook=14_02.xlsx&amp;sheet=U0&amp;row=1945&amp;col=6&amp;number=3.1&amp;sourceID=14","3.1")</f>
        <v>3.1</v>
      </c>
      <c r="G1945" s="4" t="str">
        <f>HYPERLINK("http://141.218.60.56/~jnz1568/getInfo.php?workbook=14_02.xlsx&amp;sheet=U0&amp;row=1945&amp;col=7&amp;number=0.0137&amp;sourceID=14","0.0137")</f>
        <v>0.0137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HYPERLINK("http://141.218.60.56/~jnz1568/getInfo.php?workbook=14_02.xlsx&amp;sheet=U0&amp;row=1946&amp;col=6&amp;number=3.2&amp;sourceID=14","3.2")</f>
        <v>3.2</v>
      </c>
      <c r="G1946" s="4" t="str">
        <f>HYPERLINK("http://141.218.60.56/~jnz1568/getInfo.php?workbook=14_02.xlsx&amp;sheet=U0&amp;row=1946&amp;col=7&amp;number=0.0137&amp;sourceID=14","0.0137")</f>
        <v>0.0137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HYPERLINK("http://141.218.60.56/~jnz1568/getInfo.php?workbook=14_02.xlsx&amp;sheet=U0&amp;row=1947&amp;col=6&amp;number=3.3&amp;sourceID=14","3.3")</f>
        <v>3.3</v>
      </c>
      <c r="G1947" s="4" t="str">
        <f>HYPERLINK("http://141.218.60.56/~jnz1568/getInfo.php?workbook=14_02.xlsx&amp;sheet=U0&amp;row=1947&amp;col=7&amp;number=0.0137&amp;sourceID=14","0.0137")</f>
        <v>0.0137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HYPERLINK("http://141.218.60.56/~jnz1568/getInfo.php?workbook=14_02.xlsx&amp;sheet=U0&amp;row=1948&amp;col=6&amp;number=3.4&amp;sourceID=14","3.4")</f>
        <v>3.4</v>
      </c>
      <c r="G1948" s="4" t="str">
        <f>HYPERLINK("http://141.218.60.56/~jnz1568/getInfo.php?workbook=14_02.xlsx&amp;sheet=U0&amp;row=1948&amp;col=7&amp;number=0.0137&amp;sourceID=14","0.0137")</f>
        <v>0.0137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HYPERLINK("http://141.218.60.56/~jnz1568/getInfo.php?workbook=14_02.xlsx&amp;sheet=U0&amp;row=1949&amp;col=6&amp;number=3.5&amp;sourceID=14","3.5")</f>
        <v>3.5</v>
      </c>
      <c r="G1949" s="4" t="str">
        <f>HYPERLINK("http://141.218.60.56/~jnz1568/getInfo.php?workbook=14_02.xlsx&amp;sheet=U0&amp;row=1949&amp;col=7&amp;number=0.0137&amp;sourceID=14","0.0137")</f>
        <v>0.0137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HYPERLINK("http://141.218.60.56/~jnz1568/getInfo.php?workbook=14_02.xlsx&amp;sheet=U0&amp;row=1950&amp;col=6&amp;number=3.6&amp;sourceID=14","3.6")</f>
        <v>3.6</v>
      </c>
      <c r="G1950" s="4" t="str">
        <f>HYPERLINK("http://141.218.60.56/~jnz1568/getInfo.php?workbook=14_02.xlsx&amp;sheet=U0&amp;row=1950&amp;col=7&amp;number=0.0137&amp;sourceID=14","0.0137")</f>
        <v>0.0137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HYPERLINK("http://141.218.60.56/~jnz1568/getInfo.php?workbook=14_02.xlsx&amp;sheet=U0&amp;row=1951&amp;col=6&amp;number=3.7&amp;sourceID=14","3.7")</f>
        <v>3.7</v>
      </c>
      <c r="G1951" s="4" t="str">
        <f>HYPERLINK("http://141.218.60.56/~jnz1568/getInfo.php?workbook=14_02.xlsx&amp;sheet=U0&amp;row=1951&amp;col=7&amp;number=0.0137&amp;sourceID=14","0.0137")</f>
        <v>0.0137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HYPERLINK("http://141.218.60.56/~jnz1568/getInfo.php?workbook=14_02.xlsx&amp;sheet=U0&amp;row=1952&amp;col=6&amp;number=3.8&amp;sourceID=14","3.8")</f>
        <v>3.8</v>
      </c>
      <c r="G1952" s="4" t="str">
        <f>HYPERLINK("http://141.218.60.56/~jnz1568/getInfo.php?workbook=14_02.xlsx&amp;sheet=U0&amp;row=1952&amp;col=7&amp;number=0.0138&amp;sourceID=14","0.0138")</f>
        <v>0.0138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HYPERLINK("http://141.218.60.56/~jnz1568/getInfo.php?workbook=14_02.xlsx&amp;sheet=U0&amp;row=1953&amp;col=6&amp;number=3.9&amp;sourceID=14","3.9")</f>
        <v>3.9</v>
      </c>
      <c r="G1953" s="4" t="str">
        <f>HYPERLINK("http://141.218.60.56/~jnz1568/getInfo.php?workbook=14_02.xlsx&amp;sheet=U0&amp;row=1953&amp;col=7&amp;number=0.0138&amp;sourceID=14","0.0138")</f>
        <v>0.0138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HYPERLINK("http://141.218.60.56/~jnz1568/getInfo.php?workbook=14_02.xlsx&amp;sheet=U0&amp;row=1954&amp;col=6&amp;number=4&amp;sourceID=14","4")</f>
        <v>4</v>
      </c>
      <c r="G1954" s="4" t="str">
        <f>HYPERLINK("http://141.218.60.56/~jnz1568/getInfo.php?workbook=14_02.xlsx&amp;sheet=U0&amp;row=1954&amp;col=7&amp;number=0.0138&amp;sourceID=14","0.0138")</f>
        <v>0.0138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HYPERLINK("http://141.218.60.56/~jnz1568/getInfo.php?workbook=14_02.xlsx&amp;sheet=U0&amp;row=1955&amp;col=6&amp;number=4.1&amp;sourceID=14","4.1")</f>
        <v>4.1</v>
      </c>
      <c r="G1955" s="4" t="str">
        <f>HYPERLINK("http://141.218.60.56/~jnz1568/getInfo.php?workbook=14_02.xlsx&amp;sheet=U0&amp;row=1955&amp;col=7&amp;number=0.0138&amp;sourceID=14","0.0138")</f>
        <v>0.0138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HYPERLINK("http://141.218.60.56/~jnz1568/getInfo.php?workbook=14_02.xlsx&amp;sheet=U0&amp;row=1956&amp;col=6&amp;number=4.2&amp;sourceID=14","4.2")</f>
        <v>4.2</v>
      </c>
      <c r="G1956" s="4" t="str">
        <f>HYPERLINK("http://141.218.60.56/~jnz1568/getInfo.php?workbook=14_02.xlsx&amp;sheet=U0&amp;row=1956&amp;col=7&amp;number=0.0138&amp;sourceID=14","0.0138")</f>
        <v>0.0138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HYPERLINK("http://141.218.60.56/~jnz1568/getInfo.php?workbook=14_02.xlsx&amp;sheet=U0&amp;row=1957&amp;col=6&amp;number=4.3&amp;sourceID=14","4.3")</f>
        <v>4.3</v>
      </c>
      <c r="G1957" s="4" t="str">
        <f>HYPERLINK("http://141.218.60.56/~jnz1568/getInfo.php?workbook=14_02.xlsx&amp;sheet=U0&amp;row=1957&amp;col=7&amp;number=0.0138&amp;sourceID=14","0.0138")</f>
        <v>0.0138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HYPERLINK("http://141.218.60.56/~jnz1568/getInfo.php?workbook=14_02.xlsx&amp;sheet=U0&amp;row=1958&amp;col=6&amp;number=4.4&amp;sourceID=14","4.4")</f>
        <v>4.4</v>
      </c>
      <c r="G1958" s="4" t="str">
        <f>HYPERLINK("http://141.218.60.56/~jnz1568/getInfo.php?workbook=14_02.xlsx&amp;sheet=U0&amp;row=1958&amp;col=7&amp;number=0.0139&amp;sourceID=14","0.0139")</f>
        <v>0.0139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HYPERLINK("http://141.218.60.56/~jnz1568/getInfo.php?workbook=14_02.xlsx&amp;sheet=U0&amp;row=1959&amp;col=6&amp;number=4.5&amp;sourceID=14","4.5")</f>
        <v>4.5</v>
      </c>
      <c r="G1959" s="4" t="str">
        <f>HYPERLINK("http://141.218.60.56/~jnz1568/getInfo.php?workbook=14_02.xlsx&amp;sheet=U0&amp;row=1959&amp;col=7&amp;number=0.0139&amp;sourceID=14","0.0139")</f>
        <v>0.0139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HYPERLINK("http://141.218.60.56/~jnz1568/getInfo.php?workbook=14_02.xlsx&amp;sheet=U0&amp;row=1960&amp;col=6&amp;number=4.6&amp;sourceID=14","4.6")</f>
        <v>4.6</v>
      </c>
      <c r="G1960" s="4" t="str">
        <f>HYPERLINK("http://141.218.60.56/~jnz1568/getInfo.php?workbook=14_02.xlsx&amp;sheet=U0&amp;row=1960&amp;col=7&amp;number=0.0139&amp;sourceID=14","0.0139")</f>
        <v>0.0139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HYPERLINK("http://141.218.60.56/~jnz1568/getInfo.php?workbook=14_02.xlsx&amp;sheet=U0&amp;row=1961&amp;col=6&amp;number=4.7&amp;sourceID=14","4.7")</f>
        <v>4.7</v>
      </c>
      <c r="G1961" s="4" t="str">
        <f>HYPERLINK("http://141.218.60.56/~jnz1568/getInfo.php?workbook=14_02.xlsx&amp;sheet=U0&amp;row=1961&amp;col=7&amp;number=0.014&amp;sourceID=14","0.014")</f>
        <v>0.014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HYPERLINK("http://141.218.60.56/~jnz1568/getInfo.php?workbook=14_02.xlsx&amp;sheet=U0&amp;row=1962&amp;col=6&amp;number=4.8&amp;sourceID=14","4.8")</f>
        <v>4.8</v>
      </c>
      <c r="G1962" s="4" t="str">
        <f>HYPERLINK("http://141.218.60.56/~jnz1568/getInfo.php?workbook=14_02.xlsx&amp;sheet=U0&amp;row=1962&amp;col=7&amp;number=0.0141&amp;sourceID=14","0.0141")</f>
        <v>0.0141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HYPERLINK("http://141.218.60.56/~jnz1568/getInfo.php?workbook=14_02.xlsx&amp;sheet=U0&amp;row=1963&amp;col=6&amp;number=4.9&amp;sourceID=14","4.9")</f>
        <v>4.9</v>
      </c>
      <c r="G1963" s="4" t="str">
        <f>HYPERLINK("http://141.218.60.56/~jnz1568/getInfo.php?workbook=14_02.xlsx&amp;sheet=U0&amp;row=1963&amp;col=7&amp;number=0.0141&amp;sourceID=14","0.0141")</f>
        <v>0.0141</v>
      </c>
    </row>
    <row r="1964" spans="1:7">
      <c r="A1964" s="3">
        <v>14</v>
      </c>
      <c r="B1964" s="3">
        <v>2</v>
      </c>
      <c r="C1964" s="3">
        <v>3</v>
      </c>
      <c r="D1964" s="3">
        <v>7</v>
      </c>
      <c r="E1964" s="3">
        <v>1</v>
      </c>
      <c r="F1964" s="4" t="str">
        <f>HYPERLINK("http://141.218.60.56/~jnz1568/getInfo.php?workbook=14_02.xlsx&amp;sheet=U0&amp;row=1964&amp;col=6&amp;number=3&amp;sourceID=14","3")</f>
        <v>3</v>
      </c>
      <c r="G1964" s="4" t="str">
        <f>HYPERLINK("http://141.218.60.56/~jnz1568/getInfo.php?workbook=14_02.xlsx&amp;sheet=U0&amp;row=1964&amp;col=7&amp;number=0.868&amp;sourceID=14","0.868")</f>
        <v>0.868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HYPERLINK("http://141.218.60.56/~jnz1568/getInfo.php?workbook=14_02.xlsx&amp;sheet=U0&amp;row=1965&amp;col=6&amp;number=3.1&amp;sourceID=14","3.1")</f>
        <v>3.1</v>
      </c>
      <c r="G1965" s="4" t="str">
        <f>HYPERLINK("http://141.218.60.56/~jnz1568/getInfo.php?workbook=14_02.xlsx&amp;sheet=U0&amp;row=1965&amp;col=7&amp;number=0.868&amp;sourceID=14","0.868")</f>
        <v>0.868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HYPERLINK("http://141.218.60.56/~jnz1568/getInfo.php?workbook=14_02.xlsx&amp;sheet=U0&amp;row=1966&amp;col=6&amp;number=3.2&amp;sourceID=14","3.2")</f>
        <v>3.2</v>
      </c>
      <c r="G1966" s="4" t="str">
        <f>HYPERLINK("http://141.218.60.56/~jnz1568/getInfo.php?workbook=14_02.xlsx&amp;sheet=U0&amp;row=1966&amp;col=7&amp;number=0.868&amp;sourceID=14","0.868")</f>
        <v>0.868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HYPERLINK("http://141.218.60.56/~jnz1568/getInfo.php?workbook=14_02.xlsx&amp;sheet=U0&amp;row=1967&amp;col=6&amp;number=3.3&amp;sourceID=14","3.3")</f>
        <v>3.3</v>
      </c>
      <c r="G1967" s="4" t="str">
        <f>HYPERLINK("http://141.218.60.56/~jnz1568/getInfo.php?workbook=14_02.xlsx&amp;sheet=U0&amp;row=1967&amp;col=7&amp;number=0.868&amp;sourceID=14","0.868")</f>
        <v>0.868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HYPERLINK("http://141.218.60.56/~jnz1568/getInfo.php?workbook=14_02.xlsx&amp;sheet=U0&amp;row=1968&amp;col=6&amp;number=3.4&amp;sourceID=14","3.4")</f>
        <v>3.4</v>
      </c>
      <c r="G1968" s="4" t="str">
        <f>HYPERLINK("http://141.218.60.56/~jnz1568/getInfo.php?workbook=14_02.xlsx&amp;sheet=U0&amp;row=1968&amp;col=7&amp;number=0.868&amp;sourceID=14","0.868")</f>
        <v>0.868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HYPERLINK("http://141.218.60.56/~jnz1568/getInfo.php?workbook=14_02.xlsx&amp;sheet=U0&amp;row=1969&amp;col=6&amp;number=3.5&amp;sourceID=14","3.5")</f>
        <v>3.5</v>
      </c>
      <c r="G1969" s="4" t="str">
        <f>HYPERLINK("http://141.218.60.56/~jnz1568/getInfo.php?workbook=14_02.xlsx&amp;sheet=U0&amp;row=1969&amp;col=7&amp;number=0.868&amp;sourceID=14","0.868")</f>
        <v>0.868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HYPERLINK("http://141.218.60.56/~jnz1568/getInfo.php?workbook=14_02.xlsx&amp;sheet=U0&amp;row=1970&amp;col=6&amp;number=3.6&amp;sourceID=14","3.6")</f>
        <v>3.6</v>
      </c>
      <c r="G1970" s="4" t="str">
        <f>HYPERLINK("http://141.218.60.56/~jnz1568/getInfo.php?workbook=14_02.xlsx&amp;sheet=U0&amp;row=1970&amp;col=7&amp;number=0.868&amp;sourceID=14","0.868")</f>
        <v>0.868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HYPERLINK("http://141.218.60.56/~jnz1568/getInfo.php?workbook=14_02.xlsx&amp;sheet=U0&amp;row=1971&amp;col=6&amp;number=3.7&amp;sourceID=14","3.7")</f>
        <v>3.7</v>
      </c>
      <c r="G1971" s="4" t="str">
        <f>HYPERLINK("http://141.218.60.56/~jnz1568/getInfo.php?workbook=14_02.xlsx&amp;sheet=U0&amp;row=1971&amp;col=7&amp;number=0.868&amp;sourceID=14","0.868")</f>
        <v>0.868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HYPERLINK("http://141.218.60.56/~jnz1568/getInfo.php?workbook=14_02.xlsx&amp;sheet=U0&amp;row=1972&amp;col=6&amp;number=3.8&amp;sourceID=14","3.8")</f>
        <v>3.8</v>
      </c>
      <c r="G1972" s="4" t="str">
        <f>HYPERLINK("http://141.218.60.56/~jnz1568/getInfo.php?workbook=14_02.xlsx&amp;sheet=U0&amp;row=1972&amp;col=7&amp;number=0.868&amp;sourceID=14","0.868")</f>
        <v>0.868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HYPERLINK("http://141.218.60.56/~jnz1568/getInfo.php?workbook=14_02.xlsx&amp;sheet=U0&amp;row=1973&amp;col=6&amp;number=3.9&amp;sourceID=14","3.9")</f>
        <v>3.9</v>
      </c>
      <c r="G1973" s="4" t="str">
        <f>HYPERLINK("http://141.218.60.56/~jnz1568/getInfo.php?workbook=14_02.xlsx&amp;sheet=U0&amp;row=1973&amp;col=7&amp;number=0.869&amp;sourceID=14","0.869")</f>
        <v>0.869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HYPERLINK("http://141.218.60.56/~jnz1568/getInfo.php?workbook=14_02.xlsx&amp;sheet=U0&amp;row=1974&amp;col=6&amp;number=4&amp;sourceID=14","4")</f>
        <v>4</v>
      </c>
      <c r="G1974" s="4" t="str">
        <f>HYPERLINK("http://141.218.60.56/~jnz1568/getInfo.php?workbook=14_02.xlsx&amp;sheet=U0&amp;row=1974&amp;col=7&amp;number=0.869&amp;sourceID=14","0.869")</f>
        <v>0.869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HYPERLINK("http://141.218.60.56/~jnz1568/getInfo.php?workbook=14_02.xlsx&amp;sheet=U0&amp;row=1975&amp;col=6&amp;number=4.1&amp;sourceID=14","4.1")</f>
        <v>4.1</v>
      </c>
      <c r="G1975" s="4" t="str">
        <f>HYPERLINK("http://141.218.60.56/~jnz1568/getInfo.php?workbook=14_02.xlsx&amp;sheet=U0&amp;row=1975&amp;col=7&amp;number=0.869&amp;sourceID=14","0.869")</f>
        <v>0.869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HYPERLINK("http://141.218.60.56/~jnz1568/getInfo.php?workbook=14_02.xlsx&amp;sheet=U0&amp;row=1976&amp;col=6&amp;number=4.2&amp;sourceID=14","4.2")</f>
        <v>4.2</v>
      </c>
      <c r="G1976" s="4" t="str">
        <f>HYPERLINK("http://141.218.60.56/~jnz1568/getInfo.php?workbook=14_02.xlsx&amp;sheet=U0&amp;row=1976&amp;col=7&amp;number=0.87&amp;sourceID=14","0.87")</f>
        <v>0.87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HYPERLINK("http://141.218.60.56/~jnz1568/getInfo.php?workbook=14_02.xlsx&amp;sheet=U0&amp;row=1977&amp;col=6&amp;number=4.3&amp;sourceID=14","4.3")</f>
        <v>4.3</v>
      </c>
      <c r="G1977" s="4" t="str">
        <f>HYPERLINK("http://141.218.60.56/~jnz1568/getInfo.php?workbook=14_02.xlsx&amp;sheet=U0&amp;row=1977&amp;col=7&amp;number=0.87&amp;sourceID=14","0.87")</f>
        <v>0.87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HYPERLINK("http://141.218.60.56/~jnz1568/getInfo.php?workbook=14_02.xlsx&amp;sheet=U0&amp;row=1978&amp;col=6&amp;number=4.4&amp;sourceID=14","4.4")</f>
        <v>4.4</v>
      </c>
      <c r="G1978" s="4" t="str">
        <f>HYPERLINK("http://141.218.60.56/~jnz1568/getInfo.php?workbook=14_02.xlsx&amp;sheet=U0&amp;row=1978&amp;col=7&amp;number=0.871&amp;sourceID=14","0.871")</f>
        <v>0.871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HYPERLINK("http://141.218.60.56/~jnz1568/getInfo.php?workbook=14_02.xlsx&amp;sheet=U0&amp;row=1979&amp;col=6&amp;number=4.5&amp;sourceID=14","4.5")</f>
        <v>4.5</v>
      </c>
      <c r="G1979" s="4" t="str">
        <f>HYPERLINK("http://141.218.60.56/~jnz1568/getInfo.php?workbook=14_02.xlsx&amp;sheet=U0&amp;row=1979&amp;col=7&amp;number=0.872&amp;sourceID=14","0.872")</f>
        <v>0.872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HYPERLINK("http://141.218.60.56/~jnz1568/getInfo.php?workbook=14_02.xlsx&amp;sheet=U0&amp;row=1980&amp;col=6&amp;number=4.6&amp;sourceID=14","4.6")</f>
        <v>4.6</v>
      </c>
      <c r="G1980" s="4" t="str">
        <f>HYPERLINK("http://141.218.60.56/~jnz1568/getInfo.php?workbook=14_02.xlsx&amp;sheet=U0&amp;row=1980&amp;col=7&amp;number=0.873&amp;sourceID=14","0.873")</f>
        <v>0.873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HYPERLINK("http://141.218.60.56/~jnz1568/getInfo.php?workbook=14_02.xlsx&amp;sheet=U0&amp;row=1981&amp;col=6&amp;number=4.7&amp;sourceID=14","4.7")</f>
        <v>4.7</v>
      </c>
      <c r="G1981" s="4" t="str">
        <f>HYPERLINK("http://141.218.60.56/~jnz1568/getInfo.php?workbook=14_02.xlsx&amp;sheet=U0&amp;row=1981&amp;col=7&amp;number=0.875&amp;sourceID=14","0.875")</f>
        <v>0.875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HYPERLINK("http://141.218.60.56/~jnz1568/getInfo.php?workbook=14_02.xlsx&amp;sheet=U0&amp;row=1982&amp;col=6&amp;number=4.8&amp;sourceID=14","4.8")</f>
        <v>4.8</v>
      </c>
      <c r="G1982" s="4" t="str">
        <f>HYPERLINK("http://141.218.60.56/~jnz1568/getInfo.php?workbook=14_02.xlsx&amp;sheet=U0&amp;row=1982&amp;col=7&amp;number=0.876&amp;sourceID=14","0.876")</f>
        <v>0.876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HYPERLINK("http://141.218.60.56/~jnz1568/getInfo.php?workbook=14_02.xlsx&amp;sheet=U0&amp;row=1983&amp;col=6&amp;number=4.9&amp;sourceID=14","4.9")</f>
        <v>4.9</v>
      </c>
      <c r="G1983" s="4" t="str">
        <f>HYPERLINK("http://141.218.60.56/~jnz1568/getInfo.php?workbook=14_02.xlsx&amp;sheet=U0&amp;row=1983&amp;col=7&amp;number=0.879&amp;sourceID=14","0.879")</f>
        <v>0.879</v>
      </c>
    </row>
    <row r="1984" spans="1:7">
      <c r="A1984" s="3">
        <v>14</v>
      </c>
      <c r="B1984" s="3">
        <v>2</v>
      </c>
      <c r="C1984" s="3">
        <v>4</v>
      </c>
      <c r="D1984" s="3">
        <v>5</v>
      </c>
      <c r="E1984" s="3">
        <v>1</v>
      </c>
      <c r="F1984" s="4" t="str">
        <f>HYPERLINK("http://141.218.60.56/~jnz1568/getInfo.php?workbook=14_02.xlsx&amp;sheet=U0&amp;row=1984&amp;col=6&amp;number=3&amp;sourceID=14","3")</f>
        <v>3</v>
      </c>
      <c r="G1984" s="4" t="str">
        <f>HYPERLINK("http://141.218.60.56/~jnz1568/getInfo.php?workbook=14_02.xlsx&amp;sheet=U0&amp;row=1984&amp;col=7&amp;number=0.0391&amp;sourceID=14","0.0391")</f>
        <v>0.0391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HYPERLINK("http://141.218.60.56/~jnz1568/getInfo.php?workbook=14_02.xlsx&amp;sheet=U0&amp;row=1985&amp;col=6&amp;number=3.1&amp;sourceID=14","3.1")</f>
        <v>3.1</v>
      </c>
      <c r="G1985" s="4" t="str">
        <f>HYPERLINK("http://141.218.60.56/~jnz1568/getInfo.php?workbook=14_02.xlsx&amp;sheet=U0&amp;row=1985&amp;col=7&amp;number=0.0391&amp;sourceID=14","0.0391")</f>
        <v>0.0391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HYPERLINK("http://141.218.60.56/~jnz1568/getInfo.php?workbook=14_02.xlsx&amp;sheet=U0&amp;row=1986&amp;col=6&amp;number=3.2&amp;sourceID=14","3.2")</f>
        <v>3.2</v>
      </c>
      <c r="G1986" s="4" t="str">
        <f>HYPERLINK("http://141.218.60.56/~jnz1568/getInfo.php?workbook=14_02.xlsx&amp;sheet=U0&amp;row=1986&amp;col=7&amp;number=0.0391&amp;sourceID=14","0.0391")</f>
        <v>0.0391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HYPERLINK("http://141.218.60.56/~jnz1568/getInfo.php?workbook=14_02.xlsx&amp;sheet=U0&amp;row=1987&amp;col=6&amp;number=3.3&amp;sourceID=14","3.3")</f>
        <v>3.3</v>
      </c>
      <c r="G1987" s="4" t="str">
        <f>HYPERLINK("http://141.218.60.56/~jnz1568/getInfo.php?workbook=14_02.xlsx&amp;sheet=U0&amp;row=1987&amp;col=7&amp;number=0.0391&amp;sourceID=14","0.0391")</f>
        <v>0.0391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HYPERLINK("http://141.218.60.56/~jnz1568/getInfo.php?workbook=14_02.xlsx&amp;sheet=U0&amp;row=1988&amp;col=6&amp;number=3.4&amp;sourceID=14","3.4")</f>
        <v>3.4</v>
      </c>
      <c r="G1988" s="4" t="str">
        <f>HYPERLINK("http://141.218.60.56/~jnz1568/getInfo.php?workbook=14_02.xlsx&amp;sheet=U0&amp;row=1988&amp;col=7&amp;number=0.0391&amp;sourceID=14","0.0391")</f>
        <v>0.0391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HYPERLINK("http://141.218.60.56/~jnz1568/getInfo.php?workbook=14_02.xlsx&amp;sheet=U0&amp;row=1989&amp;col=6&amp;number=3.5&amp;sourceID=14","3.5")</f>
        <v>3.5</v>
      </c>
      <c r="G1989" s="4" t="str">
        <f>HYPERLINK("http://141.218.60.56/~jnz1568/getInfo.php?workbook=14_02.xlsx&amp;sheet=U0&amp;row=1989&amp;col=7&amp;number=0.0391&amp;sourceID=14","0.0391")</f>
        <v>0.0391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HYPERLINK("http://141.218.60.56/~jnz1568/getInfo.php?workbook=14_02.xlsx&amp;sheet=U0&amp;row=1990&amp;col=6&amp;number=3.6&amp;sourceID=14","3.6")</f>
        <v>3.6</v>
      </c>
      <c r="G1990" s="4" t="str">
        <f>HYPERLINK("http://141.218.60.56/~jnz1568/getInfo.php?workbook=14_02.xlsx&amp;sheet=U0&amp;row=1990&amp;col=7&amp;number=0.0391&amp;sourceID=14","0.0391")</f>
        <v>0.0391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HYPERLINK("http://141.218.60.56/~jnz1568/getInfo.php?workbook=14_02.xlsx&amp;sheet=U0&amp;row=1991&amp;col=6&amp;number=3.7&amp;sourceID=14","3.7")</f>
        <v>3.7</v>
      </c>
      <c r="G1991" s="4" t="str">
        <f>HYPERLINK("http://141.218.60.56/~jnz1568/getInfo.php?workbook=14_02.xlsx&amp;sheet=U0&amp;row=1991&amp;col=7&amp;number=0.0391&amp;sourceID=14","0.0391")</f>
        <v>0.0391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HYPERLINK("http://141.218.60.56/~jnz1568/getInfo.php?workbook=14_02.xlsx&amp;sheet=U0&amp;row=1992&amp;col=6&amp;number=3.8&amp;sourceID=14","3.8")</f>
        <v>3.8</v>
      </c>
      <c r="G1992" s="4" t="str">
        <f>HYPERLINK("http://141.218.60.56/~jnz1568/getInfo.php?workbook=14_02.xlsx&amp;sheet=U0&amp;row=1992&amp;col=7&amp;number=0.0391&amp;sourceID=14","0.0391")</f>
        <v>0.0391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HYPERLINK("http://141.218.60.56/~jnz1568/getInfo.php?workbook=14_02.xlsx&amp;sheet=U0&amp;row=1993&amp;col=6&amp;number=3.9&amp;sourceID=14","3.9")</f>
        <v>3.9</v>
      </c>
      <c r="G1993" s="4" t="str">
        <f>HYPERLINK("http://141.218.60.56/~jnz1568/getInfo.php?workbook=14_02.xlsx&amp;sheet=U0&amp;row=1993&amp;col=7&amp;number=0.0392&amp;sourceID=14","0.0392")</f>
        <v>0.0392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HYPERLINK("http://141.218.60.56/~jnz1568/getInfo.php?workbook=14_02.xlsx&amp;sheet=U0&amp;row=1994&amp;col=6&amp;number=4&amp;sourceID=14","4")</f>
        <v>4</v>
      </c>
      <c r="G1994" s="4" t="str">
        <f>HYPERLINK("http://141.218.60.56/~jnz1568/getInfo.php?workbook=14_02.xlsx&amp;sheet=U0&amp;row=1994&amp;col=7&amp;number=0.0392&amp;sourceID=14","0.0392")</f>
        <v>0.0392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HYPERLINK("http://141.218.60.56/~jnz1568/getInfo.php?workbook=14_02.xlsx&amp;sheet=U0&amp;row=1995&amp;col=6&amp;number=4.1&amp;sourceID=14","4.1")</f>
        <v>4.1</v>
      </c>
      <c r="G1995" s="4" t="str">
        <f>HYPERLINK("http://141.218.60.56/~jnz1568/getInfo.php?workbook=14_02.xlsx&amp;sheet=U0&amp;row=1995&amp;col=7&amp;number=0.0392&amp;sourceID=14","0.0392")</f>
        <v>0.0392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HYPERLINK("http://141.218.60.56/~jnz1568/getInfo.php?workbook=14_02.xlsx&amp;sheet=U0&amp;row=1996&amp;col=6&amp;number=4.2&amp;sourceID=14","4.2")</f>
        <v>4.2</v>
      </c>
      <c r="G1996" s="4" t="str">
        <f>HYPERLINK("http://141.218.60.56/~jnz1568/getInfo.php?workbook=14_02.xlsx&amp;sheet=U0&amp;row=1996&amp;col=7&amp;number=0.0392&amp;sourceID=14","0.0392")</f>
        <v>0.0392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HYPERLINK("http://141.218.60.56/~jnz1568/getInfo.php?workbook=14_02.xlsx&amp;sheet=U0&amp;row=1997&amp;col=6&amp;number=4.3&amp;sourceID=14","4.3")</f>
        <v>4.3</v>
      </c>
      <c r="G1997" s="4" t="str">
        <f>HYPERLINK("http://141.218.60.56/~jnz1568/getInfo.php?workbook=14_02.xlsx&amp;sheet=U0&amp;row=1997&amp;col=7&amp;number=0.0392&amp;sourceID=14","0.0392")</f>
        <v>0.0392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HYPERLINK("http://141.218.60.56/~jnz1568/getInfo.php?workbook=14_02.xlsx&amp;sheet=U0&amp;row=1998&amp;col=6&amp;number=4.4&amp;sourceID=14","4.4")</f>
        <v>4.4</v>
      </c>
      <c r="G1998" s="4" t="str">
        <f>HYPERLINK("http://141.218.60.56/~jnz1568/getInfo.php?workbook=14_02.xlsx&amp;sheet=U0&amp;row=1998&amp;col=7&amp;number=0.0393&amp;sourceID=14","0.0393")</f>
        <v>0.0393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HYPERLINK("http://141.218.60.56/~jnz1568/getInfo.php?workbook=14_02.xlsx&amp;sheet=U0&amp;row=1999&amp;col=6&amp;number=4.5&amp;sourceID=14","4.5")</f>
        <v>4.5</v>
      </c>
      <c r="G1999" s="4" t="str">
        <f>HYPERLINK("http://141.218.60.56/~jnz1568/getInfo.php?workbook=14_02.xlsx&amp;sheet=U0&amp;row=1999&amp;col=7&amp;number=0.0393&amp;sourceID=14","0.0393")</f>
        <v>0.0393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HYPERLINK("http://141.218.60.56/~jnz1568/getInfo.php?workbook=14_02.xlsx&amp;sheet=U0&amp;row=2000&amp;col=6&amp;number=4.6&amp;sourceID=14","4.6")</f>
        <v>4.6</v>
      </c>
      <c r="G2000" s="4" t="str">
        <f>HYPERLINK("http://141.218.60.56/~jnz1568/getInfo.php?workbook=14_02.xlsx&amp;sheet=U0&amp;row=2000&amp;col=7&amp;number=0.0394&amp;sourceID=14","0.0394")</f>
        <v>0.0394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HYPERLINK("http://141.218.60.56/~jnz1568/getInfo.php?workbook=14_02.xlsx&amp;sheet=U0&amp;row=2001&amp;col=6&amp;number=4.7&amp;sourceID=14","4.7")</f>
        <v>4.7</v>
      </c>
      <c r="G2001" s="4" t="str">
        <f>HYPERLINK("http://141.218.60.56/~jnz1568/getInfo.php?workbook=14_02.xlsx&amp;sheet=U0&amp;row=2001&amp;col=7&amp;number=0.0394&amp;sourceID=14","0.0394")</f>
        <v>0.0394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HYPERLINK("http://141.218.60.56/~jnz1568/getInfo.php?workbook=14_02.xlsx&amp;sheet=U0&amp;row=2002&amp;col=6&amp;number=4.8&amp;sourceID=14","4.8")</f>
        <v>4.8</v>
      </c>
      <c r="G2002" s="4" t="str">
        <f>HYPERLINK("http://141.218.60.56/~jnz1568/getInfo.php?workbook=14_02.xlsx&amp;sheet=U0&amp;row=2002&amp;col=7&amp;number=0.0395&amp;sourceID=14","0.0395")</f>
        <v>0.0395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HYPERLINK("http://141.218.60.56/~jnz1568/getInfo.php?workbook=14_02.xlsx&amp;sheet=U0&amp;row=2003&amp;col=6&amp;number=4.9&amp;sourceID=14","4.9")</f>
        <v>4.9</v>
      </c>
      <c r="G2003" s="4" t="str">
        <f>HYPERLINK("http://141.218.60.56/~jnz1568/getInfo.php?workbook=14_02.xlsx&amp;sheet=U0&amp;row=2003&amp;col=7&amp;number=0.0396&amp;sourceID=14","0.0396")</f>
        <v>0.0396</v>
      </c>
    </row>
    <row r="2004" spans="1:7">
      <c r="A2004" s="3">
        <v>14</v>
      </c>
      <c r="B2004" s="3">
        <v>2</v>
      </c>
      <c r="C2004" s="3">
        <v>4</v>
      </c>
      <c r="D2004" s="3">
        <v>6</v>
      </c>
      <c r="E2004" s="3">
        <v>1</v>
      </c>
      <c r="F2004" s="4" t="str">
        <f>HYPERLINK("http://141.218.60.56/~jnz1568/getInfo.php?workbook=14_02.xlsx&amp;sheet=U0&amp;row=2004&amp;col=6&amp;number=3&amp;sourceID=14","3")</f>
        <v>3</v>
      </c>
      <c r="G2004" s="4" t="str">
        <f>HYPERLINK("http://141.218.60.56/~jnz1568/getInfo.php?workbook=14_02.xlsx&amp;sheet=U0&amp;row=2004&amp;col=7&amp;number=0.041&amp;sourceID=14","0.041")</f>
        <v>0.041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HYPERLINK("http://141.218.60.56/~jnz1568/getInfo.php?workbook=14_02.xlsx&amp;sheet=U0&amp;row=2005&amp;col=6&amp;number=3.1&amp;sourceID=14","3.1")</f>
        <v>3.1</v>
      </c>
      <c r="G2005" s="4" t="str">
        <f>HYPERLINK("http://141.218.60.56/~jnz1568/getInfo.php?workbook=14_02.xlsx&amp;sheet=U0&amp;row=2005&amp;col=7&amp;number=0.041&amp;sourceID=14","0.041")</f>
        <v>0.041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HYPERLINK("http://141.218.60.56/~jnz1568/getInfo.php?workbook=14_02.xlsx&amp;sheet=U0&amp;row=2006&amp;col=6&amp;number=3.2&amp;sourceID=14","3.2")</f>
        <v>3.2</v>
      </c>
      <c r="G2006" s="4" t="str">
        <f>HYPERLINK("http://141.218.60.56/~jnz1568/getInfo.php?workbook=14_02.xlsx&amp;sheet=U0&amp;row=2006&amp;col=7&amp;number=0.041&amp;sourceID=14","0.041")</f>
        <v>0.041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HYPERLINK("http://141.218.60.56/~jnz1568/getInfo.php?workbook=14_02.xlsx&amp;sheet=U0&amp;row=2007&amp;col=6&amp;number=3.3&amp;sourceID=14","3.3")</f>
        <v>3.3</v>
      </c>
      <c r="G2007" s="4" t="str">
        <f>HYPERLINK("http://141.218.60.56/~jnz1568/getInfo.php?workbook=14_02.xlsx&amp;sheet=U0&amp;row=2007&amp;col=7&amp;number=0.041&amp;sourceID=14","0.041")</f>
        <v>0.041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HYPERLINK("http://141.218.60.56/~jnz1568/getInfo.php?workbook=14_02.xlsx&amp;sheet=U0&amp;row=2008&amp;col=6&amp;number=3.4&amp;sourceID=14","3.4")</f>
        <v>3.4</v>
      </c>
      <c r="G2008" s="4" t="str">
        <f>HYPERLINK("http://141.218.60.56/~jnz1568/getInfo.php?workbook=14_02.xlsx&amp;sheet=U0&amp;row=2008&amp;col=7&amp;number=0.041&amp;sourceID=14","0.041")</f>
        <v>0.041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HYPERLINK("http://141.218.60.56/~jnz1568/getInfo.php?workbook=14_02.xlsx&amp;sheet=U0&amp;row=2009&amp;col=6&amp;number=3.5&amp;sourceID=14","3.5")</f>
        <v>3.5</v>
      </c>
      <c r="G2009" s="4" t="str">
        <f>HYPERLINK("http://141.218.60.56/~jnz1568/getInfo.php?workbook=14_02.xlsx&amp;sheet=U0&amp;row=2009&amp;col=7&amp;number=0.041&amp;sourceID=14","0.041")</f>
        <v>0.041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HYPERLINK("http://141.218.60.56/~jnz1568/getInfo.php?workbook=14_02.xlsx&amp;sheet=U0&amp;row=2010&amp;col=6&amp;number=3.6&amp;sourceID=14","3.6")</f>
        <v>3.6</v>
      </c>
      <c r="G2010" s="4" t="str">
        <f>HYPERLINK("http://141.218.60.56/~jnz1568/getInfo.php?workbook=14_02.xlsx&amp;sheet=U0&amp;row=2010&amp;col=7&amp;number=0.041&amp;sourceID=14","0.041")</f>
        <v>0.041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HYPERLINK("http://141.218.60.56/~jnz1568/getInfo.php?workbook=14_02.xlsx&amp;sheet=U0&amp;row=2011&amp;col=6&amp;number=3.7&amp;sourceID=14","3.7")</f>
        <v>3.7</v>
      </c>
      <c r="G2011" s="4" t="str">
        <f>HYPERLINK("http://141.218.60.56/~jnz1568/getInfo.php?workbook=14_02.xlsx&amp;sheet=U0&amp;row=2011&amp;col=7&amp;number=0.041&amp;sourceID=14","0.041")</f>
        <v>0.041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HYPERLINK("http://141.218.60.56/~jnz1568/getInfo.php?workbook=14_02.xlsx&amp;sheet=U0&amp;row=2012&amp;col=6&amp;number=3.8&amp;sourceID=14","3.8")</f>
        <v>3.8</v>
      </c>
      <c r="G2012" s="4" t="str">
        <f>HYPERLINK("http://141.218.60.56/~jnz1568/getInfo.php?workbook=14_02.xlsx&amp;sheet=U0&amp;row=2012&amp;col=7&amp;number=0.041&amp;sourceID=14","0.041")</f>
        <v>0.041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HYPERLINK("http://141.218.60.56/~jnz1568/getInfo.php?workbook=14_02.xlsx&amp;sheet=U0&amp;row=2013&amp;col=6&amp;number=3.9&amp;sourceID=14","3.9")</f>
        <v>3.9</v>
      </c>
      <c r="G2013" s="4" t="str">
        <f>HYPERLINK("http://141.218.60.56/~jnz1568/getInfo.php?workbook=14_02.xlsx&amp;sheet=U0&amp;row=2013&amp;col=7&amp;number=0.041&amp;sourceID=14","0.041")</f>
        <v>0.041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HYPERLINK("http://141.218.60.56/~jnz1568/getInfo.php?workbook=14_02.xlsx&amp;sheet=U0&amp;row=2014&amp;col=6&amp;number=4&amp;sourceID=14","4")</f>
        <v>4</v>
      </c>
      <c r="G2014" s="4" t="str">
        <f>HYPERLINK("http://141.218.60.56/~jnz1568/getInfo.php?workbook=14_02.xlsx&amp;sheet=U0&amp;row=2014&amp;col=7&amp;number=0.041&amp;sourceID=14","0.041")</f>
        <v>0.041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HYPERLINK("http://141.218.60.56/~jnz1568/getInfo.php?workbook=14_02.xlsx&amp;sheet=U0&amp;row=2015&amp;col=6&amp;number=4.1&amp;sourceID=14","4.1")</f>
        <v>4.1</v>
      </c>
      <c r="G2015" s="4" t="str">
        <f>HYPERLINK("http://141.218.60.56/~jnz1568/getInfo.php?workbook=14_02.xlsx&amp;sheet=U0&amp;row=2015&amp;col=7&amp;number=0.0411&amp;sourceID=14","0.0411")</f>
        <v>0.0411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HYPERLINK("http://141.218.60.56/~jnz1568/getInfo.php?workbook=14_02.xlsx&amp;sheet=U0&amp;row=2016&amp;col=6&amp;number=4.2&amp;sourceID=14","4.2")</f>
        <v>4.2</v>
      </c>
      <c r="G2016" s="4" t="str">
        <f>HYPERLINK("http://141.218.60.56/~jnz1568/getInfo.php?workbook=14_02.xlsx&amp;sheet=U0&amp;row=2016&amp;col=7&amp;number=0.0411&amp;sourceID=14","0.0411")</f>
        <v>0.0411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HYPERLINK("http://141.218.60.56/~jnz1568/getInfo.php?workbook=14_02.xlsx&amp;sheet=U0&amp;row=2017&amp;col=6&amp;number=4.3&amp;sourceID=14","4.3")</f>
        <v>4.3</v>
      </c>
      <c r="G2017" s="4" t="str">
        <f>HYPERLINK("http://141.218.60.56/~jnz1568/getInfo.php?workbook=14_02.xlsx&amp;sheet=U0&amp;row=2017&amp;col=7&amp;number=0.0411&amp;sourceID=14","0.0411")</f>
        <v>0.0411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HYPERLINK("http://141.218.60.56/~jnz1568/getInfo.php?workbook=14_02.xlsx&amp;sheet=U0&amp;row=2018&amp;col=6&amp;number=4.4&amp;sourceID=14","4.4")</f>
        <v>4.4</v>
      </c>
      <c r="G2018" s="4" t="str">
        <f>HYPERLINK("http://141.218.60.56/~jnz1568/getInfo.php?workbook=14_02.xlsx&amp;sheet=U0&amp;row=2018&amp;col=7&amp;number=0.0411&amp;sourceID=14","0.0411")</f>
        <v>0.0411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HYPERLINK("http://141.218.60.56/~jnz1568/getInfo.php?workbook=14_02.xlsx&amp;sheet=U0&amp;row=2019&amp;col=6&amp;number=4.5&amp;sourceID=14","4.5")</f>
        <v>4.5</v>
      </c>
      <c r="G2019" s="4" t="str">
        <f>HYPERLINK("http://141.218.60.56/~jnz1568/getInfo.php?workbook=14_02.xlsx&amp;sheet=U0&amp;row=2019&amp;col=7&amp;number=0.0411&amp;sourceID=14","0.0411")</f>
        <v>0.0411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HYPERLINK("http://141.218.60.56/~jnz1568/getInfo.php?workbook=14_02.xlsx&amp;sheet=U0&amp;row=2020&amp;col=6&amp;number=4.6&amp;sourceID=14","4.6")</f>
        <v>4.6</v>
      </c>
      <c r="G2020" s="4" t="str">
        <f>HYPERLINK("http://141.218.60.56/~jnz1568/getInfo.php?workbook=14_02.xlsx&amp;sheet=U0&amp;row=2020&amp;col=7&amp;number=0.0412&amp;sourceID=14","0.0412")</f>
        <v>0.0412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HYPERLINK("http://141.218.60.56/~jnz1568/getInfo.php?workbook=14_02.xlsx&amp;sheet=U0&amp;row=2021&amp;col=6&amp;number=4.7&amp;sourceID=14","4.7")</f>
        <v>4.7</v>
      </c>
      <c r="G2021" s="4" t="str">
        <f>HYPERLINK("http://141.218.60.56/~jnz1568/getInfo.php?workbook=14_02.xlsx&amp;sheet=U0&amp;row=2021&amp;col=7&amp;number=0.0412&amp;sourceID=14","0.0412")</f>
        <v>0.0412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HYPERLINK("http://141.218.60.56/~jnz1568/getInfo.php?workbook=14_02.xlsx&amp;sheet=U0&amp;row=2022&amp;col=6&amp;number=4.8&amp;sourceID=14","4.8")</f>
        <v>4.8</v>
      </c>
      <c r="G2022" s="4" t="str">
        <f>HYPERLINK("http://141.218.60.56/~jnz1568/getInfo.php?workbook=14_02.xlsx&amp;sheet=U0&amp;row=2022&amp;col=7&amp;number=0.0413&amp;sourceID=14","0.0413")</f>
        <v>0.0413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HYPERLINK("http://141.218.60.56/~jnz1568/getInfo.php?workbook=14_02.xlsx&amp;sheet=U0&amp;row=2023&amp;col=6&amp;number=4.9&amp;sourceID=14","4.9")</f>
        <v>4.9</v>
      </c>
      <c r="G2023" s="4" t="str">
        <f>HYPERLINK("http://141.218.60.56/~jnz1568/getInfo.php?workbook=14_02.xlsx&amp;sheet=U0&amp;row=2023&amp;col=7&amp;number=0.0414&amp;sourceID=14","0.0414")</f>
        <v>0.0414</v>
      </c>
    </row>
    <row r="2024" spans="1:7">
      <c r="A2024" s="3">
        <v>14</v>
      </c>
      <c r="B2024" s="3">
        <v>2</v>
      </c>
      <c r="C2024" s="3">
        <v>4</v>
      </c>
      <c r="D2024" s="3">
        <v>7</v>
      </c>
      <c r="E2024" s="3">
        <v>1</v>
      </c>
      <c r="F2024" s="4" t="str">
        <f>HYPERLINK("http://141.218.60.56/~jnz1568/getInfo.php?workbook=14_02.xlsx&amp;sheet=U0&amp;row=2024&amp;col=6&amp;number=3&amp;sourceID=14","3")</f>
        <v>3</v>
      </c>
      <c r="G2024" s="4" t="str">
        <f>HYPERLINK("http://141.218.60.56/~jnz1568/getInfo.php?workbook=14_02.xlsx&amp;sheet=U0&amp;row=2024&amp;col=7&amp;number=0.0195&amp;sourceID=14","0.0195")</f>
        <v>0.0195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HYPERLINK("http://141.218.60.56/~jnz1568/getInfo.php?workbook=14_02.xlsx&amp;sheet=U0&amp;row=2025&amp;col=6&amp;number=3.1&amp;sourceID=14","3.1")</f>
        <v>3.1</v>
      </c>
      <c r="G2025" s="4" t="str">
        <f>HYPERLINK("http://141.218.60.56/~jnz1568/getInfo.php?workbook=14_02.xlsx&amp;sheet=U0&amp;row=2025&amp;col=7&amp;number=0.0195&amp;sourceID=14","0.0195")</f>
        <v>0.0195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HYPERLINK("http://141.218.60.56/~jnz1568/getInfo.php?workbook=14_02.xlsx&amp;sheet=U0&amp;row=2026&amp;col=6&amp;number=3.2&amp;sourceID=14","3.2")</f>
        <v>3.2</v>
      </c>
      <c r="G2026" s="4" t="str">
        <f>HYPERLINK("http://141.218.60.56/~jnz1568/getInfo.php?workbook=14_02.xlsx&amp;sheet=U0&amp;row=2026&amp;col=7&amp;number=0.0195&amp;sourceID=14","0.0195")</f>
        <v>0.0195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HYPERLINK("http://141.218.60.56/~jnz1568/getInfo.php?workbook=14_02.xlsx&amp;sheet=U0&amp;row=2027&amp;col=6&amp;number=3.3&amp;sourceID=14","3.3")</f>
        <v>3.3</v>
      </c>
      <c r="G2027" s="4" t="str">
        <f>HYPERLINK("http://141.218.60.56/~jnz1568/getInfo.php?workbook=14_02.xlsx&amp;sheet=U0&amp;row=2027&amp;col=7&amp;number=0.0195&amp;sourceID=14","0.0195")</f>
        <v>0.0195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HYPERLINK("http://141.218.60.56/~jnz1568/getInfo.php?workbook=14_02.xlsx&amp;sheet=U0&amp;row=2028&amp;col=6&amp;number=3.4&amp;sourceID=14","3.4")</f>
        <v>3.4</v>
      </c>
      <c r="G2028" s="4" t="str">
        <f>HYPERLINK("http://141.218.60.56/~jnz1568/getInfo.php?workbook=14_02.xlsx&amp;sheet=U0&amp;row=2028&amp;col=7&amp;number=0.0196&amp;sourceID=14","0.0196")</f>
        <v>0.0196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HYPERLINK("http://141.218.60.56/~jnz1568/getInfo.php?workbook=14_02.xlsx&amp;sheet=U0&amp;row=2029&amp;col=6&amp;number=3.5&amp;sourceID=14","3.5")</f>
        <v>3.5</v>
      </c>
      <c r="G2029" s="4" t="str">
        <f>HYPERLINK("http://141.218.60.56/~jnz1568/getInfo.php?workbook=14_02.xlsx&amp;sheet=U0&amp;row=2029&amp;col=7&amp;number=0.0196&amp;sourceID=14","0.0196")</f>
        <v>0.0196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HYPERLINK("http://141.218.60.56/~jnz1568/getInfo.php?workbook=14_02.xlsx&amp;sheet=U0&amp;row=2030&amp;col=6&amp;number=3.6&amp;sourceID=14","3.6")</f>
        <v>3.6</v>
      </c>
      <c r="G2030" s="4" t="str">
        <f>HYPERLINK("http://141.218.60.56/~jnz1568/getInfo.php?workbook=14_02.xlsx&amp;sheet=U0&amp;row=2030&amp;col=7&amp;number=0.0196&amp;sourceID=14","0.0196")</f>
        <v>0.0196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HYPERLINK("http://141.218.60.56/~jnz1568/getInfo.php?workbook=14_02.xlsx&amp;sheet=U0&amp;row=2031&amp;col=6&amp;number=3.7&amp;sourceID=14","3.7")</f>
        <v>3.7</v>
      </c>
      <c r="G2031" s="4" t="str">
        <f>HYPERLINK("http://141.218.60.56/~jnz1568/getInfo.php?workbook=14_02.xlsx&amp;sheet=U0&amp;row=2031&amp;col=7&amp;number=0.0196&amp;sourceID=14","0.0196")</f>
        <v>0.0196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HYPERLINK("http://141.218.60.56/~jnz1568/getInfo.php?workbook=14_02.xlsx&amp;sheet=U0&amp;row=2032&amp;col=6&amp;number=3.8&amp;sourceID=14","3.8")</f>
        <v>3.8</v>
      </c>
      <c r="G2032" s="4" t="str">
        <f>HYPERLINK("http://141.218.60.56/~jnz1568/getInfo.php?workbook=14_02.xlsx&amp;sheet=U0&amp;row=2032&amp;col=7&amp;number=0.0196&amp;sourceID=14","0.0196")</f>
        <v>0.0196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HYPERLINK("http://141.218.60.56/~jnz1568/getInfo.php?workbook=14_02.xlsx&amp;sheet=U0&amp;row=2033&amp;col=6&amp;number=3.9&amp;sourceID=14","3.9")</f>
        <v>3.9</v>
      </c>
      <c r="G2033" s="4" t="str">
        <f>HYPERLINK("http://141.218.60.56/~jnz1568/getInfo.php?workbook=14_02.xlsx&amp;sheet=U0&amp;row=2033&amp;col=7&amp;number=0.0196&amp;sourceID=14","0.0196")</f>
        <v>0.0196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HYPERLINK("http://141.218.60.56/~jnz1568/getInfo.php?workbook=14_02.xlsx&amp;sheet=U0&amp;row=2034&amp;col=6&amp;number=4&amp;sourceID=14","4")</f>
        <v>4</v>
      </c>
      <c r="G2034" s="4" t="str">
        <f>HYPERLINK("http://141.218.60.56/~jnz1568/getInfo.php?workbook=14_02.xlsx&amp;sheet=U0&amp;row=2034&amp;col=7&amp;number=0.0196&amp;sourceID=14","0.0196")</f>
        <v>0.0196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HYPERLINK("http://141.218.60.56/~jnz1568/getInfo.php?workbook=14_02.xlsx&amp;sheet=U0&amp;row=2035&amp;col=6&amp;number=4.1&amp;sourceID=14","4.1")</f>
        <v>4.1</v>
      </c>
      <c r="G2035" s="4" t="str">
        <f>HYPERLINK("http://141.218.60.56/~jnz1568/getInfo.php?workbook=14_02.xlsx&amp;sheet=U0&amp;row=2035&amp;col=7&amp;number=0.0196&amp;sourceID=14","0.0196")</f>
        <v>0.0196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HYPERLINK("http://141.218.60.56/~jnz1568/getInfo.php?workbook=14_02.xlsx&amp;sheet=U0&amp;row=2036&amp;col=6&amp;number=4.2&amp;sourceID=14","4.2")</f>
        <v>4.2</v>
      </c>
      <c r="G2036" s="4" t="str">
        <f>HYPERLINK("http://141.218.60.56/~jnz1568/getInfo.php?workbook=14_02.xlsx&amp;sheet=U0&amp;row=2036&amp;col=7&amp;number=0.0196&amp;sourceID=14","0.0196")</f>
        <v>0.0196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HYPERLINK("http://141.218.60.56/~jnz1568/getInfo.php?workbook=14_02.xlsx&amp;sheet=U0&amp;row=2037&amp;col=6&amp;number=4.3&amp;sourceID=14","4.3")</f>
        <v>4.3</v>
      </c>
      <c r="G2037" s="4" t="str">
        <f>HYPERLINK("http://141.218.60.56/~jnz1568/getInfo.php?workbook=14_02.xlsx&amp;sheet=U0&amp;row=2037&amp;col=7&amp;number=0.0196&amp;sourceID=14","0.0196")</f>
        <v>0.0196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HYPERLINK("http://141.218.60.56/~jnz1568/getInfo.php?workbook=14_02.xlsx&amp;sheet=U0&amp;row=2038&amp;col=6&amp;number=4.4&amp;sourceID=14","4.4")</f>
        <v>4.4</v>
      </c>
      <c r="G2038" s="4" t="str">
        <f>HYPERLINK("http://141.218.60.56/~jnz1568/getInfo.php?workbook=14_02.xlsx&amp;sheet=U0&amp;row=2038&amp;col=7&amp;number=0.0196&amp;sourceID=14","0.0196")</f>
        <v>0.0196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HYPERLINK("http://141.218.60.56/~jnz1568/getInfo.php?workbook=14_02.xlsx&amp;sheet=U0&amp;row=2039&amp;col=6&amp;number=4.5&amp;sourceID=14","4.5")</f>
        <v>4.5</v>
      </c>
      <c r="G2039" s="4" t="str">
        <f>HYPERLINK("http://141.218.60.56/~jnz1568/getInfo.php?workbook=14_02.xlsx&amp;sheet=U0&amp;row=2039&amp;col=7&amp;number=0.0197&amp;sourceID=14","0.0197")</f>
        <v>0.0197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HYPERLINK("http://141.218.60.56/~jnz1568/getInfo.php?workbook=14_02.xlsx&amp;sheet=U0&amp;row=2040&amp;col=6&amp;number=4.6&amp;sourceID=14","4.6")</f>
        <v>4.6</v>
      </c>
      <c r="G2040" s="4" t="str">
        <f>HYPERLINK("http://141.218.60.56/~jnz1568/getInfo.php?workbook=14_02.xlsx&amp;sheet=U0&amp;row=2040&amp;col=7&amp;number=0.0197&amp;sourceID=14","0.0197")</f>
        <v>0.0197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HYPERLINK("http://141.218.60.56/~jnz1568/getInfo.php?workbook=14_02.xlsx&amp;sheet=U0&amp;row=2041&amp;col=6&amp;number=4.7&amp;sourceID=14","4.7")</f>
        <v>4.7</v>
      </c>
      <c r="G2041" s="4" t="str">
        <f>HYPERLINK("http://141.218.60.56/~jnz1568/getInfo.php?workbook=14_02.xlsx&amp;sheet=U0&amp;row=2041&amp;col=7&amp;number=0.0197&amp;sourceID=14","0.0197")</f>
        <v>0.0197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HYPERLINK("http://141.218.60.56/~jnz1568/getInfo.php?workbook=14_02.xlsx&amp;sheet=U0&amp;row=2042&amp;col=6&amp;number=4.8&amp;sourceID=14","4.8")</f>
        <v>4.8</v>
      </c>
      <c r="G2042" s="4" t="str">
        <f>HYPERLINK("http://141.218.60.56/~jnz1568/getInfo.php?workbook=14_02.xlsx&amp;sheet=U0&amp;row=2042&amp;col=7&amp;number=0.0198&amp;sourceID=14","0.0198")</f>
        <v>0.0198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HYPERLINK("http://141.218.60.56/~jnz1568/getInfo.php?workbook=14_02.xlsx&amp;sheet=U0&amp;row=2043&amp;col=6&amp;number=4.9&amp;sourceID=14","4.9")</f>
        <v>4.9</v>
      </c>
      <c r="G2043" s="4" t="str">
        <f>HYPERLINK("http://141.218.60.56/~jnz1568/getInfo.php?workbook=14_02.xlsx&amp;sheet=U0&amp;row=2043&amp;col=7&amp;number=0.0199&amp;sourceID=14","0.0199")</f>
        <v>0.0199</v>
      </c>
    </row>
    <row r="2044" spans="1:7">
      <c r="A2044" s="3">
        <v>14</v>
      </c>
      <c r="B2044" s="3">
        <v>2</v>
      </c>
      <c r="C2044" s="3">
        <v>5</v>
      </c>
      <c r="D2044" s="3">
        <v>6</v>
      </c>
      <c r="E2044" s="3">
        <v>1</v>
      </c>
      <c r="F2044" s="4" t="str">
        <f>HYPERLINK("http://141.218.60.56/~jnz1568/getInfo.php?workbook=14_02.xlsx&amp;sheet=U0&amp;row=2044&amp;col=6&amp;number=3&amp;sourceID=14","3")</f>
        <v>3</v>
      </c>
      <c r="G2044" s="4" t="str">
        <f>HYPERLINK("http://141.218.60.56/~jnz1568/getInfo.php?workbook=14_02.xlsx&amp;sheet=U0&amp;row=2044&amp;col=7&amp;number=0.137&amp;sourceID=14","0.137")</f>
        <v>0.137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HYPERLINK("http://141.218.60.56/~jnz1568/getInfo.php?workbook=14_02.xlsx&amp;sheet=U0&amp;row=2045&amp;col=6&amp;number=3.1&amp;sourceID=14","3.1")</f>
        <v>3.1</v>
      </c>
      <c r="G2045" s="4" t="str">
        <f>HYPERLINK("http://141.218.60.56/~jnz1568/getInfo.php?workbook=14_02.xlsx&amp;sheet=U0&amp;row=2045&amp;col=7&amp;number=0.137&amp;sourceID=14","0.137")</f>
        <v>0.137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HYPERLINK("http://141.218.60.56/~jnz1568/getInfo.php?workbook=14_02.xlsx&amp;sheet=U0&amp;row=2046&amp;col=6&amp;number=3.2&amp;sourceID=14","3.2")</f>
        <v>3.2</v>
      </c>
      <c r="G2046" s="4" t="str">
        <f>HYPERLINK("http://141.218.60.56/~jnz1568/getInfo.php?workbook=14_02.xlsx&amp;sheet=U0&amp;row=2046&amp;col=7&amp;number=0.137&amp;sourceID=14","0.137")</f>
        <v>0.137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HYPERLINK("http://141.218.60.56/~jnz1568/getInfo.php?workbook=14_02.xlsx&amp;sheet=U0&amp;row=2047&amp;col=6&amp;number=3.3&amp;sourceID=14","3.3")</f>
        <v>3.3</v>
      </c>
      <c r="G2047" s="4" t="str">
        <f>HYPERLINK("http://141.218.60.56/~jnz1568/getInfo.php?workbook=14_02.xlsx&amp;sheet=U0&amp;row=2047&amp;col=7&amp;number=0.137&amp;sourceID=14","0.137")</f>
        <v>0.137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HYPERLINK("http://141.218.60.56/~jnz1568/getInfo.php?workbook=14_02.xlsx&amp;sheet=U0&amp;row=2048&amp;col=6&amp;number=3.4&amp;sourceID=14","3.4")</f>
        <v>3.4</v>
      </c>
      <c r="G2048" s="4" t="str">
        <f>HYPERLINK("http://141.218.60.56/~jnz1568/getInfo.php?workbook=14_02.xlsx&amp;sheet=U0&amp;row=2048&amp;col=7&amp;number=0.137&amp;sourceID=14","0.137")</f>
        <v>0.137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HYPERLINK("http://141.218.60.56/~jnz1568/getInfo.php?workbook=14_02.xlsx&amp;sheet=U0&amp;row=2049&amp;col=6&amp;number=3.5&amp;sourceID=14","3.5")</f>
        <v>3.5</v>
      </c>
      <c r="G2049" s="4" t="str">
        <f>HYPERLINK("http://141.218.60.56/~jnz1568/getInfo.php?workbook=14_02.xlsx&amp;sheet=U0&amp;row=2049&amp;col=7&amp;number=0.137&amp;sourceID=14","0.137")</f>
        <v>0.137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HYPERLINK("http://141.218.60.56/~jnz1568/getInfo.php?workbook=14_02.xlsx&amp;sheet=U0&amp;row=2050&amp;col=6&amp;number=3.6&amp;sourceID=14","3.6")</f>
        <v>3.6</v>
      </c>
      <c r="G2050" s="4" t="str">
        <f>HYPERLINK("http://141.218.60.56/~jnz1568/getInfo.php?workbook=14_02.xlsx&amp;sheet=U0&amp;row=2050&amp;col=7&amp;number=0.138&amp;sourceID=14","0.138")</f>
        <v>0.138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HYPERLINK("http://141.218.60.56/~jnz1568/getInfo.php?workbook=14_02.xlsx&amp;sheet=U0&amp;row=2051&amp;col=6&amp;number=3.7&amp;sourceID=14","3.7")</f>
        <v>3.7</v>
      </c>
      <c r="G2051" s="4" t="str">
        <f>HYPERLINK("http://141.218.60.56/~jnz1568/getInfo.php?workbook=14_02.xlsx&amp;sheet=U0&amp;row=2051&amp;col=7&amp;number=0.138&amp;sourceID=14","0.138")</f>
        <v>0.138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HYPERLINK("http://141.218.60.56/~jnz1568/getInfo.php?workbook=14_02.xlsx&amp;sheet=U0&amp;row=2052&amp;col=6&amp;number=3.8&amp;sourceID=14","3.8")</f>
        <v>3.8</v>
      </c>
      <c r="G2052" s="4" t="str">
        <f>HYPERLINK("http://141.218.60.56/~jnz1568/getInfo.php?workbook=14_02.xlsx&amp;sheet=U0&amp;row=2052&amp;col=7&amp;number=0.138&amp;sourceID=14","0.138")</f>
        <v>0.138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HYPERLINK("http://141.218.60.56/~jnz1568/getInfo.php?workbook=14_02.xlsx&amp;sheet=U0&amp;row=2053&amp;col=6&amp;number=3.9&amp;sourceID=14","3.9")</f>
        <v>3.9</v>
      </c>
      <c r="G2053" s="4" t="str">
        <f>HYPERLINK("http://141.218.60.56/~jnz1568/getInfo.php?workbook=14_02.xlsx&amp;sheet=U0&amp;row=2053&amp;col=7&amp;number=0.138&amp;sourceID=14","0.138")</f>
        <v>0.138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HYPERLINK("http://141.218.60.56/~jnz1568/getInfo.php?workbook=14_02.xlsx&amp;sheet=U0&amp;row=2054&amp;col=6&amp;number=4&amp;sourceID=14","4")</f>
        <v>4</v>
      </c>
      <c r="G2054" s="4" t="str">
        <f>HYPERLINK("http://141.218.60.56/~jnz1568/getInfo.php?workbook=14_02.xlsx&amp;sheet=U0&amp;row=2054&amp;col=7&amp;number=0.138&amp;sourceID=14","0.138")</f>
        <v>0.138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HYPERLINK("http://141.218.60.56/~jnz1568/getInfo.php?workbook=14_02.xlsx&amp;sheet=U0&amp;row=2055&amp;col=6&amp;number=4.1&amp;sourceID=14","4.1")</f>
        <v>4.1</v>
      </c>
      <c r="G2055" s="4" t="str">
        <f>HYPERLINK("http://141.218.60.56/~jnz1568/getInfo.php?workbook=14_02.xlsx&amp;sheet=U0&amp;row=2055&amp;col=7&amp;number=0.138&amp;sourceID=14","0.138")</f>
        <v>0.138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HYPERLINK("http://141.218.60.56/~jnz1568/getInfo.php?workbook=14_02.xlsx&amp;sheet=U0&amp;row=2056&amp;col=6&amp;number=4.2&amp;sourceID=14","4.2")</f>
        <v>4.2</v>
      </c>
      <c r="G2056" s="4" t="str">
        <f>HYPERLINK("http://141.218.60.56/~jnz1568/getInfo.php?workbook=14_02.xlsx&amp;sheet=U0&amp;row=2056&amp;col=7&amp;number=0.138&amp;sourceID=14","0.138")</f>
        <v>0.138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HYPERLINK("http://141.218.60.56/~jnz1568/getInfo.php?workbook=14_02.xlsx&amp;sheet=U0&amp;row=2057&amp;col=6&amp;number=4.3&amp;sourceID=14","4.3")</f>
        <v>4.3</v>
      </c>
      <c r="G2057" s="4" t="str">
        <f>HYPERLINK("http://141.218.60.56/~jnz1568/getInfo.php?workbook=14_02.xlsx&amp;sheet=U0&amp;row=2057&amp;col=7&amp;number=0.138&amp;sourceID=14","0.138")</f>
        <v>0.138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HYPERLINK("http://141.218.60.56/~jnz1568/getInfo.php?workbook=14_02.xlsx&amp;sheet=U0&amp;row=2058&amp;col=6&amp;number=4.4&amp;sourceID=14","4.4")</f>
        <v>4.4</v>
      </c>
      <c r="G2058" s="4" t="str">
        <f>HYPERLINK("http://141.218.60.56/~jnz1568/getInfo.php?workbook=14_02.xlsx&amp;sheet=U0&amp;row=2058&amp;col=7&amp;number=0.138&amp;sourceID=14","0.138")</f>
        <v>0.138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HYPERLINK("http://141.218.60.56/~jnz1568/getInfo.php?workbook=14_02.xlsx&amp;sheet=U0&amp;row=2059&amp;col=6&amp;number=4.5&amp;sourceID=14","4.5")</f>
        <v>4.5</v>
      </c>
      <c r="G2059" s="4" t="str">
        <f>HYPERLINK("http://141.218.60.56/~jnz1568/getInfo.php?workbook=14_02.xlsx&amp;sheet=U0&amp;row=2059&amp;col=7&amp;number=0.138&amp;sourceID=14","0.138")</f>
        <v>0.138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HYPERLINK("http://141.218.60.56/~jnz1568/getInfo.php?workbook=14_02.xlsx&amp;sheet=U0&amp;row=2060&amp;col=6&amp;number=4.6&amp;sourceID=14","4.6")</f>
        <v>4.6</v>
      </c>
      <c r="G2060" s="4" t="str">
        <f>HYPERLINK("http://141.218.60.56/~jnz1568/getInfo.php?workbook=14_02.xlsx&amp;sheet=U0&amp;row=2060&amp;col=7&amp;number=0.138&amp;sourceID=14","0.138")</f>
        <v>0.138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HYPERLINK("http://141.218.60.56/~jnz1568/getInfo.php?workbook=14_02.xlsx&amp;sheet=U0&amp;row=2061&amp;col=6&amp;number=4.7&amp;sourceID=14","4.7")</f>
        <v>4.7</v>
      </c>
      <c r="G2061" s="4" t="str">
        <f>HYPERLINK("http://141.218.60.56/~jnz1568/getInfo.php?workbook=14_02.xlsx&amp;sheet=U0&amp;row=2061&amp;col=7&amp;number=0.139&amp;sourceID=14","0.139")</f>
        <v>0.139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HYPERLINK("http://141.218.60.56/~jnz1568/getInfo.php?workbook=14_02.xlsx&amp;sheet=U0&amp;row=2062&amp;col=6&amp;number=4.8&amp;sourceID=14","4.8")</f>
        <v>4.8</v>
      </c>
      <c r="G2062" s="4" t="str">
        <f>HYPERLINK("http://141.218.60.56/~jnz1568/getInfo.php?workbook=14_02.xlsx&amp;sheet=U0&amp;row=2062&amp;col=7&amp;number=0.139&amp;sourceID=14","0.139")</f>
        <v>0.139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HYPERLINK("http://141.218.60.56/~jnz1568/getInfo.php?workbook=14_02.xlsx&amp;sheet=U0&amp;row=2063&amp;col=6&amp;number=4.9&amp;sourceID=14","4.9")</f>
        <v>4.9</v>
      </c>
      <c r="G2063" s="4" t="str">
        <f>HYPERLINK("http://141.218.60.56/~jnz1568/getInfo.php?workbook=14_02.xlsx&amp;sheet=U0&amp;row=2063&amp;col=7&amp;number=0.139&amp;sourceID=14","0.139")</f>
        <v>0.139</v>
      </c>
    </row>
    <row r="2064" spans="1:7">
      <c r="A2064" s="3">
        <v>14</v>
      </c>
      <c r="B2064" s="3">
        <v>2</v>
      </c>
      <c r="C2064" s="3">
        <v>5</v>
      </c>
      <c r="D2064" s="3">
        <v>7</v>
      </c>
      <c r="E2064" s="3">
        <v>1</v>
      </c>
      <c r="F2064" s="4" t="str">
        <f>HYPERLINK("http://141.218.60.56/~jnz1568/getInfo.php?workbook=14_02.xlsx&amp;sheet=U0&amp;row=2064&amp;col=6&amp;number=3&amp;sourceID=14","3")</f>
        <v>3</v>
      </c>
      <c r="G2064" s="4" t="str">
        <f>HYPERLINK("http://141.218.60.56/~jnz1568/getInfo.php?workbook=14_02.xlsx&amp;sheet=U0&amp;row=2064&amp;col=7&amp;number=0.0619&amp;sourceID=14","0.0619")</f>
        <v>0.0619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HYPERLINK("http://141.218.60.56/~jnz1568/getInfo.php?workbook=14_02.xlsx&amp;sheet=U0&amp;row=2065&amp;col=6&amp;number=3.1&amp;sourceID=14","3.1")</f>
        <v>3.1</v>
      </c>
      <c r="G2065" s="4" t="str">
        <f>HYPERLINK("http://141.218.60.56/~jnz1568/getInfo.php?workbook=14_02.xlsx&amp;sheet=U0&amp;row=2065&amp;col=7&amp;number=0.0619&amp;sourceID=14","0.0619")</f>
        <v>0.0619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HYPERLINK("http://141.218.60.56/~jnz1568/getInfo.php?workbook=14_02.xlsx&amp;sheet=U0&amp;row=2066&amp;col=6&amp;number=3.2&amp;sourceID=14","3.2")</f>
        <v>3.2</v>
      </c>
      <c r="G2066" s="4" t="str">
        <f>HYPERLINK("http://141.218.60.56/~jnz1568/getInfo.php?workbook=14_02.xlsx&amp;sheet=U0&amp;row=2066&amp;col=7&amp;number=0.0619&amp;sourceID=14","0.0619")</f>
        <v>0.0619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HYPERLINK("http://141.218.60.56/~jnz1568/getInfo.php?workbook=14_02.xlsx&amp;sheet=U0&amp;row=2067&amp;col=6&amp;number=3.3&amp;sourceID=14","3.3")</f>
        <v>3.3</v>
      </c>
      <c r="G2067" s="4" t="str">
        <f>HYPERLINK("http://141.218.60.56/~jnz1568/getInfo.php?workbook=14_02.xlsx&amp;sheet=U0&amp;row=2067&amp;col=7&amp;number=0.0619&amp;sourceID=14","0.0619")</f>
        <v>0.0619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HYPERLINK("http://141.218.60.56/~jnz1568/getInfo.php?workbook=14_02.xlsx&amp;sheet=U0&amp;row=2068&amp;col=6&amp;number=3.4&amp;sourceID=14","3.4")</f>
        <v>3.4</v>
      </c>
      <c r="G2068" s="4" t="str">
        <f>HYPERLINK("http://141.218.60.56/~jnz1568/getInfo.php?workbook=14_02.xlsx&amp;sheet=U0&amp;row=2068&amp;col=7&amp;number=0.0619&amp;sourceID=14","0.0619")</f>
        <v>0.0619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HYPERLINK("http://141.218.60.56/~jnz1568/getInfo.php?workbook=14_02.xlsx&amp;sheet=U0&amp;row=2069&amp;col=6&amp;number=3.5&amp;sourceID=14","3.5")</f>
        <v>3.5</v>
      </c>
      <c r="G2069" s="4" t="str">
        <f>HYPERLINK("http://141.218.60.56/~jnz1568/getInfo.php?workbook=14_02.xlsx&amp;sheet=U0&amp;row=2069&amp;col=7&amp;number=0.0619&amp;sourceID=14","0.0619")</f>
        <v>0.0619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HYPERLINK("http://141.218.60.56/~jnz1568/getInfo.php?workbook=14_02.xlsx&amp;sheet=U0&amp;row=2070&amp;col=6&amp;number=3.6&amp;sourceID=14","3.6")</f>
        <v>3.6</v>
      </c>
      <c r="G2070" s="4" t="str">
        <f>HYPERLINK("http://141.218.60.56/~jnz1568/getInfo.php?workbook=14_02.xlsx&amp;sheet=U0&amp;row=2070&amp;col=7&amp;number=0.0619&amp;sourceID=14","0.0619")</f>
        <v>0.0619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HYPERLINK("http://141.218.60.56/~jnz1568/getInfo.php?workbook=14_02.xlsx&amp;sheet=U0&amp;row=2071&amp;col=6&amp;number=3.7&amp;sourceID=14","3.7")</f>
        <v>3.7</v>
      </c>
      <c r="G2071" s="4" t="str">
        <f>HYPERLINK("http://141.218.60.56/~jnz1568/getInfo.php?workbook=14_02.xlsx&amp;sheet=U0&amp;row=2071&amp;col=7&amp;number=0.0619&amp;sourceID=14","0.0619")</f>
        <v>0.0619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HYPERLINK("http://141.218.60.56/~jnz1568/getInfo.php?workbook=14_02.xlsx&amp;sheet=U0&amp;row=2072&amp;col=6&amp;number=3.8&amp;sourceID=14","3.8")</f>
        <v>3.8</v>
      </c>
      <c r="G2072" s="4" t="str">
        <f>HYPERLINK("http://141.218.60.56/~jnz1568/getInfo.php?workbook=14_02.xlsx&amp;sheet=U0&amp;row=2072&amp;col=7&amp;number=0.0619&amp;sourceID=14","0.0619")</f>
        <v>0.0619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HYPERLINK("http://141.218.60.56/~jnz1568/getInfo.php?workbook=14_02.xlsx&amp;sheet=U0&amp;row=2073&amp;col=6&amp;number=3.9&amp;sourceID=14","3.9")</f>
        <v>3.9</v>
      </c>
      <c r="G2073" s="4" t="str">
        <f>HYPERLINK("http://141.218.60.56/~jnz1568/getInfo.php?workbook=14_02.xlsx&amp;sheet=U0&amp;row=2073&amp;col=7&amp;number=0.0619&amp;sourceID=14","0.0619")</f>
        <v>0.0619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HYPERLINK("http://141.218.60.56/~jnz1568/getInfo.php?workbook=14_02.xlsx&amp;sheet=U0&amp;row=2074&amp;col=6&amp;number=4&amp;sourceID=14","4")</f>
        <v>4</v>
      </c>
      <c r="G2074" s="4" t="str">
        <f>HYPERLINK("http://141.218.60.56/~jnz1568/getInfo.php?workbook=14_02.xlsx&amp;sheet=U0&amp;row=2074&amp;col=7&amp;number=0.062&amp;sourceID=14","0.062")</f>
        <v>0.062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HYPERLINK("http://141.218.60.56/~jnz1568/getInfo.php?workbook=14_02.xlsx&amp;sheet=U0&amp;row=2075&amp;col=6&amp;number=4.1&amp;sourceID=14","4.1")</f>
        <v>4.1</v>
      </c>
      <c r="G2075" s="4" t="str">
        <f>HYPERLINK("http://141.218.60.56/~jnz1568/getInfo.php?workbook=14_02.xlsx&amp;sheet=U0&amp;row=2075&amp;col=7&amp;number=0.062&amp;sourceID=14","0.062")</f>
        <v>0.062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HYPERLINK("http://141.218.60.56/~jnz1568/getInfo.php?workbook=14_02.xlsx&amp;sheet=U0&amp;row=2076&amp;col=6&amp;number=4.2&amp;sourceID=14","4.2")</f>
        <v>4.2</v>
      </c>
      <c r="G2076" s="4" t="str">
        <f>HYPERLINK("http://141.218.60.56/~jnz1568/getInfo.php?workbook=14_02.xlsx&amp;sheet=U0&amp;row=2076&amp;col=7&amp;number=0.062&amp;sourceID=14","0.062")</f>
        <v>0.062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HYPERLINK("http://141.218.60.56/~jnz1568/getInfo.php?workbook=14_02.xlsx&amp;sheet=U0&amp;row=2077&amp;col=6&amp;number=4.3&amp;sourceID=14","4.3")</f>
        <v>4.3</v>
      </c>
      <c r="G2077" s="4" t="str">
        <f>HYPERLINK("http://141.218.60.56/~jnz1568/getInfo.php?workbook=14_02.xlsx&amp;sheet=U0&amp;row=2077&amp;col=7&amp;number=0.062&amp;sourceID=14","0.062")</f>
        <v>0.062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HYPERLINK("http://141.218.60.56/~jnz1568/getInfo.php?workbook=14_02.xlsx&amp;sheet=U0&amp;row=2078&amp;col=6&amp;number=4.4&amp;sourceID=14","4.4")</f>
        <v>4.4</v>
      </c>
      <c r="G2078" s="4" t="str">
        <f>HYPERLINK("http://141.218.60.56/~jnz1568/getInfo.php?workbook=14_02.xlsx&amp;sheet=U0&amp;row=2078&amp;col=7&amp;number=0.062&amp;sourceID=14","0.062")</f>
        <v>0.062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HYPERLINK("http://141.218.60.56/~jnz1568/getInfo.php?workbook=14_02.xlsx&amp;sheet=U0&amp;row=2079&amp;col=6&amp;number=4.5&amp;sourceID=14","4.5")</f>
        <v>4.5</v>
      </c>
      <c r="G2079" s="4" t="str">
        <f>HYPERLINK("http://141.218.60.56/~jnz1568/getInfo.php?workbook=14_02.xlsx&amp;sheet=U0&amp;row=2079&amp;col=7&amp;number=0.0621&amp;sourceID=14","0.0621")</f>
        <v>0.0621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HYPERLINK("http://141.218.60.56/~jnz1568/getInfo.php?workbook=14_02.xlsx&amp;sheet=U0&amp;row=2080&amp;col=6&amp;number=4.6&amp;sourceID=14","4.6")</f>
        <v>4.6</v>
      </c>
      <c r="G2080" s="4" t="str">
        <f>HYPERLINK("http://141.218.60.56/~jnz1568/getInfo.php?workbook=14_02.xlsx&amp;sheet=U0&amp;row=2080&amp;col=7&amp;number=0.0621&amp;sourceID=14","0.0621")</f>
        <v>0.0621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HYPERLINK("http://141.218.60.56/~jnz1568/getInfo.php?workbook=14_02.xlsx&amp;sheet=U0&amp;row=2081&amp;col=6&amp;number=4.7&amp;sourceID=14","4.7")</f>
        <v>4.7</v>
      </c>
      <c r="G2081" s="4" t="str">
        <f>HYPERLINK("http://141.218.60.56/~jnz1568/getInfo.php?workbook=14_02.xlsx&amp;sheet=U0&amp;row=2081&amp;col=7&amp;number=0.0622&amp;sourceID=14","0.0622")</f>
        <v>0.0622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HYPERLINK("http://141.218.60.56/~jnz1568/getInfo.php?workbook=14_02.xlsx&amp;sheet=U0&amp;row=2082&amp;col=6&amp;number=4.8&amp;sourceID=14","4.8")</f>
        <v>4.8</v>
      </c>
      <c r="G2082" s="4" t="str">
        <f>HYPERLINK("http://141.218.60.56/~jnz1568/getInfo.php?workbook=14_02.xlsx&amp;sheet=U0&amp;row=2082&amp;col=7&amp;number=0.0622&amp;sourceID=14","0.0622")</f>
        <v>0.0622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HYPERLINK("http://141.218.60.56/~jnz1568/getInfo.php?workbook=14_02.xlsx&amp;sheet=U0&amp;row=2083&amp;col=6&amp;number=4.9&amp;sourceID=14","4.9")</f>
        <v>4.9</v>
      </c>
      <c r="G2083" s="4" t="str">
        <f>HYPERLINK("http://141.218.60.56/~jnz1568/getInfo.php?workbook=14_02.xlsx&amp;sheet=U0&amp;row=2083&amp;col=7&amp;number=0.0623&amp;sourceID=14","0.0623")</f>
        <v>0.0623</v>
      </c>
    </row>
    <row r="2084" spans="1:7">
      <c r="A2084" s="3">
        <v>14</v>
      </c>
      <c r="B2084" s="3">
        <v>2</v>
      </c>
      <c r="C2084" s="3">
        <v>6</v>
      </c>
      <c r="D2084" s="3">
        <v>7</v>
      </c>
      <c r="E2084" s="3">
        <v>1</v>
      </c>
      <c r="F2084" s="4" t="str">
        <f>HYPERLINK("http://141.218.60.56/~jnz1568/getInfo.php?workbook=14_02.xlsx&amp;sheet=U0&amp;row=2084&amp;col=6&amp;number=3&amp;sourceID=14","3")</f>
        <v>3</v>
      </c>
      <c r="G2084" s="4" t="str">
        <f>HYPERLINK("http://141.218.60.56/~jnz1568/getInfo.php?workbook=14_02.xlsx&amp;sheet=U0&amp;row=2084&amp;col=7&amp;number=0.099&amp;sourceID=14","0.099")</f>
        <v>0.099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HYPERLINK("http://141.218.60.56/~jnz1568/getInfo.php?workbook=14_02.xlsx&amp;sheet=U0&amp;row=2085&amp;col=6&amp;number=3.1&amp;sourceID=14","3.1")</f>
        <v>3.1</v>
      </c>
      <c r="G2085" s="4" t="str">
        <f>HYPERLINK("http://141.218.60.56/~jnz1568/getInfo.php?workbook=14_02.xlsx&amp;sheet=U0&amp;row=2085&amp;col=7&amp;number=0.099&amp;sourceID=14","0.099")</f>
        <v>0.099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HYPERLINK("http://141.218.60.56/~jnz1568/getInfo.php?workbook=14_02.xlsx&amp;sheet=U0&amp;row=2086&amp;col=6&amp;number=3.2&amp;sourceID=14","3.2")</f>
        <v>3.2</v>
      </c>
      <c r="G2086" s="4" t="str">
        <f>HYPERLINK("http://141.218.60.56/~jnz1568/getInfo.php?workbook=14_02.xlsx&amp;sheet=U0&amp;row=2086&amp;col=7&amp;number=0.099&amp;sourceID=14","0.099")</f>
        <v>0.099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HYPERLINK("http://141.218.60.56/~jnz1568/getInfo.php?workbook=14_02.xlsx&amp;sheet=U0&amp;row=2087&amp;col=6&amp;number=3.3&amp;sourceID=14","3.3")</f>
        <v>3.3</v>
      </c>
      <c r="G2087" s="4" t="str">
        <f>HYPERLINK("http://141.218.60.56/~jnz1568/getInfo.php?workbook=14_02.xlsx&amp;sheet=U0&amp;row=2087&amp;col=7&amp;number=0.099&amp;sourceID=14","0.099")</f>
        <v>0.099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HYPERLINK("http://141.218.60.56/~jnz1568/getInfo.php?workbook=14_02.xlsx&amp;sheet=U0&amp;row=2088&amp;col=6&amp;number=3.4&amp;sourceID=14","3.4")</f>
        <v>3.4</v>
      </c>
      <c r="G2088" s="4" t="str">
        <f>HYPERLINK("http://141.218.60.56/~jnz1568/getInfo.php?workbook=14_02.xlsx&amp;sheet=U0&amp;row=2088&amp;col=7&amp;number=0.099&amp;sourceID=14","0.099")</f>
        <v>0.099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HYPERLINK("http://141.218.60.56/~jnz1568/getInfo.php?workbook=14_02.xlsx&amp;sheet=U0&amp;row=2089&amp;col=6&amp;number=3.5&amp;sourceID=14","3.5")</f>
        <v>3.5</v>
      </c>
      <c r="G2089" s="4" t="str">
        <f>HYPERLINK("http://141.218.60.56/~jnz1568/getInfo.php?workbook=14_02.xlsx&amp;sheet=U0&amp;row=2089&amp;col=7&amp;number=0.099&amp;sourceID=14","0.099")</f>
        <v>0.099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HYPERLINK("http://141.218.60.56/~jnz1568/getInfo.php?workbook=14_02.xlsx&amp;sheet=U0&amp;row=2090&amp;col=6&amp;number=3.6&amp;sourceID=14","3.6")</f>
        <v>3.6</v>
      </c>
      <c r="G2090" s="4" t="str">
        <f>HYPERLINK("http://141.218.60.56/~jnz1568/getInfo.php?workbook=14_02.xlsx&amp;sheet=U0&amp;row=2090&amp;col=7&amp;number=0.099&amp;sourceID=14","0.099")</f>
        <v>0.099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HYPERLINK("http://141.218.60.56/~jnz1568/getInfo.php?workbook=14_02.xlsx&amp;sheet=U0&amp;row=2091&amp;col=6&amp;number=3.7&amp;sourceID=14","3.7")</f>
        <v>3.7</v>
      </c>
      <c r="G2091" s="4" t="str">
        <f>HYPERLINK("http://141.218.60.56/~jnz1568/getInfo.php?workbook=14_02.xlsx&amp;sheet=U0&amp;row=2091&amp;col=7&amp;number=0.099&amp;sourceID=14","0.099")</f>
        <v>0.099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HYPERLINK("http://141.218.60.56/~jnz1568/getInfo.php?workbook=14_02.xlsx&amp;sheet=U0&amp;row=2092&amp;col=6&amp;number=3.8&amp;sourceID=14","3.8")</f>
        <v>3.8</v>
      </c>
      <c r="G2092" s="4" t="str">
        <f>HYPERLINK("http://141.218.60.56/~jnz1568/getInfo.php?workbook=14_02.xlsx&amp;sheet=U0&amp;row=2092&amp;col=7&amp;number=0.0991&amp;sourceID=14","0.0991")</f>
        <v>0.0991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HYPERLINK("http://141.218.60.56/~jnz1568/getInfo.php?workbook=14_02.xlsx&amp;sheet=U0&amp;row=2093&amp;col=6&amp;number=3.9&amp;sourceID=14","3.9")</f>
        <v>3.9</v>
      </c>
      <c r="G2093" s="4" t="str">
        <f>HYPERLINK("http://141.218.60.56/~jnz1568/getInfo.php?workbook=14_02.xlsx&amp;sheet=U0&amp;row=2093&amp;col=7&amp;number=0.0991&amp;sourceID=14","0.0991")</f>
        <v>0.0991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HYPERLINK("http://141.218.60.56/~jnz1568/getInfo.php?workbook=14_02.xlsx&amp;sheet=U0&amp;row=2094&amp;col=6&amp;number=4&amp;sourceID=14","4")</f>
        <v>4</v>
      </c>
      <c r="G2094" s="4" t="str">
        <f>HYPERLINK("http://141.218.60.56/~jnz1568/getInfo.php?workbook=14_02.xlsx&amp;sheet=U0&amp;row=2094&amp;col=7&amp;number=0.0991&amp;sourceID=14","0.0991")</f>
        <v>0.0991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HYPERLINK("http://141.218.60.56/~jnz1568/getInfo.php?workbook=14_02.xlsx&amp;sheet=U0&amp;row=2095&amp;col=6&amp;number=4.1&amp;sourceID=14","4.1")</f>
        <v>4.1</v>
      </c>
      <c r="G2095" s="4" t="str">
        <f>HYPERLINK("http://141.218.60.56/~jnz1568/getInfo.php?workbook=14_02.xlsx&amp;sheet=U0&amp;row=2095&amp;col=7&amp;number=0.0991&amp;sourceID=14","0.0991")</f>
        <v>0.0991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HYPERLINK("http://141.218.60.56/~jnz1568/getInfo.php?workbook=14_02.xlsx&amp;sheet=U0&amp;row=2096&amp;col=6&amp;number=4.2&amp;sourceID=14","4.2")</f>
        <v>4.2</v>
      </c>
      <c r="G2096" s="4" t="str">
        <f>HYPERLINK("http://141.218.60.56/~jnz1568/getInfo.php?workbook=14_02.xlsx&amp;sheet=U0&amp;row=2096&amp;col=7&amp;number=0.0992&amp;sourceID=14","0.0992")</f>
        <v>0.0992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HYPERLINK("http://141.218.60.56/~jnz1568/getInfo.php?workbook=14_02.xlsx&amp;sheet=U0&amp;row=2097&amp;col=6&amp;number=4.3&amp;sourceID=14","4.3")</f>
        <v>4.3</v>
      </c>
      <c r="G2097" s="4" t="str">
        <f>HYPERLINK("http://141.218.60.56/~jnz1568/getInfo.php?workbook=14_02.xlsx&amp;sheet=U0&amp;row=2097&amp;col=7&amp;number=0.0992&amp;sourceID=14","0.0992")</f>
        <v>0.0992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HYPERLINK("http://141.218.60.56/~jnz1568/getInfo.php?workbook=14_02.xlsx&amp;sheet=U0&amp;row=2098&amp;col=6&amp;number=4.4&amp;sourceID=14","4.4")</f>
        <v>4.4</v>
      </c>
      <c r="G2098" s="4" t="str">
        <f>HYPERLINK("http://141.218.60.56/~jnz1568/getInfo.php?workbook=14_02.xlsx&amp;sheet=U0&amp;row=2098&amp;col=7&amp;number=0.0992&amp;sourceID=14","0.0992")</f>
        <v>0.0992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HYPERLINK("http://141.218.60.56/~jnz1568/getInfo.php?workbook=14_02.xlsx&amp;sheet=U0&amp;row=2099&amp;col=6&amp;number=4.5&amp;sourceID=14","4.5")</f>
        <v>4.5</v>
      </c>
      <c r="G2099" s="4" t="str">
        <f>HYPERLINK("http://141.218.60.56/~jnz1568/getInfo.php?workbook=14_02.xlsx&amp;sheet=U0&amp;row=2099&amp;col=7&amp;number=0.0993&amp;sourceID=14","0.0993")</f>
        <v>0.0993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HYPERLINK("http://141.218.60.56/~jnz1568/getInfo.php?workbook=14_02.xlsx&amp;sheet=U0&amp;row=2100&amp;col=6&amp;number=4.6&amp;sourceID=14","4.6")</f>
        <v>4.6</v>
      </c>
      <c r="G2100" s="4" t="str">
        <f>HYPERLINK("http://141.218.60.56/~jnz1568/getInfo.php?workbook=14_02.xlsx&amp;sheet=U0&amp;row=2100&amp;col=7&amp;number=0.0994&amp;sourceID=14","0.0994")</f>
        <v>0.0994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HYPERLINK("http://141.218.60.56/~jnz1568/getInfo.php?workbook=14_02.xlsx&amp;sheet=U0&amp;row=2101&amp;col=6&amp;number=4.7&amp;sourceID=14","4.7")</f>
        <v>4.7</v>
      </c>
      <c r="G2101" s="4" t="str">
        <f>HYPERLINK("http://141.218.60.56/~jnz1568/getInfo.php?workbook=14_02.xlsx&amp;sheet=U0&amp;row=2101&amp;col=7&amp;number=0.0995&amp;sourceID=14","0.0995")</f>
        <v>0.0995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HYPERLINK("http://141.218.60.56/~jnz1568/getInfo.php?workbook=14_02.xlsx&amp;sheet=U0&amp;row=2102&amp;col=6&amp;number=4.8&amp;sourceID=14","4.8")</f>
        <v>4.8</v>
      </c>
      <c r="G2102" s="4" t="str">
        <f>HYPERLINK("http://141.218.60.56/~jnz1568/getInfo.php?workbook=14_02.xlsx&amp;sheet=U0&amp;row=2102&amp;col=7&amp;number=0.0996&amp;sourceID=14","0.0996")</f>
        <v>0.0996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HYPERLINK("http://141.218.60.56/~jnz1568/getInfo.php?workbook=14_02.xlsx&amp;sheet=U0&amp;row=2103&amp;col=6&amp;number=4.9&amp;sourceID=14","4.9")</f>
        <v>4.9</v>
      </c>
      <c r="G2103" s="4" t="str">
        <f>HYPERLINK("http://141.218.60.56/~jnz1568/getInfo.php?workbook=14_02.xlsx&amp;sheet=U0&amp;row=2103&amp;col=7&amp;number=0.0998&amp;sourceID=14","0.0998")</f>
        <v>0.0998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2015-05-05T07:31:13Z</dcterms:created>
  <dcterms:modified xsi:type="dcterms:W3CDTF">2015-05-05T07:31:13Z</dcterms:modified>
</cp:coreProperties>
</file>