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<sst xmlns="http://schemas.openxmlformats.org/spreadsheetml/2006/main" count="216" uniqueCount="47">
  <si>
    <t>Fine Structure Energy Levels for Si XI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</si>
  <si>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</si>
  <si>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</si>
  <si>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</si>
  <si>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</si>
  <si>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</si>
  <si>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</si>
  <si>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</si>
  <si>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</si>
  <si>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</si>
  <si>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</si>
  <si>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</si>
  <si>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</t>
  </si>
  <si>
    <t>1S</t>
  </si>
  <si>
    <t>2s.2p</t>
  </si>
  <si>
    <t>3P</t>
  </si>
  <si>
    <t>1P</t>
  </si>
  <si>
    <t>2p2</t>
  </si>
  <si>
    <t>1D</t>
  </si>
  <si>
    <t>2s.3s</t>
  </si>
  <si>
    <t>3S</t>
  </si>
  <si>
    <t>2s.3p</t>
  </si>
  <si>
    <t>2s.3d</t>
  </si>
  <si>
    <t>3D</t>
  </si>
  <si>
    <t>2p.3s</t>
  </si>
  <si>
    <t>2p.3p</t>
  </si>
  <si>
    <t>2p.3d</t>
  </si>
  <si>
    <t>3F</t>
  </si>
  <si>
    <t>1F</t>
  </si>
  <si>
    <t>2s.4s</t>
  </si>
  <si>
    <t>2s.4p</t>
  </si>
  <si>
    <t>2s.4d</t>
  </si>
  <si>
    <t>2p.4s</t>
  </si>
  <si>
    <t>2p.4p</t>
  </si>
  <si>
    <t>2p.4d</t>
  </si>
  <si>
    <t>2s.5s</t>
  </si>
  <si>
    <t>2s.5p</t>
  </si>
  <si>
    <t>2s.5d</t>
  </si>
  <si>
    <t>A-values for fine-structure transitions in Si XI</t>
  </si>
  <si>
    <t>k</t>
  </si>
  <si>
    <t>WL Vac (A)</t>
  </si>
  <si>
    <t>A (s-1)</t>
  </si>
  <si>
    <t>A2E1(s-1)</t>
  </si>
  <si>
    <t>Effective Collision Strengths for Si XI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</si>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</sst>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5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14</v>
      </c>
      <c r="B4" s="3">
        <v>4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HYPERLINK("http://141.218.60.56/~jnz1568/getInfo.php?workbook=14_04.xlsx&amp;sheet=E0&amp;row=4&amp;col=10&amp;number=0&amp;sourceID=14","0")</f>
        <v>0</v>
      </c>
    </row>
    <row r="5" spans="1:10">
      <c r="A5" s="3">
        <v>14</v>
      </c>
      <c r="B5" s="3">
        <v>4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0</v>
      </c>
      <c r="J5" s="4" t="str">
        <f>HYPERLINK("http://141.218.60.56/~jnz1568/getInfo.php?workbook=14_04.xlsx&amp;sheet=E0&amp;row=5&amp;col=10&amp;number=169800&amp;sourceID=14","169800")</f>
        <v>169800</v>
      </c>
    </row>
    <row r="6" spans="1:10">
      <c r="A6" s="3">
        <v>14</v>
      </c>
      <c r="B6" s="3">
        <v>4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HYPERLINK("http://141.218.60.56/~jnz1568/getInfo.php?workbook=14_04.xlsx&amp;sheet=E0&amp;row=6&amp;col=10&amp;number=172141&amp;sourceID=14","172141")</f>
        <v>172141</v>
      </c>
    </row>
    <row r="7" spans="1:10">
      <c r="A7" s="3">
        <v>14</v>
      </c>
      <c r="B7" s="3">
        <v>4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2</v>
      </c>
      <c r="J7" s="4" t="str">
        <f>HYPERLINK("http://141.218.60.56/~jnz1568/getInfo.php?workbook=14_04.xlsx&amp;sheet=E0&amp;row=7&amp;col=10&amp;number=177309&amp;sourceID=14","177309")</f>
        <v>177309</v>
      </c>
    </row>
    <row r="8" spans="1:10">
      <c r="A8" s="3">
        <v>14</v>
      </c>
      <c r="B8" s="3">
        <v>4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HYPERLINK("http://141.218.60.56/~jnz1568/getInfo.php?workbook=14_04.xlsx&amp;sheet=E0&amp;row=8&amp;col=10&amp;number=329678&amp;sourceID=14","329678")</f>
        <v>329678</v>
      </c>
    </row>
    <row r="9" spans="1:10">
      <c r="A9" s="3">
        <v>14</v>
      </c>
      <c r="B9" s="3">
        <v>4</v>
      </c>
      <c r="C9" s="3">
        <v>6</v>
      </c>
      <c r="D9" s="3" t="s">
        <v>17</v>
      </c>
      <c r="E9" s="3" t="s">
        <v>15</v>
      </c>
      <c r="F9" s="3">
        <v>3</v>
      </c>
      <c r="G9" s="3">
        <v>1</v>
      </c>
      <c r="H9" s="3">
        <v>1</v>
      </c>
      <c r="I9" s="3">
        <v>0</v>
      </c>
      <c r="J9" s="4" t="str">
        <f>HYPERLINK("http://141.218.60.56/~jnz1568/getInfo.php?workbook=14_04.xlsx&amp;sheet=E0&amp;row=9&amp;col=10&amp;number=443659&amp;sourceID=14","443659")</f>
        <v>443659</v>
      </c>
    </row>
    <row r="10" spans="1:10">
      <c r="A10" s="3">
        <v>14</v>
      </c>
      <c r="B10" s="3">
        <v>4</v>
      </c>
      <c r="C10" s="3">
        <v>7</v>
      </c>
      <c r="D10" s="3" t="s">
        <v>17</v>
      </c>
      <c r="E10" s="3" t="s">
        <v>15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HYPERLINK("http://141.218.60.56/~jnz1568/getInfo.php?workbook=14_04.xlsx&amp;sheet=E0&amp;row=10&amp;col=10&amp;number=446487&amp;sourceID=14","446487")</f>
        <v>446487</v>
      </c>
    </row>
    <row r="11" spans="1:10">
      <c r="A11" s="3">
        <v>14</v>
      </c>
      <c r="B11" s="3">
        <v>4</v>
      </c>
      <c r="C11" s="3">
        <v>8</v>
      </c>
      <c r="D11" s="3" t="s">
        <v>17</v>
      </c>
      <c r="E11" s="3" t="s">
        <v>15</v>
      </c>
      <c r="F11" s="3">
        <v>3</v>
      </c>
      <c r="G11" s="3">
        <v>1</v>
      </c>
      <c r="H11" s="3">
        <v>1</v>
      </c>
      <c r="I11" s="3">
        <v>2</v>
      </c>
      <c r="J11" s="4" t="str">
        <f>HYPERLINK("http://141.218.60.56/~jnz1568/getInfo.php?workbook=14_04.xlsx&amp;sheet=E0&amp;row=11&amp;col=10&amp;number=450953&amp;sourceID=14","450953")</f>
        <v>450953</v>
      </c>
    </row>
    <row r="12" spans="1:10">
      <c r="A12" s="3">
        <v>14</v>
      </c>
      <c r="B12" s="3">
        <v>4</v>
      </c>
      <c r="C12" s="3">
        <v>9</v>
      </c>
      <c r="D12" s="3" t="s">
        <v>17</v>
      </c>
      <c r="E12" s="3" t="s">
        <v>18</v>
      </c>
      <c r="F12" s="3">
        <v>1</v>
      </c>
      <c r="G12" s="3">
        <v>2</v>
      </c>
      <c r="H12" s="3">
        <v>0</v>
      </c>
      <c r="I12" s="3">
        <v>2</v>
      </c>
      <c r="J12" s="4" t="str">
        <f>HYPERLINK("http://141.218.60.56/~jnz1568/getInfo.php?workbook=14_04.xlsx&amp;sheet=E0&amp;row=12&amp;col=10&amp;number=495208&amp;sourceID=14","495208")</f>
        <v>495208</v>
      </c>
    </row>
    <row r="13" spans="1:10">
      <c r="A13" s="3">
        <v>14</v>
      </c>
      <c r="B13" s="3">
        <v>4</v>
      </c>
      <c r="C13" s="3">
        <v>10</v>
      </c>
      <c r="D13" s="3" t="s">
        <v>17</v>
      </c>
      <c r="E13" s="3" t="s">
        <v>13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HYPERLINK("http://141.218.60.56/~jnz1568/getInfo.php?workbook=14_04.xlsx&amp;sheet=E0&amp;row=13&amp;col=10&amp;number=608208&amp;sourceID=14","608208")</f>
        <v>608208</v>
      </c>
    </row>
    <row r="14" spans="1:10">
      <c r="A14" s="3">
        <v>14</v>
      </c>
      <c r="B14" s="3">
        <v>4</v>
      </c>
      <c r="C14" s="3">
        <v>11</v>
      </c>
      <c r="D14" s="3" t="s">
        <v>19</v>
      </c>
      <c r="E14" s="3" t="s">
        <v>20</v>
      </c>
      <c r="F14" s="3">
        <v>3</v>
      </c>
      <c r="G14" s="3">
        <v>0</v>
      </c>
      <c r="H14" s="3">
        <v>0</v>
      </c>
      <c r="I14" s="3">
        <v>1</v>
      </c>
      <c r="J14" s="4" t="str">
        <f>HYPERLINK("http://141.218.60.56/~jnz1568/getInfo.php?workbook=14_04.xlsx&amp;sheet=E0&amp;row=14&amp;col=10&amp;number=2214647&amp;sourceID=14","2214647")</f>
        <v>2214647</v>
      </c>
    </row>
    <row r="15" spans="1:10">
      <c r="A15" s="3">
        <v>14</v>
      </c>
      <c r="B15" s="3">
        <v>4</v>
      </c>
      <c r="C15" s="3">
        <v>12</v>
      </c>
      <c r="D15" s="3" t="s">
        <v>19</v>
      </c>
      <c r="E15" s="3" t="s">
        <v>13</v>
      </c>
      <c r="F15" s="3">
        <v>1</v>
      </c>
      <c r="G15" s="3">
        <v>0</v>
      </c>
      <c r="H15" s="3">
        <v>0</v>
      </c>
      <c r="I15" s="3">
        <v>0</v>
      </c>
      <c r="J15" s="4" t="str">
        <f>HYPERLINK("http://141.218.60.56/~jnz1568/getInfo.php?workbook=14_04.xlsx&amp;sheet=E0&amp;row=15&amp;col=10&amp;number=2242045&amp;sourceID=14","2242045")</f>
        <v>2242045</v>
      </c>
    </row>
    <row r="16" spans="1:10">
      <c r="A16" s="3">
        <v>14</v>
      </c>
      <c r="B16" s="3">
        <v>4</v>
      </c>
      <c r="C16" s="3">
        <v>13</v>
      </c>
      <c r="D16" s="3" t="s">
        <v>21</v>
      </c>
      <c r="E16" s="3" t="s">
        <v>16</v>
      </c>
      <c r="F16" s="3">
        <v>1</v>
      </c>
      <c r="G16" s="3">
        <v>1</v>
      </c>
      <c r="H16" s="3">
        <v>1</v>
      </c>
      <c r="I16" s="3">
        <v>1</v>
      </c>
      <c r="J16" s="4" t="str">
        <f>HYPERLINK("http://141.218.60.56/~jnz1568/getInfo.php?workbook=14_04.xlsx&amp;sheet=E0&amp;row=16&amp;col=10&amp;number=2285714&amp;sourceID=14","2285714")</f>
        <v>2285714</v>
      </c>
    </row>
    <row r="17" spans="1:10">
      <c r="A17" s="3">
        <v>14</v>
      </c>
      <c r="B17" s="3">
        <v>4</v>
      </c>
      <c r="C17" s="3">
        <v>14</v>
      </c>
      <c r="D17" s="3" t="s">
        <v>21</v>
      </c>
      <c r="E17" s="3" t="s">
        <v>15</v>
      </c>
      <c r="F17" s="3">
        <v>3</v>
      </c>
      <c r="G17" s="3">
        <v>1</v>
      </c>
      <c r="H17" s="3">
        <v>1</v>
      </c>
      <c r="I17" s="3">
        <v>0</v>
      </c>
      <c r="J17" s="4" t="str">
        <f>HYPERLINK("http://141.218.60.56/~jnz1568/getInfo.php?workbook=14_04.xlsx&amp;sheet=E0&amp;row=17&amp;col=10&amp;number=0&amp;sourceID=14","0")</f>
        <v>0</v>
      </c>
    </row>
    <row r="18" spans="1:10">
      <c r="A18" s="3">
        <v>14</v>
      </c>
      <c r="B18" s="3">
        <v>4</v>
      </c>
      <c r="C18" s="3">
        <v>15</v>
      </c>
      <c r="D18" s="3" t="s">
        <v>21</v>
      </c>
      <c r="E18" s="3" t="s">
        <v>15</v>
      </c>
      <c r="F18" s="3">
        <v>3</v>
      </c>
      <c r="G18" s="3">
        <v>1</v>
      </c>
      <c r="H18" s="3">
        <v>1</v>
      </c>
      <c r="I18" s="3">
        <v>1</v>
      </c>
      <c r="J18" s="4" t="str">
        <f>HYPERLINK("http://141.218.60.56/~jnz1568/getInfo.php?workbook=14_04.xlsx&amp;sheet=E0&amp;row=18&amp;col=10&amp;number=2289099&amp;sourceID=14","2289099")</f>
        <v>2289099</v>
      </c>
    </row>
    <row r="19" spans="1:10">
      <c r="A19" s="3">
        <v>14</v>
      </c>
      <c r="B19" s="3">
        <v>4</v>
      </c>
      <c r="C19" s="3">
        <v>16</v>
      </c>
      <c r="D19" s="3" t="s">
        <v>21</v>
      </c>
      <c r="E19" s="3" t="s">
        <v>15</v>
      </c>
      <c r="F19" s="3">
        <v>3</v>
      </c>
      <c r="G19" s="3">
        <v>1</v>
      </c>
      <c r="H19" s="3">
        <v>1</v>
      </c>
      <c r="I19" s="3">
        <v>2</v>
      </c>
      <c r="J19" s="4" t="str">
        <f>HYPERLINK("http://141.218.60.56/~jnz1568/getInfo.php?workbook=14_04.xlsx&amp;sheet=E0&amp;row=19&amp;col=10&amp;number=2287930&amp;sourceID=14","2287930")</f>
        <v>2287930</v>
      </c>
    </row>
    <row r="20" spans="1:10">
      <c r="A20" s="3">
        <v>14</v>
      </c>
      <c r="B20" s="3">
        <v>4</v>
      </c>
      <c r="C20" s="3">
        <v>17</v>
      </c>
      <c r="D20" s="3" t="s">
        <v>22</v>
      </c>
      <c r="E20" s="3" t="s">
        <v>23</v>
      </c>
      <c r="F20" s="3">
        <v>3</v>
      </c>
      <c r="G20" s="3">
        <v>2</v>
      </c>
      <c r="H20" s="3">
        <v>0</v>
      </c>
      <c r="I20" s="3">
        <v>1</v>
      </c>
      <c r="J20" s="4" t="str">
        <f>HYPERLINK("http://141.218.60.56/~jnz1568/getInfo.php?workbook=14_04.xlsx&amp;sheet=E0&amp;row=20&amp;col=10&amp;number=2330905&amp;sourceID=14","2330905")</f>
        <v>2330905</v>
      </c>
    </row>
    <row r="21" spans="1:10">
      <c r="A21" s="3">
        <v>14</v>
      </c>
      <c r="B21" s="3">
        <v>4</v>
      </c>
      <c r="C21" s="3">
        <v>18</v>
      </c>
      <c r="D21" s="3" t="s">
        <v>22</v>
      </c>
      <c r="E21" s="3" t="s">
        <v>23</v>
      </c>
      <c r="F21" s="3">
        <v>3</v>
      </c>
      <c r="G21" s="3">
        <v>2</v>
      </c>
      <c r="H21" s="3">
        <v>0</v>
      </c>
      <c r="I21" s="3">
        <v>2</v>
      </c>
      <c r="J21" s="4" t="str">
        <f>HYPERLINK("http://141.218.60.56/~jnz1568/getInfo.php?workbook=14_04.xlsx&amp;sheet=E0&amp;row=21&amp;col=10&amp;number=2332166&amp;sourceID=14","2332166")</f>
        <v>2332166</v>
      </c>
    </row>
    <row r="22" spans="1:10">
      <c r="A22" s="3">
        <v>14</v>
      </c>
      <c r="B22" s="3">
        <v>4</v>
      </c>
      <c r="C22" s="3">
        <v>19</v>
      </c>
      <c r="D22" s="3" t="s">
        <v>22</v>
      </c>
      <c r="E22" s="3" t="s">
        <v>23</v>
      </c>
      <c r="F22" s="3">
        <v>3</v>
      </c>
      <c r="G22" s="3">
        <v>2</v>
      </c>
      <c r="H22" s="3">
        <v>0</v>
      </c>
      <c r="I22" s="3">
        <v>3</v>
      </c>
      <c r="J22" s="4" t="str">
        <f>HYPERLINK("http://141.218.60.56/~jnz1568/getInfo.php?workbook=14_04.xlsx&amp;sheet=E0&amp;row=22&amp;col=10&amp;number=2332501&amp;sourceID=14","2332501")</f>
        <v>2332501</v>
      </c>
    </row>
    <row r="23" spans="1:10">
      <c r="A23" s="3">
        <v>14</v>
      </c>
      <c r="B23" s="3">
        <v>4</v>
      </c>
      <c r="C23" s="3">
        <v>20</v>
      </c>
      <c r="D23" s="3" t="s">
        <v>22</v>
      </c>
      <c r="E23" s="3" t="s">
        <v>18</v>
      </c>
      <c r="F23" s="3">
        <v>1</v>
      </c>
      <c r="G23" s="3">
        <v>2</v>
      </c>
      <c r="H23" s="3">
        <v>0</v>
      </c>
      <c r="I23" s="3">
        <v>2</v>
      </c>
      <c r="J23" s="4" t="str">
        <f>HYPERLINK("http://141.218.60.56/~jnz1568/getInfo.php?workbook=14_04.xlsx&amp;sheet=E0&amp;row=23&amp;col=10&amp;number=2362984&amp;sourceID=14","2362984")</f>
        <v>2362984</v>
      </c>
    </row>
    <row r="24" spans="1:10">
      <c r="A24" s="3">
        <v>14</v>
      </c>
      <c r="B24" s="3">
        <v>4</v>
      </c>
      <c r="C24" s="3">
        <v>21</v>
      </c>
      <c r="D24" s="3" t="s">
        <v>24</v>
      </c>
      <c r="E24" s="3" t="s">
        <v>15</v>
      </c>
      <c r="F24" s="3">
        <v>3</v>
      </c>
      <c r="G24" s="3">
        <v>1</v>
      </c>
      <c r="H24" s="3">
        <v>1</v>
      </c>
      <c r="I24" s="3">
        <v>0</v>
      </c>
      <c r="J24" s="4" t="str">
        <f>HYPERLINK("http://141.218.60.56/~jnz1568/getInfo.php?workbook=14_04.xlsx&amp;sheet=E0&amp;row=24&amp;col=10&amp;number=2425744&amp;sourceID=14","2425744")</f>
        <v>2425744</v>
      </c>
    </row>
    <row r="25" spans="1:10">
      <c r="A25" s="3">
        <v>14</v>
      </c>
      <c r="B25" s="3">
        <v>4</v>
      </c>
      <c r="C25" s="3">
        <v>22</v>
      </c>
      <c r="D25" s="3" t="s">
        <v>24</v>
      </c>
      <c r="E25" s="3" t="s">
        <v>15</v>
      </c>
      <c r="F25" s="3">
        <v>3</v>
      </c>
      <c r="G25" s="3">
        <v>1</v>
      </c>
      <c r="H25" s="3">
        <v>1</v>
      </c>
      <c r="I25" s="3">
        <v>1</v>
      </c>
      <c r="J25" s="4" t="str">
        <f>HYPERLINK("http://141.218.60.56/~jnz1568/getInfo.php?workbook=14_04.xlsx&amp;sheet=E0&amp;row=25&amp;col=10&amp;number=0&amp;sourceID=14","0")</f>
        <v>0</v>
      </c>
    </row>
    <row r="26" spans="1:10">
      <c r="A26" s="3">
        <v>14</v>
      </c>
      <c r="B26" s="3">
        <v>4</v>
      </c>
      <c r="C26" s="3">
        <v>23</v>
      </c>
      <c r="D26" s="3" t="s">
        <v>24</v>
      </c>
      <c r="E26" s="3" t="s">
        <v>15</v>
      </c>
      <c r="F26" s="3">
        <v>3</v>
      </c>
      <c r="G26" s="3">
        <v>1</v>
      </c>
      <c r="H26" s="3">
        <v>1</v>
      </c>
      <c r="I26" s="3">
        <v>2</v>
      </c>
      <c r="J26" s="4" t="str">
        <f>HYPERLINK("http://141.218.60.56/~jnz1568/getInfo.php?workbook=14_04.xlsx&amp;sheet=E0&amp;row=26&amp;col=10&amp;number=0&amp;sourceID=14","0")</f>
        <v>0</v>
      </c>
    </row>
    <row r="27" spans="1:10">
      <c r="A27" s="3">
        <v>14</v>
      </c>
      <c r="B27" s="3">
        <v>4</v>
      </c>
      <c r="C27" s="3">
        <v>24</v>
      </c>
      <c r="D27" s="3" t="s">
        <v>24</v>
      </c>
      <c r="E27" s="3" t="s">
        <v>16</v>
      </c>
      <c r="F27" s="3">
        <v>1</v>
      </c>
      <c r="G27" s="3">
        <v>1</v>
      </c>
      <c r="H27" s="3">
        <v>1</v>
      </c>
      <c r="I27" s="3">
        <v>1</v>
      </c>
      <c r="J27" s="4" t="str">
        <f>HYPERLINK("http://141.218.60.56/~jnz1568/getInfo.php?workbook=14_04.xlsx&amp;sheet=E0&amp;row=27&amp;col=10&amp;number=0&amp;sourceID=14","0")</f>
        <v>0</v>
      </c>
    </row>
    <row r="28" spans="1:10">
      <c r="A28" s="3">
        <v>14</v>
      </c>
      <c r="B28" s="3">
        <v>4</v>
      </c>
      <c r="C28" s="3">
        <v>25</v>
      </c>
      <c r="D28" s="3" t="s">
        <v>25</v>
      </c>
      <c r="E28" s="3" t="s">
        <v>16</v>
      </c>
      <c r="F28" s="3">
        <v>1</v>
      </c>
      <c r="G28" s="3">
        <v>1</v>
      </c>
      <c r="H28" s="3">
        <v>1</v>
      </c>
      <c r="I28" s="3">
        <v>1</v>
      </c>
      <c r="J28" s="4" t="str">
        <f>HYPERLINK("http://141.218.60.56/~jnz1568/getInfo.php?workbook=14_04.xlsx&amp;sheet=E0&amp;row=28&amp;col=10&amp;number=0&amp;sourceID=14","0")</f>
        <v>0</v>
      </c>
    </row>
    <row r="29" spans="1:10">
      <c r="A29" s="3">
        <v>14</v>
      </c>
      <c r="B29" s="3">
        <v>4</v>
      </c>
      <c r="C29" s="3">
        <v>26</v>
      </c>
      <c r="D29" s="3" t="s">
        <v>25</v>
      </c>
      <c r="E29" s="3" t="s">
        <v>23</v>
      </c>
      <c r="F29" s="3">
        <v>3</v>
      </c>
      <c r="G29" s="3">
        <v>2</v>
      </c>
      <c r="H29" s="3">
        <v>0</v>
      </c>
      <c r="I29" s="3">
        <v>1</v>
      </c>
      <c r="J29" s="4" t="str">
        <f>HYPERLINK("http://141.218.60.56/~jnz1568/getInfo.php?workbook=14_04.xlsx&amp;sheet=E0&amp;row=29&amp;col=10&amp;number=0&amp;sourceID=14","0")</f>
        <v>0</v>
      </c>
    </row>
    <row r="30" spans="1:10">
      <c r="A30" s="3">
        <v>14</v>
      </c>
      <c r="B30" s="3">
        <v>4</v>
      </c>
      <c r="C30" s="3">
        <v>27</v>
      </c>
      <c r="D30" s="3" t="s">
        <v>25</v>
      </c>
      <c r="E30" s="3" t="s">
        <v>23</v>
      </c>
      <c r="F30" s="3">
        <v>3</v>
      </c>
      <c r="G30" s="3">
        <v>2</v>
      </c>
      <c r="H30" s="3">
        <v>0</v>
      </c>
      <c r="I30" s="3">
        <v>2</v>
      </c>
      <c r="J30" s="4" t="str">
        <f>HYPERLINK("http://141.218.60.56/~jnz1568/getInfo.php?workbook=14_04.xlsx&amp;sheet=E0&amp;row=30&amp;col=10&amp;number=2482253&amp;sourceID=14","2482253")</f>
        <v>2482253</v>
      </c>
    </row>
    <row r="31" spans="1:10">
      <c r="A31" s="3">
        <v>14</v>
      </c>
      <c r="B31" s="3">
        <v>4</v>
      </c>
      <c r="C31" s="3">
        <v>28</v>
      </c>
      <c r="D31" s="3" t="s">
        <v>25</v>
      </c>
      <c r="E31" s="3" t="s">
        <v>23</v>
      </c>
      <c r="F31" s="3">
        <v>3</v>
      </c>
      <c r="G31" s="3">
        <v>2</v>
      </c>
      <c r="H31" s="3">
        <v>0</v>
      </c>
      <c r="I31" s="3">
        <v>3</v>
      </c>
      <c r="J31" s="4" t="str">
        <f>HYPERLINK("http://141.218.60.56/~jnz1568/getInfo.php?workbook=14_04.xlsx&amp;sheet=E0&amp;row=31&amp;col=10&amp;number=2485232&amp;sourceID=14","2485232")</f>
        <v>2485232</v>
      </c>
    </row>
    <row r="32" spans="1:10">
      <c r="A32" s="3">
        <v>14</v>
      </c>
      <c r="B32" s="3">
        <v>4</v>
      </c>
      <c r="C32" s="3">
        <v>29</v>
      </c>
      <c r="D32" s="3" t="s">
        <v>25</v>
      </c>
      <c r="E32" s="3" t="s">
        <v>20</v>
      </c>
      <c r="F32" s="3">
        <v>3</v>
      </c>
      <c r="G32" s="3">
        <v>0</v>
      </c>
      <c r="H32" s="3">
        <v>0</v>
      </c>
      <c r="I32" s="3">
        <v>1</v>
      </c>
      <c r="J32" s="4" t="str">
        <f>HYPERLINK("http://141.218.60.56/~jnz1568/getInfo.php?workbook=14_04.xlsx&amp;sheet=E0&amp;row=32&amp;col=10&amp;number=2500418&amp;sourceID=14","2500418")</f>
        <v>2500418</v>
      </c>
    </row>
    <row r="33" spans="1:10">
      <c r="A33" s="3">
        <v>14</v>
      </c>
      <c r="B33" s="3">
        <v>4</v>
      </c>
      <c r="C33" s="3">
        <v>30</v>
      </c>
      <c r="D33" s="3" t="s">
        <v>25</v>
      </c>
      <c r="E33" s="3" t="s">
        <v>15</v>
      </c>
      <c r="F33" s="3">
        <v>3</v>
      </c>
      <c r="G33" s="3">
        <v>1</v>
      </c>
      <c r="H33" s="3">
        <v>1</v>
      </c>
      <c r="I33" s="3">
        <v>0</v>
      </c>
      <c r="J33" s="4" t="str">
        <f>HYPERLINK("http://141.218.60.56/~jnz1568/getInfo.php?workbook=14_04.xlsx&amp;sheet=E0&amp;row=33&amp;col=10&amp;number=0&amp;sourceID=14","0")</f>
        <v>0</v>
      </c>
    </row>
    <row r="34" spans="1:10">
      <c r="A34" s="3">
        <v>14</v>
      </c>
      <c r="B34" s="3">
        <v>4</v>
      </c>
      <c r="C34" s="3">
        <v>31</v>
      </c>
      <c r="D34" s="3" t="s">
        <v>25</v>
      </c>
      <c r="E34" s="3" t="s">
        <v>15</v>
      </c>
      <c r="F34" s="3">
        <v>3</v>
      </c>
      <c r="G34" s="3">
        <v>1</v>
      </c>
      <c r="H34" s="3">
        <v>1</v>
      </c>
      <c r="I34" s="3">
        <v>1</v>
      </c>
      <c r="J34" s="4" t="str">
        <f>HYPERLINK("http://141.218.60.56/~jnz1568/getInfo.php?workbook=14_04.xlsx&amp;sheet=E0&amp;row=34&amp;col=10&amp;number=2512339&amp;sourceID=14","2512339")</f>
        <v>2512339</v>
      </c>
    </row>
    <row r="35" spans="1:10">
      <c r="A35" s="3">
        <v>14</v>
      </c>
      <c r="B35" s="3">
        <v>4</v>
      </c>
      <c r="C35" s="3">
        <v>32</v>
      </c>
      <c r="D35" s="3" t="s">
        <v>25</v>
      </c>
      <c r="E35" s="3" t="s">
        <v>15</v>
      </c>
      <c r="F35" s="3">
        <v>3</v>
      </c>
      <c r="G35" s="3">
        <v>1</v>
      </c>
      <c r="H35" s="3">
        <v>1</v>
      </c>
      <c r="I35" s="3">
        <v>2</v>
      </c>
      <c r="J35" s="4" t="str">
        <f>HYPERLINK("http://141.218.60.56/~jnz1568/getInfo.php?workbook=14_04.xlsx&amp;sheet=E0&amp;row=35&amp;col=10&amp;number=2512399&amp;sourceID=14","2512399")</f>
        <v>2512399</v>
      </c>
    </row>
    <row r="36" spans="1:10">
      <c r="A36" s="3">
        <v>14</v>
      </c>
      <c r="B36" s="3">
        <v>4</v>
      </c>
      <c r="C36" s="3">
        <v>33</v>
      </c>
      <c r="D36" s="3" t="s">
        <v>26</v>
      </c>
      <c r="E36" s="3" t="s">
        <v>27</v>
      </c>
      <c r="F36" s="3">
        <v>3</v>
      </c>
      <c r="G36" s="3">
        <v>3</v>
      </c>
      <c r="H36" s="3">
        <v>1</v>
      </c>
      <c r="I36" s="3">
        <v>2</v>
      </c>
      <c r="J36" s="4" t="str">
        <f>HYPERLINK("http://141.218.60.56/~jnz1568/getInfo.php?workbook=14_04.xlsx&amp;sheet=E0&amp;row=36&amp;col=10&amp;number=0&amp;sourceID=14","0")</f>
        <v>0</v>
      </c>
    </row>
    <row r="37" spans="1:10">
      <c r="A37" s="3">
        <v>14</v>
      </c>
      <c r="B37" s="3">
        <v>4</v>
      </c>
      <c r="C37" s="3">
        <v>34</v>
      </c>
      <c r="D37" s="3" t="s">
        <v>26</v>
      </c>
      <c r="E37" s="3" t="s">
        <v>27</v>
      </c>
      <c r="F37" s="3">
        <v>3</v>
      </c>
      <c r="G37" s="3">
        <v>3</v>
      </c>
      <c r="H37" s="3">
        <v>1</v>
      </c>
      <c r="I37" s="3">
        <v>3</v>
      </c>
      <c r="J37" s="4" t="str">
        <f>HYPERLINK("http://141.218.60.56/~jnz1568/getInfo.php?workbook=14_04.xlsx&amp;sheet=E0&amp;row=37&amp;col=10&amp;number=0&amp;sourceID=14","0")</f>
        <v>0</v>
      </c>
    </row>
    <row r="38" spans="1:10">
      <c r="A38" s="3">
        <v>14</v>
      </c>
      <c r="B38" s="3">
        <v>4</v>
      </c>
      <c r="C38" s="3">
        <v>35</v>
      </c>
      <c r="D38" s="3" t="s">
        <v>26</v>
      </c>
      <c r="E38" s="3" t="s">
        <v>18</v>
      </c>
      <c r="F38" s="3">
        <v>1</v>
      </c>
      <c r="G38" s="3">
        <v>2</v>
      </c>
      <c r="H38" s="3">
        <v>0</v>
      </c>
      <c r="I38" s="3">
        <v>2</v>
      </c>
      <c r="J38" s="4" t="str">
        <f>HYPERLINK("http://141.218.60.56/~jnz1568/getInfo.php?workbook=14_04.xlsx&amp;sheet=E0&amp;row=38&amp;col=10&amp;number=2525040&amp;sourceID=14","2525040")</f>
        <v>2525040</v>
      </c>
    </row>
    <row r="39" spans="1:10">
      <c r="A39" s="3">
        <v>14</v>
      </c>
      <c r="B39" s="3">
        <v>4</v>
      </c>
      <c r="C39" s="3">
        <v>36</v>
      </c>
      <c r="D39" s="3" t="s">
        <v>26</v>
      </c>
      <c r="E39" s="3" t="s">
        <v>27</v>
      </c>
      <c r="F39" s="3">
        <v>3</v>
      </c>
      <c r="G39" s="3">
        <v>3</v>
      </c>
      <c r="H39" s="3">
        <v>1</v>
      </c>
      <c r="I39" s="3">
        <v>4</v>
      </c>
      <c r="J39" s="4" t="str">
        <f>HYPERLINK("http://141.218.60.56/~jnz1568/getInfo.php?workbook=14_04.xlsx&amp;sheet=E0&amp;row=39&amp;col=10&amp;number=0&amp;sourceID=14","0")</f>
        <v>0</v>
      </c>
    </row>
    <row r="40" spans="1:10">
      <c r="A40" s="3">
        <v>14</v>
      </c>
      <c r="B40" s="3">
        <v>4</v>
      </c>
      <c r="C40" s="3">
        <v>37</v>
      </c>
      <c r="D40" s="3" t="s">
        <v>25</v>
      </c>
      <c r="E40" s="3" t="s">
        <v>18</v>
      </c>
      <c r="F40" s="3">
        <v>1</v>
      </c>
      <c r="G40" s="3">
        <v>2</v>
      </c>
      <c r="H40" s="3">
        <v>0</v>
      </c>
      <c r="I40" s="3">
        <v>2</v>
      </c>
      <c r="J40" s="4" t="str">
        <f>HYPERLINK("http://141.218.60.56/~jnz1568/getInfo.php?workbook=14_04.xlsx&amp;sheet=E0&amp;row=40&amp;col=10&amp;number=2532420&amp;sourceID=14","2532420")</f>
        <v>2532420</v>
      </c>
    </row>
    <row r="41" spans="1:10">
      <c r="A41" s="3">
        <v>14</v>
      </c>
      <c r="B41" s="3">
        <v>4</v>
      </c>
      <c r="C41" s="3">
        <v>38</v>
      </c>
      <c r="D41" s="3" t="s">
        <v>26</v>
      </c>
      <c r="E41" s="3" t="s">
        <v>23</v>
      </c>
      <c r="F41" s="3">
        <v>3</v>
      </c>
      <c r="G41" s="3">
        <v>2</v>
      </c>
      <c r="H41" s="3">
        <v>0</v>
      </c>
      <c r="I41" s="3">
        <v>1</v>
      </c>
      <c r="J41" s="4" t="str">
        <f>HYPERLINK("http://141.218.60.56/~jnz1568/getInfo.php?workbook=14_04.xlsx&amp;sheet=E0&amp;row=41&amp;col=10&amp;number=0&amp;sourceID=14","0")</f>
        <v>0</v>
      </c>
    </row>
    <row r="42" spans="1:10">
      <c r="A42" s="3">
        <v>14</v>
      </c>
      <c r="B42" s="3">
        <v>4</v>
      </c>
      <c r="C42" s="3">
        <v>39</v>
      </c>
      <c r="D42" s="3" t="s">
        <v>26</v>
      </c>
      <c r="E42" s="3" t="s">
        <v>23</v>
      </c>
      <c r="F42" s="3">
        <v>3</v>
      </c>
      <c r="G42" s="3">
        <v>2</v>
      </c>
      <c r="H42" s="3">
        <v>0</v>
      </c>
      <c r="I42" s="3">
        <v>2</v>
      </c>
      <c r="J42" s="4" t="str">
        <f>HYPERLINK("http://141.218.60.56/~jnz1568/getInfo.php?workbook=14_04.xlsx&amp;sheet=E0&amp;row=42&amp;col=10&amp;number=2542835&amp;sourceID=14","2542835")</f>
        <v>2542835</v>
      </c>
    </row>
    <row r="43" spans="1:10">
      <c r="A43" s="3">
        <v>14</v>
      </c>
      <c r="B43" s="3">
        <v>4</v>
      </c>
      <c r="C43" s="3">
        <v>40</v>
      </c>
      <c r="D43" s="3" t="s">
        <v>26</v>
      </c>
      <c r="E43" s="3" t="s">
        <v>23</v>
      </c>
      <c r="F43" s="3">
        <v>3</v>
      </c>
      <c r="G43" s="3">
        <v>2</v>
      </c>
      <c r="H43" s="3">
        <v>0</v>
      </c>
      <c r="I43" s="3">
        <v>3</v>
      </c>
      <c r="J43" s="4" t="str">
        <f>HYPERLINK("http://141.218.60.56/~jnz1568/getInfo.php?workbook=14_04.xlsx&amp;sheet=E0&amp;row=43&amp;col=10&amp;number=2545852&amp;sourceID=14","2545852")</f>
        <v>2545852</v>
      </c>
    </row>
    <row r="44" spans="1:10">
      <c r="A44" s="3">
        <v>14</v>
      </c>
      <c r="B44" s="3">
        <v>4</v>
      </c>
      <c r="C44" s="3">
        <v>41</v>
      </c>
      <c r="D44" s="3" t="s">
        <v>26</v>
      </c>
      <c r="E44" s="3" t="s">
        <v>15</v>
      </c>
      <c r="F44" s="3">
        <v>3</v>
      </c>
      <c r="G44" s="3">
        <v>1</v>
      </c>
      <c r="H44" s="3">
        <v>1</v>
      </c>
      <c r="I44" s="3">
        <v>2</v>
      </c>
      <c r="J44" s="4" t="str">
        <f>HYPERLINK("http://141.218.60.56/~jnz1568/getInfo.php?workbook=14_04.xlsx&amp;sheet=E0&amp;row=44&amp;col=10&amp;number=2556770&amp;sourceID=14","2556770")</f>
        <v>2556770</v>
      </c>
    </row>
    <row r="45" spans="1:10">
      <c r="A45" s="3">
        <v>14</v>
      </c>
      <c r="B45" s="3">
        <v>4</v>
      </c>
      <c r="C45" s="3">
        <v>42</v>
      </c>
      <c r="D45" s="3" t="s">
        <v>26</v>
      </c>
      <c r="E45" s="3" t="s">
        <v>15</v>
      </c>
      <c r="F45" s="3">
        <v>3</v>
      </c>
      <c r="G45" s="3">
        <v>1</v>
      </c>
      <c r="H45" s="3">
        <v>1</v>
      </c>
      <c r="I45" s="3">
        <v>1</v>
      </c>
      <c r="J45" s="4" t="str">
        <f>HYPERLINK("http://141.218.60.56/~jnz1568/getInfo.php?workbook=14_04.xlsx&amp;sheet=E0&amp;row=45&amp;col=10&amp;number=2553835&amp;sourceID=14","2553835")</f>
        <v>2553835</v>
      </c>
    </row>
    <row r="46" spans="1:10">
      <c r="A46" s="3">
        <v>14</v>
      </c>
      <c r="B46" s="3">
        <v>4</v>
      </c>
      <c r="C46" s="3">
        <v>43</v>
      </c>
      <c r="D46" s="3" t="s">
        <v>26</v>
      </c>
      <c r="E46" s="3" t="s">
        <v>15</v>
      </c>
      <c r="F46" s="3">
        <v>3</v>
      </c>
      <c r="G46" s="3">
        <v>1</v>
      </c>
      <c r="H46" s="3">
        <v>1</v>
      </c>
      <c r="I46" s="3">
        <v>0</v>
      </c>
      <c r="J46" s="4" t="str">
        <f>HYPERLINK("http://141.218.60.56/~jnz1568/getInfo.php?workbook=14_04.xlsx&amp;sheet=E0&amp;row=46&amp;col=10&amp;number=2556859&amp;sourceID=14","2556859")</f>
        <v>2556859</v>
      </c>
    </row>
    <row r="47" spans="1:10">
      <c r="A47" s="3">
        <v>14</v>
      </c>
      <c r="B47" s="3">
        <v>4</v>
      </c>
      <c r="C47" s="3">
        <v>44</v>
      </c>
      <c r="D47" s="3" t="s">
        <v>25</v>
      </c>
      <c r="E47" s="3" t="s">
        <v>13</v>
      </c>
      <c r="F47" s="3">
        <v>1</v>
      </c>
      <c r="G47" s="3">
        <v>0</v>
      </c>
      <c r="H47" s="3">
        <v>0</v>
      </c>
      <c r="I47" s="3">
        <v>0</v>
      </c>
      <c r="J47" s="4" t="str">
        <f>HYPERLINK("http://141.218.60.56/~jnz1568/getInfo.php?workbook=14_04.xlsx&amp;sheet=E0&amp;row=47&amp;col=10&amp;number=0&amp;sourceID=14","0")</f>
        <v>0</v>
      </c>
    </row>
    <row r="48" spans="1:10">
      <c r="A48" s="3">
        <v>14</v>
      </c>
      <c r="B48" s="3">
        <v>4</v>
      </c>
      <c r="C48" s="3">
        <v>45</v>
      </c>
      <c r="D48" s="3" t="s">
        <v>26</v>
      </c>
      <c r="E48" s="3" t="s">
        <v>28</v>
      </c>
      <c r="F48" s="3">
        <v>1</v>
      </c>
      <c r="G48" s="3">
        <v>3</v>
      </c>
      <c r="H48" s="3">
        <v>1</v>
      </c>
      <c r="I48" s="3">
        <v>3</v>
      </c>
      <c r="J48" s="4" t="str">
        <f>HYPERLINK("http://141.218.60.56/~jnz1568/getInfo.php?workbook=14_04.xlsx&amp;sheet=E0&amp;row=48&amp;col=10&amp;number=2582930&amp;sourceID=14","2582930")</f>
        <v>2582930</v>
      </c>
    </row>
    <row r="49" spans="1:10">
      <c r="A49" s="3">
        <v>14</v>
      </c>
      <c r="B49" s="3">
        <v>4</v>
      </c>
      <c r="C49" s="3">
        <v>46</v>
      </c>
      <c r="D49" s="3" t="s">
        <v>26</v>
      </c>
      <c r="E49" s="3" t="s">
        <v>16</v>
      </c>
      <c r="F49" s="3">
        <v>1</v>
      </c>
      <c r="G49" s="3">
        <v>1</v>
      </c>
      <c r="H49" s="3">
        <v>1</v>
      </c>
      <c r="I49" s="3">
        <v>1</v>
      </c>
      <c r="J49" s="4" t="str">
        <f>HYPERLINK("http://141.218.60.56/~jnz1568/getInfo.php?workbook=14_04.xlsx&amp;sheet=E0&amp;row=49&amp;col=10&amp;number=2583829&amp;sourceID=14","2583829")</f>
        <v>2583829</v>
      </c>
    </row>
    <row r="50" spans="1:10">
      <c r="A50" s="3">
        <v>14</v>
      </c>
      <c r="B50" s="3">
        <v>4</v>
      </c>
      <c r="C50" s="3">
        <v>47</v>
      </c>
      <c r="D50" s="3" t="s">
        <v>29</v>
      </c>
      <c r="E50" s="3" t="s">
        <v>20</v>
      </c>
      <c r="F50" s="3">
        <v>3</v>
      </c>
      <c r="G50" s="3">
        <v>0</v>
      </c>
      <c r="H50" s="3">
        <v>0</v>
      </c>
      <c r="I50" s="3">
        <v>1</v>
      </c>
      <c r="J50" s="4" t="str">
        <f>HYPERLINK("http://141.218.60.56/~jnz1568/getInfo.php?workbook=14_04.xlsx&amp;sheet=E0&amp;row=50&amp;col=10&amp;number=2936843&amp;sourceID=14","2936843")</f>
        <v>2936843</v>
      </c>
    </row>
    <row r="51" spans="1:10">
      <c r="A51" s="3">
        <v>14</v>
      </c>
      <c r="B51" s="3">
        <v>4</v>
      </c>
      <c r="C51" s="3">
        <v>48</v>
      </c>
      <c r="D51" s="3" t="s">
        <v>29</v>
      </c>
      <c r="E51" s="3" t="s">
        <v>13</v>
      </c>
      <c r="F51" s="3">
        <v>1</v>
      </c>
      <c r="G51" s="3">
        <v>0</v>
      </c>
      <c r="H51" s="3">
        <v>0</v>
      </c>
      <c r="I51" s="3">
        <v>0</v>
      </c>
      <c r="J51" s="4" t="str">
        <f>HYPERLINK("http://141.218.60.56/~jnz1568/getInfo.php?workbook=14_04.xlsx&amp;sheet=E0&amp;row=51&amp;col=10&amp;number=2938192&amp;sourceID=14","2938192")</f>
        <v>2938192</v>
      </c>
    </row>
    <row r="52" spans="1:10">
      <c r="A52" s="3">
        <v>14</v>
      </c>
      <c r="B52" s="3">
        <v>4</v>
      </c>
      <c r="C52" s="3">
        <v>49</v>
      </c>
      <c r="D52" s="3" t="s">
        <v>30</v>
      </c>
      <c r="E52" s="3" t="s">
        <v>15</v>
      </c>
      <c r="F52" s="3">
        <v>3</v>
      </c>
      <c r="G52" s="3">
        <v>1</v>
      </c>
      <c r="H52" s="3">
        <v>1</v>
      </c>
      <c r="I52" s="3">
        <v>0</v>
      </c>
      <c r="J52" s="4" t="str">
        <f>HYPERLINK("http://141.218.60.56/~jnz1568/getInfo.php?workbook=14_04.xlsx&amp;sheet=E0&amp;row=52&amp;col=10&amp;number=2985895&amp;sourceID=14","2985895")</f>
        <v>2985895</v>
      </c>
    </row>
    <row r="53" spans="1:10">
      <c r="A53" s="3">
        <v>14</v>
      </c>
      <c r="B53" s="3">
        <v>4</v>
      </c>
      <c r="C53" s="3">
        <v>50</v>
      </c>
      <c r="D53" s="3" t="s">
        <v>30</v>
      </c>
      <c r="E53" s="3" t="s">
        <v>15</v>
      </c>
      <c r="F53" s="3">
        <v>3</v>
      </c>
      <c r="G53" s="3">
        <v>1</v>
      </c>
      <c r="H53" s="3">
        <v>1</v>
      </c>
      <c r="I53" s="3">
        <v>1</v>
      </c>
      <c r="J53" s="4" t="str">
        <f>HYPERLINK("http://141.218.60.56/~jnz1568/getInfo.php?workbook=14_04.xlsx&amp;sheet=E0&amp;row=53&amp;col=10&amp;number=2985895&amp;sourceID=14","2985895")</f>
        <v>2985895</v>
      </c>
    </row>
    <row r="54" spans="1:10">
      <c r="A54" s="3">
        <v>14</v>
      </c>
      <c r="B54" s="3">
        <v>4</v>
      </c>
      <c r="C54" s="3">
        <v>51</v>
      </c>
      <c r="D54" s="3" t="s">
        <v>30</v>
      </c>
      <c r="E54" s="3" t="s">
        <v>15</v>
      </c>
      <c r="F54" s="3">
        <v>3</v>
      </c>
      <c r="G54" s="3">
        <v>1</v>
      </c>
      <c r="H54" s="3">
        <v>1</v>
      </c>
      <c r="I54" s="3">
        <v>2</v>
      </c>
      <c r="J54" s="4" t="str">
        <f>HYPERLINK("http://141.218.60.56/~jnz1568/getInfo.php?workbook=14_04.xlsx&amp;sheet=E0&amp;row=54&amp;col=10&amp;number=2986609&amp;sourceID=14","2986609")</f>
        <v>2986609</v>
      </c>
    </row>
    <row r="55" spans="1:10">
      <c r="A55" s="3">
        <v>14</v>
      </c>
      <c r="B55" s="3">
        <v>4</v>
      </c>
      <c r="C55" s="3">
        <v>52</v>
      </c>
      <c r="D55" s="3" t="s">
        <v>30</v>
      </c>
      <c r="E55" s="3" t="s">
        <v>16</v>
      </c>
      <c r="F55" s="3">
        <v>1</v>
      </c>
      <c r="G55" s="3">
        <v>1</v>
      </c>
      <c r="H55" s="3">
        <v>1</v>
      </c>
      <c r="I55" s="3">
        <v>1</v>
      </c>
      <c r="J55" s="4" t="str">
        <f>HYPERLINK("http://141.218.60.56/~jnz1568/getInfo.php?workbook=14_04.xlsx&amp;sheet=E0&amp;row=55&amp;col=10&amp;number=2982404&amp;sourceID=14","2982404")</f>
        <v>2982404</v>
      </c>
    </row>
    <row r="56" spans="1:10">
      <c r="A56" s="3">
        <v>14</v>
      </c>
      <c r="B56" s="3">
        <v>4</v>
      </c>
      <c r="C56" s="3">
        <v>53</v>
      </c>
      <c r="D56" s="3" t="s">
        <v>31</v>
      </c>
      <c r="E56" s="3" t="s">
        <v>23</v>
      </c>
      <c r="F56" s="3">
        <v>3</v>
      </c>
      <c r="G56" s="3">
        <v>2</v>
      </c>
      <c r="H56" s="3">
        <v>0</v>
      </c>
      <c r="I56" s="3">
        <v>1</v>
      </c>
      <c r="J56" s="4" t="str">
        <f>HYPERLINK("http://141.218.60.56/~jnz1568/getInfo.php?workbook=14_04.xlsx&amp;sheet=E0&amp;row=56&amp;col=10&amp;number=2998397&amp;sourceID=14","2998397")</f>
        <v>2998397</v>
      </c>
    </row>
    <row r="57" spans="1:10">
      <c r="A57" s="3">
        <v>14</v>
      </c>
      <c r="B57" s="3">
        <v>4</v>
      </c>
      <c r="C57" s="3">
        <v>54</v>
      </c>
      <c r="D57" s="3" t="s">
        <v>31</v>
      </c>
      <c r="E57" s="3" t="s">
        <v>23</v>
      </c>
      <c r="F57" s="3">
        <v>3</v>
      </c>
      <c r="G57" s="3">
        <v>2</v>
      </c>
      <c r="H57" s="3">
        <v>0</v>
      </c>
      <c r="I57" s="3">
        <v>2</v>
      </c>
      <c r="J57" s="4" t="str">
        <f>HYPERLINK("http://141.218.60.56/~jnz1568/getInfo.php?workbook=14_04.xlsx&amp;sheet=E0&amp;row=57&amp;col=10&amp;number=2998369&amp;sourceID=14","2998369")</f>
        <v>2998369</v>
      </c>
    </row>
    <row r="58" spans="1:10">
      <c r="A58" s="3">
        <v>14</v>
      </c>
      <c r="B58" s="3">
        <v>4</v>
      </c>
      <c r="C58" s="3">
        <v>55</v>
      </c>
      <c r="D58" s="3" t="s">
        <v>31</v>
      </c>
      <c r="E58" s="3" t="s">
        <v>23</v>
      </c>
      <c r="F58" s="3">
        <v>3</v>
      </c>
      <c r="G58" s="3">
        <v>2</v>
      </c>
      <c r="H58" s="3">
        <v>0</v>
      </c>
      <c r="I58" s="3">
        <v>3</v>
      </c>
      <c r="J58" s="4" t="str">
        <f>HYPERLINK("http://141.218.60.56/~jnz1568/getInfo.php?workbook=14_04.xlsx&amp;sheet=E0&amp;row=58&amp;col=10&amp;number=2999195&amp;sourceID=14","2999195")</f>
        <v>2999195</v>
      </c>
    </row>
    <row r="59" spans="1:10">
      <c r="A59" s="3">
        <v>14</v>
      </c>
      <c r="B59" s="3">
        <v>4</v>
      </c>
      <c r="C59" s="3">
        <v>56</v>
      </c>
      <c r="D59" s="3" t="s">
        <v>31</v>
      </c>
      <c r="E59" s="3" t="s">
        <v>18</v>
      </c>
      <c r="F59" s="3">
        <v>1</v>
      </c>
      <c r="G59" s="3">
        <v>2</v>
      </c>
      <c r="H59" s="3">
        <v>0</v>
      </c>
      <c r="I59" s="3">
        <v>2</v>
      </c>
      <c r="J59" s="4" t="str">
        <f>HYPERLINK("http://141.218.60.56/~jnz1568/getInfo.php?workbook=14_04.xlsx&amp;sheet=E0&amp;row=59&amp;col=10&amp;number=3009926&amp;sourceID=14","3009926")</f>
        <v>3009926</v>
      </c>
    </row>
    <row r="60" spans="1:10">
      <c r="A60" s="3">
        <v>14</v>
      </c>
      <c r="B60" s="3">
        <v>4</v>
      </c>
      <c r="C60" s="3">
        <v>57</v>
      </c>
      <c r="D60" s="3" t="s">
        <v>32</v>
      </c>
      <c r="E60" s="3" t="s">
        <v>15</v>
      </c>
      <c r="F60" s="3">
        <v>3</v>
      </c>
      <c r="G60" s="3">
        <v>1</v>
      </c>
      <c r="H60" s="3">
        <v>1</v>
      </c>
      <c r="I60" s="3">
        <v>0</v>
      </c>
      <c r="J60" s="4" t="str">
        <f>HYPERLINK("http://141.218.60.56/~jnz1568/getInfo.php?workbook=14_04.xlsx&amp;sheet=E0&amp;row=60&amp;col=10&amp;number=0&amp;sourceID=14","0")</f>
        <v>0</v>
      </c>
    </row>
    <row r="61" spans="1:10">
      <c r="A61" s="3">
        <v>14</v>
      </c>
      <c r="B61" s="3">
        <v>4</v>
      </c>
      <c r="C61" s="3">
        <v>58</v>
      </c>
      <c r="D61" s="3" t="s">
        <v>32</v>
      </c>
      <c r="E61" s="3" t="s">
        <v>15</v>
      </c>
      <c r="F61" s="3">
        <v>3</v>
      </c>
      <c r="G61" s="3">
        <v>1</v>
      </c>
      <c r="H61" s="3">
        <v>1</v>
      </c>
      <c r="I61" s="3">
        <v>1</v>
      </c>
      <c r="J61" s="4" t="str">
        <f>HYPERLINK("http://141.218.60.56/~jnz1568/getInfo.php?workbook=14_04.xlsx&amp;sheet=E0&amp;row=61&amp;col=10&amp;number=0&amp;sourceID=14","0")</f>
        <v>0</v>
      </c>
    </row>
    <row r="62" spans="1:10">
      <c r="A62" s="3">
        <v>14</v>
      </c>
      <c r="B62" s="3">
        <v>4</v>
      </c>
      <c r="C62" s="3">
        <v>59</v>
      </c>
      <c r="D62" s="3" t="s">
        <v>32</v>
      </c>
      <c r="E62" s="3" t="s">
        <v>15</v>
      </c>
      <c r="F62" s="3">
        <v>3</v>
      </c>
      <c r="G62" s="3">
        <v>1</v>
      </c>
      <c r="H62" s="3">
        <v>1</v>
      </c>
      <c r="I62" s="3">
        <v>2</v>
      </c>
      <c r="J62" s="4" t="str">
        <f>HYPERLINK("http://141.218.60.56/~jnz1568/getInfo.php?workbook=14_04.xlsx&amp;sheet=E0&amp;row=62&amp;col=10&amp;number=3149280&amp;sourceID=14","3149280")</f>
        <v>3149280</v>
      </c>
    </row>
    <row r="63" spans="1:10">
      <c r="A63" s="3">
        <v>14</v>
      </c>
      <c r="B63" s="3">
        <v>4</v>
      </c>
      <c r="C63" s="3">
        <v>60</v>
      </c>
      <c r="D63" s="3" t="s">
        <v>32</v>
      </c>
      <c r="E63" s="3" t="s">
        <v>16</v>
      </c>
      <c r="F63" s="3">
        <v>1</v>
      </c>
      <c r="G63" s="3">
        <v>1</v>
      </c>
      <c r="H63" s="3">
        <v>1</v>
      </c>
      <c r="I63" s="3">
        <v>1</v>
      </c>
      <c r="J63" s="4" t="str">
        <f>HYPERLINK("http://141.218.60.56/~jnz1568/getInfo.php?workbook=14_04.xlsx&amp;sheet=E0&amp;row=63&amp;col=10&amp;number=0&amp;sourceID=14","0")</f>
        <v>0</v>
      </c>
    </row>
    <row r="64" spans="1:10">
      <c r="A64" s="3">
        <v>14</v>
      </c>
      <c r="B64" s="3">
        <v>4</v>
      </c>
      <c r="C64" s="3">
        <v>61</v>
      </c>
      <c r="D64" s="3" t="s">
        <v>33</v>
      </c>
      <c r="E64" s="3" t="s">
        <v>23</v>
      </c>
      <c r="F64" s="3">
        <v>3</v>
      </c>
      <c r="G64" s="3">
        <v>2</v>
      </c>
      <c r="H64" s="3">
        <v>0</v>
      </c>
      <c r="I64" s="3">
        <v>1</v>
      </c>
      <c r="J64" s="4" t="str">
        <f>HYPERLINK("http://141.218.60.56/~jnz1568/getInfo.php?workbook=14_04.xlsx&amp;sheet=E0&amp;row=64&amp;col=10&amp;number=0&amp;sourceID=14","0")</f>
        <v>0</v>
      </c>
    </row>
    <row r="65" spans="1:10">
      <c r="A65" s="3">
        <v>14</v>
      </c>
      <c r="B65" s="3">
        <v>4</v>
      </c>
      <c r="C65" s="3">
        <v>62</v>
      </c>
      <c r="D65" s="3" t="s">
        <v>33</v>
      </c>
      <c r="E65" s="3" t="s">
        <v>16</v>
      </c>
      <c r="F65" s="3">
        <v>1</v>
      </c>
      <c r="G65" s="3">
        <v>1</v>
      </c>
      <c r="H65" s="3">
        <v>1</v>
      </c>
      <c r="I65" s="3">
        <v>1</v>
      </c>
      <c r="J65" s="4" t="str">
        <f>HYPERLINK("http://141.218.60.56/~jnz1568/getInfo.php?workbook=14_04.xlsx&amp;sheet=E0&amp;row=65&amp;col=10&amp;number=0&amp;sourceID=14","0")</f>
        <v>0</v>
      </c>
    </row>
    <row r="66" spans="1:10">
      <c r="A66" s="3">
        <v>14</v>
      </c>
      <c r="B66" s="3">
        <v>4</v>
      </c>
      <c r="C66" s="3">
        <v>63</v>
      </c>
      <c r="D66" s="3" t="s">
        <v>33</v>
      </c>
      <c r="E66" s="3" t="s">
        <v>23</v>
      </c>
      <c r="F66" s="3">
        <v>3</v>
      </c>
      <c r="G66" s="3">
        <v>2</v>
      </c>
      <c r="H66" s="3">
        <v>0</v>
      </c>
      <c r="I66" s="3">
        <v>2</v>
      </c>
      <c r="J66" s="4" t="str">
        <f>HYPERLINK("http://141.218.60.56/~jnz1568/getInfo.php?workbook=14_04.xlsx&amp;sheet=E0&amp;row=66&amp;col=10&amp;number=0&amp;sourceID=14","0")</f>
        <v>0</v>
      </c>
    </row>
    <row r="67" spans="1:10">
      <c r="A67" s="3">
        <v>14</v>
      </c>
      <c r="B67" s="3">
        <v>4</v>
      </c>
      <c r="C67" s="3">
        <v>64</v>
      </c>
      <c r="D67" s="3" t="s">
        <v>33</v>
      </c>
      <c r="E67" s="3" t="s">
        <v>23</v>
      </c>
      <c r="F67" s="3">
        <v>3</v>
      </c>
      <c r="G67" s="3">
        <v>2</v>
      </c>
      <c r="H67" s="3">
        <v>0</v>
      </c>
      <c r="I67" s="3">
        <v>3</v>
      </c>
      <c r="J67" s="4" t="str">
        <f>HYPERLINK("http://141.218.60.56/~jnz1568/getInfo.php?workbook=14_04.xlsx&amp;sheet=E0&amp;row=67&amp;col=10&amp;number=0&amp;sourceID=14","0")</f>
        <v>0</v>
      </c>
    </row>
    <row r="68" spans="1:10">
      <c r="A68" s="3">
        <v>14</v>
      </c>
      <c r="B68" s="3">
        <v>4</v>
      </c>
      <c r="C68" s="3">
        <v>65</v>
      </c>
      <c r="D68" s="3" t="s">
        <v>33</v>
      </c>
      <c r="E68" s="3" t="s">
        <v>20</v>
      </c>
      <c r="F68" s="3">
        <v>3</v>
      </c>
      <c r="G68" s="3">
        <v>0</v>
      </c>
      <c r="H68" s="3">
        <v>0</v>
      </c>
      <c r="I68" s="3">
        <v>1</v>
      </c>
      <c r="J68" s="4" t="str">
        <f>HYPERLINK("http://141.218.60.56/~jnz1568/getInfo.php?workbook=14_04.xlsx&amp;sheet=E0&amp;row=68&amp;col=10&amp;number=0&amp;sourceID=14","0")</f>
        <v>0</v>
      </c>
    </row>
    <row r="69" spans="1:10">
      <c r="A69" s="3">
        <v>14</v>
      </c>
      <c r="B69" s="3">
        <v>4</v>
      </c>
      <c r="C69" s="3">
        <v>66</v>
      </c>
      <c r="D69" s="3" t="s">
        <v>33</v>
      </c>
      <c r="E69" s="3" t="s">
        <v>15</v>
      </c>
      <c r="F69" s="3">
        <v>3</v>
      </c>
      <c r="G69" s="3">
        <v>1</v>
      </c>
      <c r="H69" s="3">
        <v>1</v>
      </c>
      <c r="I69" s="3">
        <v>0</v>
      </c>
      <c r="J69" s="4" t="str">
        <f>HYPERLINK("http://141.218.60.56/~jnz1568/getInfo.php?workbook=14_04.xlsx&amp;sheet=E0&amp;row=69&amp;col=10&amp;number=0&amp;sourceID=14","0")</f>
        <v>0</v>
      </c>
    </row>
    <row r="70" spans="1:10">
      <c r="A70" s="3">
        <v>14</v>
      </c>
      <c r="B70" s="3">
        <v>4</v>
      </c>
      <c r="C70" s="3">
        <v>67</v>
      </c>
      <c r="D70" s="3" t="s">
        <v>33</v>
      </c>
      <c r="E70" s="3" t="s">
        <v>15</v>
      </c>
      <c r="F70" s="3">
        <v>3</v>
      </c>
      <c r="G70" s="3">
        <v>1</v>
      </c>
      <c r="H70" s="3">
        <v>1</v>
      </c>
      <c r="I70" s="3">
        <v>1</v>
      </c>
      <c r="J70" s="4" t="str">
        <f>HYPERLINK("http://141.218.60.56/~jnz1568/getInfo.php?workbook=14_04.xlsx&amp;sheet=E0&amp;row=70&amp;col=10&amp;number=0&amp;sourceID=14","0")</f>
        <v>0</v>
      </c>
    </row>
    <row r="71" spans="1:10">
      <c r="A71" s="3">
        <v>14</v>
      </c>
      <c r="B71" s="3">
        <v>4</v>
      </c>
      <c r="C71" s="3">
        <v>68</v>
      </c>
      <c r="D71" s="3" t="s">
        <v>33</v>
      </c>
      <c r="E71" s="3" t="s">
        <v>15</v>
      </c>
      <c r="F71" s="3">
        <v>3</v>
      </c>
      <c r="G71" s="3">
        <v>1</v>
      </c>
      <c r="H71" s="3">
        <v>1</v>
      </c>
      <c r="I71" s="3">
        <v>2</v>
      </c>
      <c r="J71" s="4" t="str">
        <f>HYPERLINK("http://141.218.60.56/~jnz1568/getInfo.php?workbook=14_04.xlsx&amp;sheet=E0&amp;row=71&amp;col=10&amp;number=0&amp;sourceID=14","0")</f>
        <v>0</v>
      </c>
    </row>
    <row r="72" spans="1:10">
      <c r="A72" s="3">
        <v>14</v>
      </c>
      <c r="B72" s="3">
        <v>4</v>
      </c>
      <c r="C72" s="3">
        <v>69</v>
      </c>
      <c r="D72" s="3" t="s">
        <v>34</v>
      </c>
      <c r="E72" s="3" t="s">
        <v>27</v>
      </c>
      <c r="F72" s="3">
        <v>3</v>
      </c>
      <c r="G72" s="3">
        <v>3</v>
      </c>
      <c r="H72" s="3">
        <v>1</v>
      </c>
      <c r="I72" s="3">
        <v>2</v>
      </c>
      <c r="J72" s="4" t="str">
        <f>HYPERLINK("http://141.218.60.56/~jnz1568/getInfo.php?workbook=14_04.xlsx&amp;sheet=E0&amp;row=72&amp;col=10&amp;number=0&amp;sourceID=14","0")</f>
        <v>0</v>
      </c>
    </row>
    <row r="73" spans="1:10">
      <c r="A73" s="3">
        <v>14</v>
      </c>
      <c r="B73" s="3">
        <v>4</v>
      </c>
      <c r="C73" s="3">
        <v>70</v>
      </c>
      <c r="D73" s="3" t="s">
        <v>34</v>
      </c>
      <c r="E73" s="3" t="s">
        <v>27</v>
      </c>
      <c r="F73" s="3">
        <v>3</v>
      </c>
      <c r="G73" s="3">
        <v>3</v>
      </c>
      <c r="H73" s="3">
        <v>1</v>
      </c>
      <c r="I73" s="3">
        <v>3</v>
      </c>
      <c r="J73" s="4" t="str">
        <f>HYPERLINK("http://141.218.60.56/~jnz1568/getInfo.php?workbook=14_04.xlsx&amp;sheet=E0&amp;row=73&amp;col=10&amp;number=0&amp;sourceID=14","0")</f>
        <v>0</v>
      </c>
    </row>
    <row r="74" spans="1:10">
      <c r="A74" s="3">
        <v>14</v>
      </c>
      <c r="B74" s="3">
        <v>4</v>
      </c>
      <c r="C74" s="3">
        <v>71</v>
      </c>
      <c r="D74" s="3" t="s">
        <v>34</v>
      </c>
      <c r="E74" s="3" t="s">
        <v>18</v>
      </c>
      <c r="F74" s="3">
        <v>1</v>
      </c>
      <c r="G74" s="3">
        <v>2</v>
      </c>
      <c r="H74" s="3">
        <v>0</v>
      </c>
      <c r="I74" s="3">
        <v>2</v>
      </c>
      <c r="J74" s="4" t="str">
        <f>HYPERLINK("http://141.218.60.56/~jnz1568/getInfo.php?workbook=14_04.xlsx&amp;sheet=E0&amp;row=74&amp;col=10&amp;number=0&amp;sourceID=14","0")</f>
        <v>0</v>
      </c>
    </row>
    <row r="75" spans="1:10">
      <c r="A75" s="3">
        <v>14</v>
      </c>
      <c r="B75" s="3">
        <v>4</v>
      </c>
      <c r="C75" s="3">
        <v>72</v>
      </c>
      <c r="D75" s="3" t="s">
        <v>33</v>
      </c>
      <c r="E75" s="3" t="s">
        <v>18</v>
      </c>
      <c r="F75" s="3">
        <v>1</v>
      </c>
      <c r="G75" s="3">
        <v>2</v>
      </c>
      <c r="H75" s="3">
        <v>0</v>
      </c>
      <c r="I75" s="3">
        <v>2</v>
      </c>
      <c r="J75" s="4" t="str">
        <f>HYPERLINK("http://141.218.60.56/~jnz1568/getInfo.php?workbook=14_04.xlsx&amp;sheet=E0&amp;row=75&amp;col=10&amp;number=0&amp;sourceID=14","0")</f>
        <v>0</v>
      </c>
    </row>
    <row r="76" spans="1:10">
      <c r="A76" s="3">
        <v>14</v>
      </c>
      <c r="B76" s="3">
        <v>4</v>
      </c>
      <c r="C76" s="3">
        <v>73</v>
      </c>
      <c r="D76" s="3" t="s">
        <v>34</v>
      </c>
      <c r="E76" s="3" t="s">
        <v>27</v>
      </c>
      <c r="F76" s="3">
        <v>3</v>
      </c>
      <c r="G76" s="3">
        <v>3</v>
      </c>
      <c r="H76" s="3">
        <v>1</v>
      </c>
      <c r="I76" s="3">
        <v>4</v>
      </c>
      <c r="J76" s="4" t="str">
        <f>HYPERLINK("http://141.218.60.56/~jnz1568/getInfo.php?workbook=14_04.xlsx&amp;sheet=E0&amp;row=76&amp;col=10&amp;number=0&amp;sourceID=14","0")</f>
        <v>0</v>
      </c>
    </row>
    <row r="77" spans="1:10">
      <c r="A77" s="3">
        <v>14</v>
      </c>
      <c r="B77" s="3">
        <v>4</v>
      </c>
      <c r="C77" s="3">
        <v>74</v>
      </c>
      <c r="D77" s="3" t="s">
        <v>34</v>
      </c>
      <c r="E77" s="3" t="s">
        <v>23</v>
      </c>
      <c r="F77" s="3">
        <v>3</v>
      </c>
      <c r="G77" s="3">
        <v>2</v>
      </c>
      <c r="H77" s="3">
        <v>0</v>
      </c>
      <c r="I77" s="3">
        <v>1</v>
      </c>
      <c r="J77" s="4" t="str">
        <f>HYPERLINK("http://141.218.60.56/~jnz1568/getInfo.php?workbook=14_04.xlsx&amp;sheet=E0&amp;row=77&amp;col=10&amp;number=0&amp;sourceID=14","0")</f>
        <v>0</v>
      </c>
    </row>
    <row r="78" spans="1:10">
      <c r="A78" s="3">
        <v>14</v>
      </c>
      <c r="B78" s="3">
        <v>4</v>
      </c>
      <c r="C78" s="3">
        <v>75</v>
      </c>
      <c r="D78" s="3" t="s">
        <v>34</v>
      </c>
      <c r="E78" s="3" t="s">
        <v>23</v>
      </c>
      <c r="F78" s="3">
        <v>3</v>
      </c>
      <c r="G78" s="3">
        <v>2</v>
      </c>
      <c r="H78" s="3">
        <v>0</v>
      </c>
      <c r="I78" s="3">
        <v>2</v>
      </c>
      <c r="J78" s="4" t="str">
        <f>HYPERLINK("http://141.218.60.56/~jnz1568/getInfo.php?workbook=14_04.xlsx&amp;sheet=E0&amp;row=78&amp;col=10&amp;number=0&amp;sourceID=14","0")</f>
        <v>0</v>
      </c>
    </row>
    <row r="79" spans="1:10">
      <c r="A79" s="3">
        <v>14</v>
      </c>
      <c r="B79" s="3">
        <v>4</v>
      </c>
      <c r="C79" s="3">
        <v>76</v>
      </c>
      <c r="D79" s="3" t="s">
        <v>34</v>
      </c>
      <c r="E79" s="3" t="s">
        <v>23</v>
      </c>
      <c r="F79" s="3">
        <v>3</v>
      </c>
      <c r="G79" s="3">
        <v>2</v>
      </c>
      <c r="H79" s="3">
        <v>0</v>
      </c>
      <c r="I79" s="3">
        <v>3</v>
      </c>
      <c r="J79" s="4" t="str">
        <f>HYPERLINK("http://141.218.60.56/~jnz1568/getInfo.php?workbook=14_04.xlsx&amp;sheet=E0&amp;row=79&amp;col=10&amp;number=3204447&amp;sourceID=14","3204447")</f>
        <v>3204447</v>
      </c>
    </row>
    <row r="80" spans="1:10">
      <c r="A80" s="3">
        <v>14</v>
      </c>
      <c r="B80" s="3">
        <v>4</v>
      </c>
      <c r="C80" s="3">
        <v>77</v>
      </c>
      <c r="D80" s="3" t="s">
        <v>34</v>
      </c>
      <c r="E80" s="3" t="s">
        <v>15</v>
      </c>
      <c r="F80" s="3">
        <v>3</v>
      </c>
      <c r="G80" s="3">
        <v>1</v>
      </c>
      <c r="H80" s="3">
        <v>1</v>
      </c>
      <c r="I80" s="3">
        <v>2</v>
      </c>
      <c r="J80" s="4" t="str">
        <f>HYPERLINK("http://141.218.60.56/~jnz1568/getInfo.php?workbook=14_04.xlsx&amp;sheet=E0&amp;row=80&amp;col=10&amp;number=3205357&amp;sourceID=14","3205357")</f>
        <v>3205357</v>
      </c>
    </row>
    <row r="81" spans="1:10">
      <c r="A81" s="3">
        <v>14</v>
      </c>
      <c r="B81" s="3">
        <v>4</v>
      </c>
      <c r="C81" s="3">
        <v>78</v>
      </c>
      <c r="D81" s="3" t="s">
        <v>34</v>
      </c>
      <c r="E81" s="3" t="s">
        <v>15</v>
      </c>
      <c r="F81" s="3">
        <v>3</v>
      </c>
      <c r="G81" s="3">
        <v>1</v>
      </c>
      <c r="H81" s="3">
        <v>1</v>
      </c>
      <c r="I81" s="3">
        <v>1</v>
      </c>
      <c r="J81" s="4" t="str">
        <f>HYPERLINK("http://141.218.60.56/~jnz1568/getInfo.php?workbook=14_04.xlsx&amp;sheet=E0&amp;row=81&amp;col=10&amp;number=0&amp;sourceID=14","0")</f>
        <v>0</v>
      </c>
    </row>
    <row r="82" spans="1:10">
      <c r="A82" s="3">
        <v>14</v>
      </c>
      <c r="B82" s="3">
        <v>4</v>
      </c>
      <c r="C82" s="3">
        <v>79</v>
      </c>
      <c r="D82" s="3" t="s">
        <v>34</v>
      </c>
      <c r="E82" s="3" t="s">
        <v>15</v>
      </c>
      <c r="F82" s="3">
        <v>3</v>
      </c>
      <c r="G82" s="3">
        <v>1</v>
      </c>
      <c r="H82" s="3">
        <v>1</v>
      </c>
      <c r="I82" s="3">
        <v>0</v>
      </c>
      <c r="J82" s="4" t="str">
        <f>HYPERLINK("http://141.218.60.56/~jnz1568/getInfo.php?workbook=14_04.xlsx&amp;sheet=E0&amp;row=82&amp;col=10&amp;number=0&amp;sourceID=14","0")</f>
        <v>0</v>
      </c>
    </row>
    <row r="83" spans="1:10">
      <c r="A83" s="3">
        <v>14</v>
      </c>
      <c r="B83" s="3">
        <v>4</v>
      </c>
      <c r="C83" s="3">
        <v>80</v>
      </c>
      <c r="D83" s="3" t="s">
        <v>33</v>
      </c>
      <c r="E83" s="3" t="s">
        <v>13</v>
      </c>
      <c r="F83" s="3">
        <v>1</v>
      </c>
      <c r="G83" s="3">
        <v>0</v>
      </c>
      <c r="H83" s="3">
        <v>0</v>
      </c>
      <c r="I83" s="3">
        <v>0</v>
      </c>
      <c r="J83" s="4" t="str">
        <f>HYPERLINK("http://141.218.60.56/~jnz1568/getInfo.php?workbook=14_04.xlsx&amp;sheet=E0&amp;row=83&amp;col=10&amp;number=3195008&amp;sourceID=14","3195008")</f>
        <v>3195008</v>
      </c>
    </row>
    <row r="84" spans="1:10">
      <c r="A84" s="3">
        <v>14</v>
      </c>
      <c r="B84" s="3">
        <v>4</v>
      </c>
      <c r="C84" s="3">
        <v>81</v>
      </c>
      <c r="D84" s="3" t="s">
        <v>34</v>
      </c>
      <c r="E84" s="3" t="s">
        <v>28</v>
      </c>
      <c r="F84" s="3">
        <v>1</v>
      </c>
      <c r="G84" s="3">
        <v>3</v>
      </c>
      <c r="H84" s="3">
        <v>1</v>
      </c>
      <c r="I84" s="3">
        <v>3</v>
      </c>
      <c r="J84" s="4" t="str">
        <f>HYPERLINK("http://141.218.60.56/~jnz1568/getInfo.php?workbook=14_04.xlsx&amp;sheet=E0&amp;row=84&amp;col=10&amp;number=3215482&amp;sourceID=14","3215482")</f>
        <v>3215482</v>
      </c>
    </row>
    <row r="85" spans="1:10">
      <c r="A85" s="3">
        <v>14</v>
      </c>
      <c r="B85" s="3">
        <v>4</v>
      </c>
      <c r="C85" s="3">
        <v>82</v>
      </c>
      <c r="D85" s="3" t="s">
        <v>34</v>
      </c>
      <c r="E85" s="3" t="s">
        <v>16</v>
      </c>
      <c r="F85" s="3">
        <v>1</v>
      </c>
      <c r="G85" s="3">
        <v>1</v>
      </c>
      <c r="H85" s="3">
        <v>1</v>
      </c>
      <c r="I85" s="3">
        <v>1</v>
      </c>
      <c r="J85" s="4" t="str">
        <f>HYPERLINK("http://141.218.60.56/~jnz1568/getInfo.php?workbook=14_04.xlsx&amp;sheet=E0&amp;row=85&amp;col=10&amp;number=0&amp;sourceID=14","0")</f>
        <v>0</v>
      </c>
    </row>
    <row r="86" spans="1:10">
      <c r="A86" s="3">
        <v>14</v>
      </c>
      <c r="B86" s="3">
        <v>4</v>
      </c>
      <c r="C86" s="3">
        <v>83</v>
      </c>
      <c r="D86" s="3" t="s">
        <v>35</v>
      </c>
      <c r="E86" s="3" t="s">
        <v>20</v>
      </c>
      <c r="F86" s="3">
        <v>3</v>
      </c>
      <c r="G86" s="3">
        <v>0</v>
      </c>
      <c r="H86" s="3">
        <v>0</v>
      </c>
      <c r="I86" s="3">
        <v>1</v>
      </c>
      <c r="J86" s="4" t="str">
        <f>HYPERLINK("http://141.218.60.56/~jnz1568/getInfo.php?workbook=14_04.xlsx&amp;sheet=E0&amp;row=86&amp;col=10&amp;number=0&amp;sourceID=14","0")</f>
        <v>0</v>
      </c>
    </row>
    <row r="87" spans="1:10">
      <c r="A87" s="3">
        <v>14</v>
      </c>
      <c r="B87" s="3">
        <v>4</v>
      </c>
      <c r="C87" s="3">
        <v>84</v>
      </c>
      <c r="D87" s="3" t="s">
        <v>35</v>
      </c>
      <c r="E87" s="3" t="s">
        <v>13</v>
      </c>
      <c r="F87" s="3">
        <v>1</v>
      </c>
      <c r="G87" s="3">
        <v>0</v>
      </c>
      <c r="H87" s="3">
        <v>0</v>
      </c>
      <c r="I87" s="3">
        <v>0</v>
      </c>
      <c r="J87" s="4" t="str">
        <f>HYPERLINK("http://141.218.60.56/~jnz1568/getInfo.php?workbook=14_04.xlsx&amp;sheet=E0&amp;row=87&amp;col=10&amp;number=0&amp;sourceID=14","0")</f>
        <v>0</v>
      </c>
    </row>
    <row r="88" spans="1:10">
      <c r="A88" s="3">
        <v>14</v>
      </c>
      <c r="B88" s="3">
        <v>4</v>
      </c>
      <c r="C88" s="3">
        <v>85</v>
      </c>
      <c r="D88" s="3" t="s">
        <v>36</v>
      </c>
      <c r="E88" s="3" t="s">
        <v>15</v>
      </c>
      <c r="F88" s="3">
        <v>3</v>
      </c>
      <c r="G88" s="3">
        <v>1</v>
      </c>
      <c r="H88" s="3">
        <v>1</v>
      </c>
      <c r="I88" s="3">
        <v>0</v>
      </c>
      <c r="J88" s="4" t="str">
        <f>HYPERLINK("http://141.218.60.56/~jnz1568/getInfo.php?workbook=14_04.xlsx&amp;sheet=E0&amp;row=88&amp;col=10&amp;number=0&amp;sourceID=14","0")</f>
        <v>0</v>
      </c>
    </row>
    <row r="89" spans="1:10">
      <c r="A89" s="3">
        <v>14</v>
      </c>
      <c r="B89" s="3">
        <v>4</v>
      </c>
      <c r="C89" s="3">
        <v>86</v>
      </c>
      <c r="D89" s="3" t="s">
        <v>36</v>
      </c>
      <c r="E89" s="3" t="s">
        <v>15</v>
      </c>
      <c r="F89" s="3">
        <v>3</v>
      </c>
      <c r="G89" s="3">
        <v>1</v>
      </c>
      <c r="H89" s="3">
        <v>1</v>
      </c>
      <c r="I89" s="3">
        <v>1</v>
      </c>
      <c r="J89" s="4" t="str">
        <f>HYPERLINK("http://141.218.60.56/~jnz1568/getInfo.php?workbook=14_04.xlsx&amp;sheet=E0&amp;row=89&amp;col=10&amp;number=0&amp;sourceID=14","0")</f>
        <v>0</v>
      </c>
    </row>
    <row r="90" spans="1:10">
      <c r="A90" s="3">
        <v>14</v>
      </c>
      <c r="B90" s="3">
        <v>4</v>
      </c>
      <c r="C90" s="3">
        <v>87</v>
      </c>
      <c r="D90" s="3" t="s">
        <v>36</v>
      </c>
      <c r="E90" s="3" t="s">
        <v>15</v>
      </c>
      <c r="F90" s="3">
        <v>3</v>
      </c>
      <c r="G90" s="3">
        <v>1</v>
      </c>
      <c r="H90" s="3">
        <v>1</v>
      </c>
      <c r="I90" s="3">
        <v>2</v>
      </c>
      <c r="J90" s="4" t="str">
        <f>HYPERLINK("http://141.218.60.56/~jnz1568/getInfo.php?workbook=14_04.xlsx&amp;sheet=E0&amp;row=90&amp;col=10&amp;number=3299834&amp;sourceID=14","3299834")</f>
        <v>3299834</v>
      </c>
    </row>
    <row r="91" spans="1:10">
      <c r="A91" s="3">
        <v>14</v>
      </c>
      <c r="B91" s="3">
        <v>4</v>
      </c>
      <c r="C91" s="3">
        <v>88</v>
      </c>
      <c r="D91" s="3" t="s">
        <v>36</v>
      </c>
      <c r="E91" s="3" t="s">
        <v>16</v>
      </c>
      <c r="F91" s="3">
        <v>1</v>
      </c>
      <c r="G91" s="3">
        <v>1</v>
      </c>
      <c r="H91" s="3">
        <v>1</v>
      </c>
      <c r="I91" s="3">
        <v>1</v>
      </c>
      <c r="J91" s="4" t="str">
        <f>HYPERLINK("http://141.218.60.56/~jnz1568/getInfo.php?workbook=14_04.xlsx&amp;sheet=E0&amp;row=91&amp;col=10&amp;number=0&amp;sourceID=14","0")</f>
        <v>0</v>
      </c>
    </row>
    <row r="92" spans="1:10">
      <c r="A92" s="3">
        <v>14</v>
      </c>
      <c r="B92" s="3">
        <v>4</v>
      </c>
      <c r="C92" s="3">
        <v>89</v>
      </c>
      <c r="D92" s="3" t="s">
        <v>37</v>
      </c>
      <c r="E92" s="3" t="s">
        <v>23</v>
      </c>
      <c r="F92" s="3">
        <v>3</v>
      </c>
      <c r="G92" s="3">
        <v>2</v>
      </c>
      <c r="H92" s="3">
        <v>0</v>
      </c>
      <c r="I92" s="3">
        <v>1</v>
      </c>
      <c r="J92" s="4" t="str">
        <f>HYPERLINK("http://141.218.60.56/~jnz1568/getInfo.php?workbook=14_04.xlsx&amp;sheet=E0&amp;row=92&amp;col=10&amp;number=0&amp;sourceID=14","0")</f>
        <v>0</v>
      </c>
    </row>
    <row r="93" spans="1:10">
      <c r="A93" s="3">
        <v>14</v>
      </c>
      <c r="B93" s="3">
        <v>4</v>
      </c>
      <c r="C93" s="3">
        <v>90</v>
      </c>
      <c r="D93" s="3" t="s">
        <v>37</v>
      </c>
      <c r="E93" s="3" t="s">
        <v>23</v>
      </c>
      <c r="F93" s="3">
        <v>3</v>
      </c>
      <c r="G93" s="3">
        <v>2</v>
      </c>
      <c r="H93" s="3">
        <v>0</v>
      </c>
      <c r="I93" s="3">
        <v>2</v>
      </c>
      <c r="J93" s="4" t="str">
        <f>HYPERLINK("http://141.218.60.56/~jnz1568/getInfo.php?workbook=14_04.xlsx&amp;sheet=E0&amp;row=93&amp;col=10&amp;number=3304415&amp;sourceID=14","3304415")</f>
        <v>3304415</v>
      </c>
    </row>
    <row r="94" spans="1:10">
      <c r="A94" s="3">
        <v>14</v>
      </c>
      <c r="B94" s="3">
        <v>4</v>
      </c>
      <c r="C94" s="3">
        <v>91</v>
      </c>
      <c r="D94" s="3" t="s">
        <v>37</v>
      </c>
      <c r="E94" s="3" t="s">
        <v>23</v>
      </c>
      <c r="F94" s="3">
        <v>3</v>
      </c>
      <c r="G94" s="3">
        <v>2</v>
      </c>
      <c r="H94" s="3">
        <v>0</v>
      </c>
      <c r="I94" s="3">
        <v>3</v>
      </c>
      <c r="J94" s="4" t="str">
        <f>HYPERLINK("http://141.218.60.56/~jnz1568/getInfo.php?workbook=14_04.xlsx&amp;sheet=E0&amp;row=94&amp;col=10&amp;number=3304332&amp;sourceID=14","3304332")</f>
        <v>3304332</v>
      </c>
    </row>
    <row r="95" spans="1:10">
      <c r="A95" s="3">
        <v>14</v>
      </c>
      <c r="B95" s="3">
        <v>4</v>
      </c>
      <c r="C95" s="3">
        <v>92</v>
      </c>
      <c r="D95" s="3" t="s">
        <v>37</v>
      </c>
      <c r="E95" s="3" t="s">
        <v>18</v>
      </c>
      <c r="F95" s="3">
        <v>1</v>
      </c>
      <c r="G95" s="3">
        <v>2</v>
      </c>
      <c r="H95" s="3">
        <v>0</v>
      </c>
      <c r="I95" s="3">
        <v>2</v>
      </c>
      <c r="J95" s="4" t="str">
        <f>HYPERLINK("http://141.218.60.56/~jnz1568/getInfo.php?workbook=14_04.xlsx&amp;sheet=E0&amp;row=95&amp;col=10&amp;number=3308260&amp;sourceID=14","3308260")</f>
        <v>3308260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266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3.7109375" customWidth="1"/>
    <col min="6" max="6" width="14.7109375" customWidth="1"/>
    <col min="7" max="7" width="10.7109375" customWidth="1"/>
  </cols>
  <sheetData>
    <row r="1" spans="1:7">
      <c r="A1" s="1" t="s">
        <v>38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39</v>
      </c>
      <c r="D3" s="2" t="s">
        <v>4</v>
      </c>
      <c r="E3" s="2" t="s">
        <v>40</v>
      </c>
      <c r="F3" s="2" t="s">
        <v>41</v>
      </c>
      <c r="G3" s="2" t="s">
        <v>42</v>
      </c>
    </row>
    <row r="4" spans="1:7">
      <c r="A4" s="3">
        <v>14</v>
      </c>
      <c r="B4" s="3">
        <v>4</v>
      </c>
      <c r="C4" s="3">
        <v>3</v>
      </c>
      <c r="D4" s="3">
        <v>1</v>
      </c>
      <c r="E4" s="3">
        <v>580.92</v>
      </c>
      <c r="F4" s="4" t="str">
        <f>HYPERLINK("http://141.218.60.56/~jnz1568/getInfo.php?workbook=14_04.xlsx&amp;sheet=A0&amp;row=4&amp;col=6&amp;number=362200&amp;sourceID=14","362200")</f>
        <v>362200</v>
      </c>
      <c r="G4" s="4" t="str">
        <f>HYPERLINK("http://141.218.60.56/~jnz1568/getInfo.php?workbook=14_04.xlsx&amp;sheet=A0&amp;row=4&amp;col=7&amp;number=0&amp;sourceID=14","0")</f>
        <v>0</v>
      </c>
    </row>
    <row r="5" spans="1:7">
      <c r="A5" s="3">
        <v>14</v>
      </c>
      <c r="B5" s="3">
        <v>4</v>
      </c>
      <c r="C5" s="3">
        <v>4</v>
      </c>
      <c r="D5" s="3">
        <v>1</v>
      </c>
      <c r="E5" s="3">
        <v>563.987</v>
      </c>
      <c r="F5" s="4" t="str">
        <f>HYPERLINK("http://141.218.60.56/~jnz1568/getInfo.php?workbook=14_04.xlsx&amp;sheet=A0&amp;row=5&amp;col=6&amp;number=0.2465&amp;sourceID=14","0.2465")</f>
        <v>0.2465</v>
      </c>
      <c r="G5" s="4" t="str">
        <f>HYPERLINK("http://141.218.60.56/~jnz1568/getInfo.php?workbook=14_04.xlsx&amp;sheet=A0&amp;row=5&amp;col=7&amp;number=0&amp;sourceID=14","0")</f>
        <v>0</v>
      </c>
    </row>
    <row r="6" spans="1:7">
      <c r="A6" s="3">
        <v>14</v>
      </c>
      <c r="B6" s="3">
        <v>4</v>
      </c>
      <c r="C6" s="3">
        <v>5</v>
      </c>
      <c r="D6" s="3">
        <v>1</v>
      </c>
      <c r="E6" s="3">
        <v>303.327</v>
      </c>
      <c r="F6" s="4" t="str">
        <f>HYPERLINK("http://141.218.60.56/~jnz1568/getInfo.php?workbook=14_04.xlsx&amp;sheet=A0&amp;row=6&amp;col=6&amp;number=6369000000&amp;sourceID=14","6369000000")</f>
        <v>6369000000</v>
      </c>
      <c r="G6" s="4" t="str">
        <f>HYPERLINK("http://141.218.60.56/~jnz1568/getInfo.php?workbook=14_04.xlsx&amp;sheet=A0&amp;row=6&amp;col=7&amp;number=0&amp;sourceID=14","0")</f>
        <v>0</v>
      </c>
    </row>
    <row r="7" spans="1:7">
      <c r="A7" s="3">
        <v>14</v>
      </c>
      <c r="B7" s="3">
        <v>4</v>
      </c>
      <c r="C7" s="3">
        <v>7</v>
      </c>
      <c r="D7" s="3">
        <v>1</v>
      </c>
      <c r="E7" s="3">
        <v>223.971</v>
      </c>
      <c r="F7" s="4" t="str">
        <f>HYPERLINK("http://141.218.60.56/~jnz1568/getInfo.php?workbook=14_04.xlsx&amp;sheet=A0&amp;row=7&amp;col=6&amp;number=25.41&amp;sourceID=14","25.41")</f>
        <v>25.41</v>
      </c>
      <c r="G7" s="4" t="str">
        <f>HYPERLINK("http://141.218.60.56/~jnz1568/getInfo.php?workbook=14_04.xlsx&amp;sheet=A0&amp;row=7&amp;col=7&amp;number=0&amp;sourceID=14","0")</f>
        <v>0</v>
      </c>
    </row>
    <row r="8" spans="1:7">
      <c r="A8" s="3">
        <v>14</v>
      </c>
      <c r="B8" s="3">
        <v>4</v>
      </c>
      <c r="C8" s="3">
        <v>8</v>
      </c>
      <c r="D8" s="3">
        <v>1</v>
      </c>
      <c r="E8" s="3">
        <v>221.753</v>
      </c>
      <c r="F8" s="4" t="str">
        <f>HYPERLINK("http://141.218.60.56/~jnz1568/getInfo.php?workbook=14_04.xlsx&amp;sheet=A0&amp;row=8&amp;col=6&amp;number=20.43&amp;sourceID=14","20.43")</f>
        <v>20.43</v>
      </c>
      <c r="G8" s="4" t="str">
        <f>HYPERLINK("http://141.218.60.56/~jnz1568/getInfo.php?workbook=14_04.xlsx&amp;sheet=A0&amp;row=8&amp;col=7&amp;number=0&amp;sourceID=14","0")</f>
        <v>0</v>
      </c>
    </row>
    <row r="9" spans="1:7">
      <c r="A9" s="3">
        <v>14</v>
      </c>
      <c r="B9" s="3">
        <v>4</v>
      </c>
      <c r="C9" s="3">
        <v>9</v>
      </c>
      <c r="D9" s="3">
        <v>1</v>
      </c>
      <c r="E9" s="3">
        <v>201.936</v>
      </c>
      <c r="F9" s="4" t="str">
        <f>HYPERLINK("http://141.218.60.56/~jnz1568/getInfo.php?workbook=14_04.xlsx&amp;sheet=A0&amp;row=9&amp;col=6&amp;number=4656&amp;sourceID=14","4656")</f>
        <v>4656</v>
      </c>
      <c r="G9" s="4" t="str">
        <f>HYPERLINK("http://141.218.60.56/~jnz1568/getInfo.php?workbook=14_04.xlsx&amp;sheet=A0&amp;row=9&amp;col=7&amp;number=0&amp;sourceID=14","0")</f>
        <v>0</v>
      </c>
    </row>
    <row r="10" spans="1:7">
      <c r="A10" s="3">
        <v>14</v>
      </c>
      <c r="B10" s="3">
        <v>4</v>
      </c>
      <c r="C10" s="3">
        <v>11</v>
      </c>
      <c r="D10" s="3">
        <v>1</v>
      </c>
      <c r="E10" s="3">
        <v>45.154</v>
      </c>
      <c r="F10" s="4" t="str">
        <f>HYPERLINK("http://141.218.60.56/~jnz1568/getInfo.php?workbook=14_04.xlsx&amp;sheet=A0&amp;row=10&amp;col=6&amp;number=0.0002015&amp;sourceID=14","0.0002015")</f>
        <v>0.0002015</v>
      </c>
      <c r="G10" s="4" t="str">
        <f>HYPERLINK("http://141.218.60.56/~jnz1568/getInfo.php?workbook=14_04.xlsx&amp;sheet=A0&amp;row=10&amp;col=7&amp;number=0&amp;sourceID=14","0")</f>
        <v>0</v>
      </c>
    </row>
    <row r="11" spans="1:7">
      <c r="A11" s="3">
        <v>14</v>
      </c>
      <c r="B11" s="3">
        <v>4</v>
      </c>
      <c r="C11" s="3">
        <v>13</v>
      </c>
      <c r="D11" s="3">
        <v>1</v>
      </c>
      <c r="E11" s="3">
        <v>43.75</v>
      </c>
      <c r="F11" s="4" t="str">
        <f>HYPERLINK("http://141.218.60.56/~jnz1568/getInfo.php?workbook=14_04.xlsx&amp;sheet=A0&amp;row=11&amp;col=6&amp;number=617100000000&amp;sourceID=14","617100000000")</f>
        <v>617100000000</v>
      </c>
      <c r="G11" s="4" t="str">
        <f>HYPERLINK("http://141.218.60.56/~jnz1568/getInfo.php?workbook=14_04.xlsx&amp;sheet=A0&amp;row=11&amp;col=7&amp;number=0&amp;sourceID=14","0")</f>
        <v>0</v>
      </c>
    </row>
    <row r="12" spans="1:7">
      <c r="A12" s="3">
        <v>14</v>
      </c>
      <c r="B12" s="3">
        <v>4</v>
      </c>
      <c r="C12" s="3">
        <v>15</v>
      </c>
      <c r="D12" s="3">
        <v>1</v>
      </c>
      <c r="E12" s="3">
        <v>43.685</v>
      </c>
      <c r="F12" s="4" t="str">
        <f>HYPERLINK("http://141.218.60.56/~jnz1568/getInfo.php?workbook=14_04.xlsx&amp;sheet=A0&amp;row=12&amp;col=6&amp;number=49870000000&amp;sourceID=14","49870000000")</f>
        <v>49870000000</v>
      </c>
      <c r="G12" s="4" t="str">
        <f>HYPERLINK("http://141.218.60.56/~jnz1568/getInfo.php?workbook=14_04.xlsx&amp;sheet=A0&amp;row=12&amp;col=7&amp;number=0&amp;sourceID=14","0")</f>
        <v>0</v>
      </c>
    </row>
    <row r="13" spans="1:7">
      <c r="A13" s="3">
        <v>14</v>
      </c>
      <c r="B13" s="3">
        <v>4</v>
      </c>
      <c r="C13" s="3">
        <v>17</v>
      </c>
      <c r="D13" s="3">
        <v>1</v>
      </c>
      <c r="E13" s="3">
        <v>42.902</v>
      </c>
      <c r="F13" s="4" t="str">
        <f>HYPERLINK("http://141.218.60.56/~jnz1568/getInfo.php?workbook=14_04.xlsx&amp;sheet=A0&amp;row=13&amp;col=6&amp;number=8.011e-05&amp;sourceID=14","8.011e-05")</f>
        <v>8.011e-05</v>
      </c>
      <c r="G13" s="4" t="str">
        <f>HYPERLINK("http://141.218.60.56/~jnz1568/getInfo.php?workbook=14_04.xlsx&amp;sheet=A0&amp;row=13&amp;col=7&amp;number=0&amp;sourceID=14","0")</f>
        <v>0</v>
      </c>
    </row>
    <row r="14" spans="1:7">
      <c r="A14" s="3">
        <v>14</v>
      </c>
      <c r="B14" s="3">
        <v>4</v>
      </c>
      <c r="C14" s="3">
        <v>18</v>
      </c>
      <c r="D14" s="3">
        <v>1</v>
      </c>
      <c r="E14" s="3">
        <v>42.879</v>
      </c>
      <c r="F14" s="4" t="str">
        <f>HYPERLINK("http://141.218.60.56/~jnz1568/getInfo.php?workbook=14_04.xlsx&amp;sheet=A0&amp;row=14&amp;col=6&amp;number=22320&amp;sourceID=14","22320")</f>
        <v>22320</v>
      </c>
      <c r="G14" s="4" t="str">
        <f>HYPERLINK("http://141.218.60.56/~jnz1568/getInfo.php?workbook=14_04.xlsx&amp;sheet=A0&amp;row=14&amp;col=7&amp;number=0&amp;sourceID=14","0")</f>
        <v>0</v>
      </c>
    </row>
    <row r="15" spans="1:7">
      <c r="A15" s="3">
        <v>14</v>
      </c>
      <c r="B15" s="3">
        <v>4</v>
      </c>
      <c r="C15" s="3">
        <v>20</v>
      </c>
      <c r="D15" s="3">
        <v>1</v>
      </c>
      <c r="E15" s="3">
        <v>42.319</v>
      </c>
      <c r="F15" s="4" t="str">
        <f>HYPERLINK("http://141.218.60.56/~jnz1568/getInfo.php?workbook=14_04.xlsx&amp;sheet=A0&amp;row=15&amp;col=6&amp;number=338600000&amp;sourceID=14","338600000")</f>
        <v>338600000</v>
      </c>
      <c r="G15" s="4" t="str">
        <f>HYPERLINK("http://141.218.60.56/~jnz1568/getInfo.php?workbook=14_04.xlsx&amp;sheet=A0&amp;row=15&amp;col=7&amp;number=0&amp;sourceID=14","0")</f>
        <v>0</v>
      </c>
    </row>
    <row r="16" spans="1:7">
      <c r="A16" s="3">
        <v>14</v>
      </c>
      <c r="B16" s="3">
        <v>4</v>
      </c>
      <c r="C16" s="3">
        <v>22</v>
      </c>
      <c r="D16" s="3">
        <v>1</v>
      </c>
      <c r="E16" s="3">
        <v>-41.223</v>
      </c>
      <c r="F16" s="4" t="str">
        <f>HYPERLINK("http://141.218.60.56/~jnz1568/getInfo.php?workbook=14_04.xlsx&amp;sheet=A0&amp;row=16&amp;col=6&amp;number=559200000&amp;sourceID=14","559200000")</f>
        <v>559200000</v>
      </c>
      <c r="G16" s="4" t="str">
        <f>HYPERLINK("http://141.218.60.56/~jnz1568/getInfo.php?workbook=14_04.xlsx&amp;sheet=A0&amp;row=16&amp;col=7&amp;number=0&amp;sourceID=14","0")</f>
        <v>0</v>
      </c>
    </row>
    <row r="17" spans="1:7">
      <c r="A17" s="3">
        <v>14</v>
      </c>
      <c r="B17" s="3">
        <v>4</v>
      </c>
      <c r="C17" s="3">
        <v>24</v>
      </c>
      <c r="D17" s="3">
        <v>1</v>
      </c>
      <c r="E17" s="3">
        <v>-40.615</v>
      </c>
      <c r="F17" s="4" t="str">
        <f>HYPERLINK("http://141.218.60.56/~jnz1568/getInfo.php?workbook=14_04.xlsx&amp;sheet=A0&amp;row=17&amp;col=6&amp;number=29460000000&amp;sourceID=14","29460000000")</f>
        <v>29460000000</v>
      </c>
      <c r="G17" s="4" t="str">
        <f>HYPERLINK("http://141.218.60.56/~jnz1568/getInfo.php?workbook=14_04.xlsx&amp;sheet=A0&amp;row=17&amp;col=7&amp;number=0&amp;sourceID=14","0")</f>
        <v>0</v>
      </c>
    </row>
    <row r="18" spans="1:7">
      <c r="A18" s="3">
        <v>14</v>
      </c>
      <c r="B18" s="3">
        <v>4</v>
      </c>
      <c r="C18" s="3">
        <v>25</v>
      </c>
      <c r="D18" s="3">
        <v>1</v>
      </c>
      <c r="E18" s="3">
        <v>-40.457</v>
      </c>
      <c r="F18" s="4" t="str">
        <f>HYPERLINK("http://141.218.60.56/~jnz1568/getInfo.php?workbook=14_04.xlsx&amp;sheet=A0&amp;row=18&amp;col=6&amp;number=0.02031&amp;sourceID=14","0.02031")</f>
        <v>0.02031</v>
      </c>
      <c r="G18" s="4" t="str">
        <f>HYPERLINK("http://141.218.60.56/~jnz1568/getInfo.php?workbook=14_04.xlsx&amp;sheet=A0&amp;row=18&amp;col=7&amp;number=0&amp;sourceID=14","0")</f>
        <v>0</v>
      </c>
    </row>
    <row r="19" spans="1:7">
      <c r="A19" s="3">
        <v>14</v>
      </c>
      <c r="B19" s="3">
        <v>4</v>
      </c>
      <c r="C19" s="3">
        <v>26</v>
      </c>
      <c r="D19" s="3">
        <v>1</v>
      </c>
      <c r="E19" s="3">
        <v>-40.315</v>
      </c>
      <c r="F19" s="4" t="str">
        <f>HYPERLINK("http://141.218.60.56/~jnz1568/getInfo.php?workbook=14_04.xlsx&amp;sheet=A0&amp;row=19&amp;col=6&amp;number=0.09616&amp;sourceID=14","0.09616")</f>
        <v>0.09616</v>
      </c>
      <c r="G19" s="4" t="str">
        <f>HYPERLINK("http://141.218.60.56/~jnz1568/getInfo.php?workbook=14_04.xlsx&amp;sheet=A0&amp;row=19&amp;col=7&amp;number=0&amp;sourceID=14","0")</f>
        <v>0</v>
      </c>
    </row>
    <row r="20" spans="1:7">
      <c r="A20" s="3">
        <v>14</v>
      </c>
      <c r="B20" s="3">
        <v>4</v>
      </c>
      <c r="C20" s="3">
        <v>27</v>
      </c>
      <c r="D20" s="3">
        <v>1</v>
      </c>
      <c r="E20" s="3">
        <v>40.286</v>
      </c>
      <c r="F20" s="4" t="str">
        <f>HYPERLINK("http://141.218.60.56/~jnz1568/getInfo.php?workbook=14_04.xlsx&amp;sheet=A0&amp;row=20&amp;col=6&amp;number=6511&amp;sourceID=14","6511")</f>
        <v>6511</v>
      </c>
      <c r="G20" s="4" t="str">
        <f>HYPERLINK("http://141.218.60.56/~jnz1568/getInfo.php?workbook=14_04.xlsx&amp;sheet=A0&amp;row=20&amp;col=7&amp;number=0&amp;sourceID=14","0")</f>
        <v>0</v>
      </c>
    </row>
    <row r="21" spans="1:7">
      <c r="A21" s="3">
        <v>14</v>
      </c>
      <c r="B21" s="3">
        <v>4</v>
      </c>
      <c r="C21" s="3">
        <v>29</v>
      </c>
      <c r="D21" s="3">
        <v>1</v>
      </c>
      <c r="E21" s="3">
        <v>39.993</v>
      </c>
      <c r="F21" s="4" t="str">
        <f>HYPERLINK("http://141.218.60.56/~jnz1568/getInfo.php?workbook=14_04.xlsx&amp;sheet=A0&amp;row=21&amp;col=6&amp;number=0.8786&amp;sourceID=14","0.8786")</f>
        <v>0.8786</v>
      </c>
      <c r="G21" s="4" t="str">
        <f>HYPERLINK("http://141.218.60.56/~jnz1568/getInfo.php?workbook=14_04.xlsx&amp;sheet=A0&amp;row=21&amp;col=7&amp;number=0&amp;sourceID=14","0")</f>
        <v>0</v>
      </c>
    </row>
    <row r="22" spans="1:7">
      <c r="A22" s="3">
        <v>14</v>
      </c>
      <c r="B22" s="3">
        <v>4</v>
      </c>
      <c r="C22" s="3">
        <v>31</v>
      </c>
      <c r="D22" s="3">
        <v>1</v>
      </c>
      <c r="E22" s="3">
        <v>39.804</v>
      </c>
      <c r="F22" s="4" t="str">
        <f>HYPERLINK("http://141.218.60.56/~jnz1568/getInfo.php?workbook=14_04.xlsx&amp;sheet=A0&amp;row=22&amp;col=6&amp;number=16.39&amp;sourceID=14","16.39")</f>
        <v>16.39</v>
      </c>
      <c r="G22" s="4" t="str">
        <f>HYPERLINK("http://141.218.60.56/~jnz1568/getInfo.php?workbook=14_04.xlsx&amp;sheet=A0&amp;row=22&amp;col=7&amp;number=0&amp;sourceID=14","0")</f>
        <v>0</v>
      </c>
    </row>
    <row r="23" spans="1:7">
      <c r="A23" s="3">
        <v>14</v>
      </c>
      <c r="B23" s="3">
        <v>4</v>
      </c>
      <c r="C23" s="3">
        <v>32</v>
      </c>
      <c r="D23" s="3">
        <v>1</v>
      </c>
      <c r="E23" s="3">
        <v>39.803</v>
      </c>
      <c r="F23" s="4" t="str">
        <f>HYPERLINK("http://141.218.60.56/~jnz1568/getInfo.php?workbook=14_04.xlsx&amp;sheet=A0&amp;row=23&amp;col=6&amp;number=20330&amp;sourceID=14","20330")</f>
        <v>20330</v>
      </c>
      <c r="G23" s="4" t="str">
        <f>HYPERLINK("http://141.218.60.56/~jnz1568/getInfo.php?workbook=14_04.xlsx&amp;sheet=A0&amp;row=23&amp;col=7&amp;number=0&amp;sourceID=14","0")</f>
        <v>0</v>
      </c>
    </row>
    <row r="24" spans="1:7">
      <c r="A24" s="3">
        <v>14</v>
      </c>
      <c r="B24" s="3">
        <v>4</v>
      </c>
      <c r="C24" s="3">
        <v>37</v>
      </c>
      <c r="D24" s="3">
        <v>1</v>
      </c>
      <c r="E24" s="3">
        <v>39.488</v>
      </c>
      <c r="F24" s="4" t="str">
        <f>HYPERLINK("http://141.218.60.56/~jnz1568/getInfo.php?workbook=14_04.xlsx&amp;sheet=A0&amp;row=24&amp;col=6&amp;number=1165000&amp;sourceID=14","1165000")</f>
        <v>1165000</v>
      </c>
      <c r="G24" s="4" t="str">
        <f>HYPERLINK("http://141.218.60.56/~jnz1568/getInfo.php?workbook=14_04.xlsx&amp;sheet=A0&amp;row=24&amp;col=7&amp;number=0&amp;sourceID=14","0")</f>
        <v>0</v>
      </c>
    </row>
    <row r="25" spans="1:7">
      <c r="A25" s="3">
        <v>14</v>
      </c>
      <c r="B25" s="3">
        <v>4</v>
      </c>
      <c r="C25" s="3">
        <v>38</v>
      </c>
      <c r="D25" s="3">
        <v>1</v>
      </c>
      <c r="E25" s="3">
        <v>-39.282</v>
      </c>
      <c r="F25" s="4" t="str">
        <f>HYPERLINK("http://141.218.60.56/~jnz1568/getInfo.php?workbook=14_04.xlsx&amp;sheet=A0&amp;row=25&amp;col=6&amp;number=389200000&amp;sourceID=14","389200000")</f>
        <v>389200000</v>
      </c>
      <c r="G25" s="4" t="str">
        <f>HYPERLINK("http://141.218.60.56/~jnz1568/getInfo.php?workbook=14_04.xlsx&amp;sheet=A0&amp;row=25&amp;col=7&amp;number=0&amp;sourceID=14","0")</f>
        <v>0</v>
      </c>
    </row>
    <row r="26" spans="1:7">
      <c r="A26" s="3">
        <v>14</v>
      </c>
      <c r="B26" s="3">
        <v>4</v>
      </c>
      <c r="C26" s="3">
        <v>42</v>
      </c>
      <c r="D26" s="3">
        <v>1</v>
      </c>
      <c r="E26" s="3">
        <v>39.157</v>
      </c>
      <c r="F26" s="4" t="str">
        <f>HYPERLINK("http://141.218.60.56/~jnz1568/getInfo.php?workbook=14_04.xlsx&amp;sheet=A0&amp;row=26&amp;col=6&amp;number=90640000&amp;sourceID=14","90640000")</f>
        <v>90640000</v>
      </c>
      <c r="G26" s="4" t="str">
        <f>HYPERLINK("http://141.218.60.56/~jnz1568/getInfo.php?workbook=14_04.xlsx&amp;sheet=A0&amp;row=26&amp;col=7&amp;number=0&amp;sourceID=14","0")</f>
        <v>0</v>
      </c>
    </row>
    <row r="27" spans="1:7">
      <c r="A27" s="3">
        <v>14</v>
      </c>
      <c r="B27" s="3">
        <v>4</v>
      </c>
      <c r="C27" s="3">
        <v>46</v>
      </c>
      <c r="D27" s="3">
        <v>1</v>
      </c>
      <c r="E27" s="3">
        <v>38.702</v>
      </c>
      <c r="F27" s="4" t="str">
        <f>HYPERLINK("http://141.218.60.56/~jnz1568/getInfo.php?workbook=14_04.xlsx&amp;sheet=A0&amp;row=27&amp;col=6&amp;number=41360000000&amp;sourceID=14","41360000000")</f>
        <v>41360000000</v>
      </c>
      <c r="G27" s="4" t="str">
        <f>HYPERLINK("http://141.218.60.56/~jnz1568/getInfo.php?workbook=14_04.xlsx&amp;sheet=A0&amp;row=27&amp;col=7&amp;number=0&amp;sourceID=14","0")</f>
        <v>0</v>
      </c>
    </row>
    <row r="28" spans="1:7">
      <c r="A28" s="3">
        <v>14</v>
      </c>
      <c r="B28" s="3">
        <v>4</v>
      </c>
      <c r="C28" s="3">
        <v>47</v>
      </c>
      <c r="D28" s="3">
        <v>1</v>
      </c>
      <c r="E28" s="3">
        <v>34.05</v>
      </c>
      <c r="F28" s="4" t="str">
        <f>HYPERLINK("http://141.218.60.56/~jnz1568/getInfo.php?workbook=14_04.xlsx&amp;sheet=A0&amp;row=28&amp;col=6&amp;number=4.475e-05&amp;sourceID=14","4.475e-05")</f>
        <v>4.475e-05</v>
      </c>
      <c r="G28" s="4" t="str">
        <f>HYPERLINK("http://141.218.60.56/~jnz1568/getInfo.php?workbook=14_04.xlsx&amp;sheet=A0&amp;row=28&amp;col=7&amp;number=0&amp;sourceID=14","0")</f>
        <v>0</v>
      </c>
    </row>
    <row r="29" spans="1:7">
      <c r="A29" s="3">
        <v>14</v>
      </c>
      <c r="B29" s="3">
        <v>4</v>
      </c>
      <c r="C29" s="3">
        <v>50</v>
      </c>
      <c r="D29" s="3">
        <v>1</v>
      </c>
      <c r="E29" s="3">
        <v>33.491</v>
      </c>
      <c r="F29" s="4" t="str">
        <f>HYPERLINK("http://141.218.60.56/~jnz1568/getInfo.php?workbook=14_04.xlsx&amp;sheet=A0&amp;row=29&amp;col=6&amp;number=4086000000&amp;sourceID=14","4086000000")</f>
        <v>4086000000</v>
      </c>
      <c r="G29" s="4" t="str">
        <f>HYPERLINK("http://141.218.60.56/~jnz1568/getInfo.php?workbook=14_04.xlsx&amp;sheet=A0&amp;row=29&amp;col=7&amp;number=0&amp;sourceID=14","0")</f>
        <v>0</v>
      </c>
    </row>
    <row r="30" spans="1:7">
      <c r="A30" s="3">
        <v>14</v>
      </c>
      <c r="B30" s="3">
        <v>4</v>
      </c>
      <c r="C30" s="3">
        <v>52</v>
      </c>
      <c r="D30" s="3">
        <v>1</v>
      </c>
      <c r="E30" s="3">
        <v>33.53</v>
      </c>
      <c r="F30" s="4" t="str">
        <f>HYPERLINK("http://141.218.60.56/~jnz1568/getInfo.php?workbook=14_04.xlsx&amp;sheet=A0&amp;row=30&amp;col=6&amp;number=304200000000&amp;sourceID=14","304200000000")</f>
        <v>304200000000</v>
      </c>
      <c r="G30" s="4" t="str">
        <f>HYPERLINK("http://141.218.60.56/~jnz1568/getInfo.php?workbook=14_04.xlsx&amp;sheet=A0&amp;row=30&amp;col=7&amp;number=0&amp;sourceID=14","0")</f>
        <v>0</v>
      </c>
    </row>
    <row r="31" spans="1:7">
      <c r="A31" s="3">
        <v>14</v>
      </c>
      <c r="B31" s="3">
        <v>4</v>
      </c>
      <c r="C31" s="3">
        <v>53</v>
      </c>
      <c r="D31" s="3">
        <v>1</v>
      </c>
      <c r="E31" s="3">
        <v>33.351</v>
      </c>
      <c r="F31" s="4" t="str">
        <f>HYPERLINK("http://141.218.60.56/~jnz1568/getInfo.php?workbook=14_04.xlsx&amp;sheet=A0&amp;row=31&amp;col=6&amp;number=8.176e-06&amp;sourceID=14","8.176e-06")</f>
        <v>8.176e-06</v>
      </c>
      <c r="G31" s="4" t="str">
        <f>HYPERLINK("http://141.218.60.56/~jnz1568/getInfo.php?workbook=14_04.xlsx&amp;sheet=A0&amp;row=31&amp;col=7&amp;number=0&amp;sourceID=14","0")</f>
        <v>0</v>
      </c>
    </row>
    <row r="32" spans="1:7">
      <c r="A32" s="3">
        <v>14</v>
      </c>
      <c r="B32" s="3">
        <v>4</v>
      </c>
      <c r="C32" s="3">
        <v>54</v>
      </c>
      <c r="D32" s="3">
        <v>1</v>
      </c>
      <c r="E32" s="3">
        <v>33.352</v>
      </c>
      <c r="F32" s="4" t="str">
        <f>HYPERLINK("http://141.218.60.56/~jnz1568/getInfo.php?workbook=14_04.xlsx&amp;sheet=A0&amp;row=32&amp;col=6&amp;number=8106&amp;sourceID=14","8106")</f>
        <v>8106</v>
      </c>
      <c r="G32" s="4" t="str">
        <f>HYPERLINK("http://141.218.60.56/~jnz1568/getInfo.php?workbook=14_04.xlsx&amp;sheet=A0&amp;row=32&amp;col=7&amp;number=0&amp;sourceID=14","0")</f>
        <v>0</v>
      </c>
    </row>
    <row r="33" spans="1:7">
      <c r="A33" s="3">
        <v>14</v>
      </c>
      <c r="B33" s="3">
        <v>4</v>
      </c>
      <c r="C33" s="3">
        <v>56</v>
      </c>
      <c r="D33" s="3">
        <v>1</v>
      </c>
      <c r="E33" s="3">
        <v>33.224</v>
      </c>
      <c r="F33" s="4" t="str">
        <f>HYPERLINK("http://141.218.60.56/~jnz1568/getInfo.php?workbook=14_04.xlsx&amp;sheet=A0&amp;row=33&amp;col=6&amp;number=76780000&amp;sourceID=14","76780000")</f>
        <v>76780000</v>
      </c>
      <c r="G33" s="4" t="str">
        <f>HYPERLINK("http://141.218.60.56/~jnz1568/getInfo.php?workbook=14_04.xlsx&amp;sheet=A0&amp;row=33&amp;col=7&amp;number=0&amp;sourceID=14","0")</f>
        <v>0</v>
      </c>
    </row>
    <row r="34" spans="1:7">
      <c r="A34" s="3">
        <v>14</v>
      </c>
      <c r="B34" s="3">
        <v>4</v>
      </c>
      <c r="C34" s="3">
        <v>58</v>
      </c>
      <c r="D34" s="3">
        <v>1</v>
      </c>
      <c r="E34" s="3">
        <v>-31.743</v>
      </c>
      <c r="F34" s="4" t="str">
        <f>HYPERLINK("http://141.218.60.56/~jnz1568/getInfo.php?workbook=14_04.xlsx&amp;sheet=A0&amp;row=34&amp;col=6&amp;number=12020000&amp;sourceID=14","12020000")</f>
        <v>12020000</v>
      </c>
      <c r="G34" s="4" t="str">
        <f>HYPERLINK("http://141.218.60.56/~jnz1568/getInfo.php?workbook=14_04.xlsx&amp;sheet=A0&amp;row=34&amp;col=7&amp;number=0&amp;sourceID=14","0")</f>
        <v>0</v>
      </c>
    </row>
    <row r="35" spans="1:7">
      <c r="A35" s="3">
        <v>14</v>
      </c>
      <c r="B35" s="3">
        <v>4</v>
      </c>
      <c r="C35" s="3">
        <v>60</v>
      </c>
      <c r="D35" s="3">
        <v>1</v>
      </c>
      <c r="E35" s="3">
        <v>-31.614</v>
      </c>
      <c r="F35" s="4" t="str">
        <f>HYPERLINK("http://141.218.60.56/~jnz1568/getInfo.php?workbook=14_04.xlsx&amp;sheet=A0&amp;row=35&amp;col=6&amp;number=13560000&amp;sourceID=14","13560000")</f>
        <v>13560000</v>
      </c>
      <c r="G35" s="4" t="str">
        <f>HYPERLINK("http://141.218.60.56/~jnz1568/getInfo.php?workbook=14_04.xlsx&amp;sheet=A0&amp;row=35&amp;col=7&amp;number=0&amp;sourceID=14","0")</f>
        <v>0</v>
      </c>
    </row>
    <row r="36" spans="1:7">
      <c r="A36" s="3">
        <v>14</v>
      </c>
      <c r="B36" s="3">
        <v>4</v>
      </c>
      <c r="C36" s="3">
        <v>61</v>
      </c>
      <c r="D36" s="3">
        <v>1</v>
      </c>
      <c r="E36" s="3">
        <v>-31.495</v>
      </c>
      <c r="F36" s="4" t="str">
        <f>HYPERLINK("http://141.218.60.56/~jnz1568/getInfo.php?workbook=14_04.xlsx&amp;sheet=A0&amp;row=36&amp;col=6&amp;number=0.9316&amp;sourceID=14","0.9316")</f>
        <v>0.9316</v>
      </c>
      <c r="G36" s="4" t="str">
        <f>HYPERLINK("http://141.218.60.56/~jnz1568/getInfo.php?workbook=14_04.xlsx&amp;sheet=A0&amp;row=36&amp;col=7&amp;number=0&amp;sourceID=14","0")</f>
        <v>0</v>
      </c>
    </row>
    <row r="37" spans="1:7">
      <c r="A37" s="3">
        <v>14</v>
      </c>
      <c r="B37" s="3">
        <v>4</v>
      </c>
      <c r="C37" s="3">
        <v>62</v>
      </c>
      <c r="D37" s="3">
        <v>1</v>
      </c>
      <c r="E37" s="3">
        <v>-31.538</v>
      </c>
      <c r="F37" s="4" t="str">
        <f>HYPERLINK("http://141.218.60.56/~jnz1568/getInfo.php?workbook=14_04.xlsx&amp;sheet=A0&amp;row=37&amp;col=6&amp;number=0.0117&amp;sourceID=14","0.0117")</f>
        <v>0.0117</v>
      </c>
      <c r="G37" s="4" t="str">
        <f>HYPERLINK("http://141.218.60.56/~jnz1568/getInfo.php?workbook=14_04.xlsx&amp;sheet=A0&amp;row=37&amp;col=7&amp;number=0&amp;sourceID=14","0")</f>
        <v>0</v>
      </c>
    </row>
    <row r="38" spans="1:7">
      <c r="A38" s="3">
        <v>14</v>
      </c>
      <c r="B38" s="3">
        <v>4</v>
      </c>
      <c r="C38" s="3">
        <v>63</v>
      </c>
      <c r="D38" s="3">
        <v>1</v>
      </c>
      <c r="E38" s="3">
        <v>-31.492</v>
      </c>
      <c r="F38" s="4" t="str">
        <f>HYPERLINK("http://141.218.60.56/~jnz1568/getInfo.php?workbook=14_04.xlsx&amp;sheet=A0&amp;row=38&amp;col=6&amp;number=3521&amp;sourceID=14","3521")</f>
        <v>3521</v>
      </c>
      <c r="G38" s="4" t="str">
        <f>HYPERLINK("http://141.218.60.56/~jnz1568/getInfo.php?workbook=14_04.xlsx&amp;sheet=A0&amp;row=38&amp;col=7&amp;number=0&amp;sourceID=14","0")</f>
        <v>0</v>
      </c>
    </row>
    <row r="39" spans="1:7">
      <c r="A39" s="3">
        <v>14</v>
      </c>
      <c r="B39" s="3">
        <v>4</v>
      </c>
      <c r="C39" s="3">
        <v>65</v>
      </c>
      <c r="D39" s="3">
        <v>1</v>
      </c>
      <c r="E39" s="3">
        <v>-31.421</v>
      </c>
      <c r="F39" s="4" t="str">
        <f>HYPERLINK("http://141.218.60.56/~jnz1568/getInfo.php?workbook=14_04.xlsx&amp;sheet=A0&amp;row=39&amp;col=6&amp;number=2.487&amp;sourceID=14","2.487")</f>
        <v>2.487</v>
      </c>
      <c r="G39" s="4" t="str">
        <f>HYPERLINK("http://141.218.60.56/~jnz1568/getInfo.php?workbook=14_04.xlsx&amp;sheet=A0&amp;row=39&amp;col=7&amp;number=0&amp;sourceID=14","0")</f>
        <v>0</v>
      </c>
    </row>
    <row r="40" spans="1:7">
      <c r="A40" s="3">
        <v>14</v>
      </c>
      <c r="B40" s="3">
        <v>4</v>
      </c>
      <c r="C40" s="3">
        <v>67</v>
      </c>
      <c r="D40" s="3">
        <v>1</v>
      </c>
      <c r="E40" s="3">
        <v>-31.378</v>
      </c>
      <c r="F40" s="4" t="str">
        <f>HYPERLINK("http://141.218.60.56/~jnz1568/getInfo.php?workbook=14_04.xlsx&amp;sheet=A0&amp;row=40&amp;col=6&amp;number=5.534&amp;sourceID=14","5.534")</f>
        <v>5.534</v>
      </c>
      <c r="G40" s="4" t="str">
        <f>HYPERLINK("http://141.218.60.56/~jnz1568/getInfo.php?workbook=14_04.xlsx&amp;sheet=A0&amp;row=40&amp;col=7&amp;number=0&amp;sourceID=14","0")</f>
        <v>0</v>
      </c>
    </row>
    <row r="41" spans="1:7">
      <c r="A41" s="3">
        <v>14</v>
      </c>
      <c r="B41" s="3">
        <v>4</v>
      </c>
      <c r="C41" s="3">
        <v>68</v>
      </c>
      <c r="D41" s="3">
        <v>1</v>
      </c>
      <c r="E41" s="3">
        <v>-31.37</v>
      </c>
      <c r="F41" s="4" t="str">
        <f>HYPERLINK("http://141.218.60.56/~jnz1568/getInfo.php?workbook=14_04.xlsx&amp;sheet=A0&amp;row=41&amp;col=6&amp;number=2694&amp;sourceID=14","2694")</f>
        <v>2694</v>
      </c>
      <c r="G41" s="4" t="str">
        <f>HYPERLINK("http://141.218.60.56/~jnz1568/getInfo.php?workbook=14_04.xlsx&amp;sheet=A0&amp;row=41&amp;col=7&amp;number=0&amp;sourceID=14","0")</f>
        <v>0</v>
      </c>
    </row>
    <row r="42" spans="1:7">
      <c r="A42" s="3">
        <v>14</v>
      </c>
      <c r="B42" s="3">
        <v>4</v>
      </c>
      <c r="C42" s="3">
        <v>72</v>
      </c>
      <c r="D42" s="3">
        <v>1</v>
      </c>
      <c r="E42" s="3">
        <v>-31.293</v>
      </c>
      <c r="F42" s="4" t="str">
        <f>HYPERLINK("http://141.218.60.56/~jnz1568/getInfo.php?workbook=14_04.xlsx&amp;sheet=A0&amp;row=42&amp;col=6&amp;number=28050&amp;sourceID=14","28050")</f>
        <v>28050</v>
      </c>
      <c r="G42" s="4" t="str">
        <f>HYPERLINK("http://141.218.60.56/~jnz1568/getInfo.php?workbook=14_04.xlsx&amp;sheet=A0&amp;row=42&amp;col=7&amp;number=0&amp;sourceID=14","0")</f>
        <v>0</v>
      </c>
    </row>
    <row r="43" spans="1:7">
      <c r="A43" s="3">
        <v>14</v>
      </c>
      <c r="B43" s="3">
        <v>4</v>
      </c>
      <c r="C43" s="3">
        <v>74</v>
      </c>
      <c r="D43" s="3">
        <v>1</v>
      </c>
      <c r="E43" s="3">
        <v>-31.266</v>
      </c>
      <c r="F43" s="4" t="str">
        <f>HYPERLINK("http://141.218.60.56/~jnz1568/getInfo.php?workbook=14_04.xlsx&amp;sheet=A0&amp;row=43&amp;col=6&amp;number=1231000000&amp;sourceID=14","1231000000")</f>
        <v>1231000000</v>
      </c>
      <c r="G43" s="4" t="str">
        <f>HYPERLINK("http://141.218.60.56/~jnz1568/getInfo.php?workbook=14_04.xlsx&amp;sheet=A0&amp;row=43&amp;col=7&amp;number=0&amp;sourceID=14","0")</f>
        <v>0</v>
      </c>
    </row>
    <row r="44" spans="1:7">
      <c r="A44" s="3">
        <v>14</v>
      </c>
      <c r="B44" s="3">
        <v>4</v>
      </c>
      <c r="C44" s="3">
        <v>78</v>
      </c>
      <c r="D44" s="3">
        <v>1</v>
      </c>
      <c r="E44" s="3">
        <v>-31.189</v>
      </c>
      <c r="F44" s="4" t="str">
        <f>HYPERLINK("http://141.218.60.56/~jnz1568/getInfo.php?workbook=14_04.xlsx&amp;sheet=A0&amp;row=44&amp;col=6&amp;number=89630000&amp;sourceID=14","89630000")</f>
        <v>89630000</v>
      </c>
      <c r="G44" s="4" t="str">
        <f>HYPERLINK("http://141.218.60.56/~jnz1568/getInfo.php?workbook=14_04.xlsx&amp;sheet=A0&amp;row=44&amp;col=7&amp;number=0&amp;sourceID=14","0")</f>
        <v>0</v>
      </c>
    </row>
    <row r="45" spans="1:7">
      <c r="A45" s="3">
        <v>14</v>
      </c>
      <c r="B45" s="3">
        <v>4</v>
      </c>
      <c r="C45" s="3">
        <v>82</v>
      </c>
      <c r="D45" s="3">
        <v>1</v>
      </c>
      <c r="E45" s="3">
        <v>-31.07</v>
      </c>
      <c r="F45" s="4" t="str">
        <f>HYPERLINK("http://141.218.60.56/~jnz1568/getInfo.php?workbook=14_04.xlsx&amp;sheet=A0&amp;row=45&amp;col=6&amp;number=28090000000&amp;sourceID=14","28090000000")</f>
        <v>28090000000</v>
      </c>
      <c r="G45" s="4" t="str">
        <f>HYPERLINK("http://141.218.60.56/~jnz1568/getInfo.php?workbook=14_04.xlsx&amp;sheet=A0&amp;row=45&amp;col=7&amp;number=0&amp;sourceID=14","0")</f>
        <v>0</v>
      </c>
    </row>
    <row r="46" spans="1:7">
      <c r="A46" s="3">
        <v>14</v>
      </c>
      <c r="B46" s="3">
        <v>4</v>
      </c>
      <c r="C46" s="3">
        <v>83</v>
      </c>
      <c r="D46" s="3">
        <v>1</v>
      </c>
      <c r="E46" s="3">
        <v>-30.493</v>
      </c>
      <c r="F46" s="4" t="str">
        <f>HYPERLINK("http://141.218.60.56/~jnz1568/getInfo.php?workbook=14_04.xlsx&amp;sheet=A0&amp;row=46&amp;col=6&amp;number=4.494e-05&amp;sourceID=14","4.494e-05")</f>
        <v>4.494e-05</v>
      </c>
      <c r="G46" s="4" t="str">
        <f>HYPERLINK("http://141.218.60.56/~jnz1568/getInfo.php?workbook=14_04.xlsx&amp;sheet=A0&amp;row=46&amp;col=7&amp;number=0&amp;sourceID=14","0")</f>
        <v>0</v>
      </c>
    </row>
    <row r="47" spans="1:7">
      <c r="A47" s="3">
        <v>14</v>
      </c>
      <c r="B47" s="3">
        <v>4</v>
      </c>
      <c r="C47" s="3">
        <v>86</v>
      </c>
      <c r="D47" s="3">
        <v>1</v>
      </c>
      <c r="E47" s="3">
        <v>-30.358</v>
      </c>
      <c r="F47" s="4" t="str">
        <f>HYPERLINK("http://141.218.60.56/~jnz1568/getInfo.php?workbook=14_04.xlsx&amp;sheet=A0&amp;row=47&amp;col=6&amp;number=849800000&amp;sourceID=14","849800000")</f>
        <v>849800000</v>
      </c>
      <c r="G47" s="4" t="str">
        <f>HYPERLINK("http://141.218.60.56/~jnz1568/getInfo.php?workbook=14_04.xlsx&amp;sheet=A0&amp;row=47&amp;col=7&amp;number=0&amp;sourceID=14","0")</f>
        <v>0</v>
      </c>
    </row>
    <row r="48" spans="1:7">
      <c r="A48" s="3">
        <v>14</v>
      </c>
      <c r="B48" s="3">
        <v>4</v>
      </c>
      <c r="C48" s="3">
        <v>88</v>
      </c>
      <c r="D48" s="3">
        <v>1</v>
      </c>
      <c r="E48" s="3">
        <v>-30.331</v>
      </c>
      <c r="F48" s="4" t="str">
        <f>HYPERLINK("http://141.218.60.56/~jnz1568/getInfo.php?workbook=14_04.xlsx&amp;sheet=A0&amp;row=48&amp;col=6&amp;number=162500000000&amp;sourceID=14","162500000000")</f>
        <v>162500000000</v>
      </c>
      <c r="G48" s="4" t="str">
        <f>HYPERLINK("http://141.218.60.56/~jnz1568/getInfo.php?workbook=14_04.xlsx&amp;sheet=A0&amp;row=48&amp;col=7&amp;number=0&amp;sourceID=14","0")</f>
        <v>0</v>
      </c>
    </row>
    <row r="49" spans="1:7">
      <c r="A49" s="3">
        <v>14</v>
      </c>
      <c r="B49" s="3">
        <v>4</v>
      </c>
      <c r="C49" s="3">
        <v>89</v>
      </c>
      <c r="D49" s="3">
        <v>1</v>
      </c>
      <c r="E49" s="3">
        <v>-30.28</v>
      </c>
      <c r="F49" s="4" t="str">
        <f>HYPERLINK("http://141.218.60.56/~jnz1568/getInfo.php?workbook=14_04.xlsx&amp;sheet=A0&amp;row=49&amp;col=6&amp;number=1.701e-06&amp;sourceID=14","1.701e-06")</f>
        <v>1.701e-06</v>
      </c>
      <c r="G49" s="4" t="str">
        <f>HYPERLINK("http://141.218.60.56/~jnz1568/getInfo.php?workbook=14_04.xlsx&amp;sheet=A0&amp;row=49&amp;col=7&amp;number=0&amp;sourceID=14","0")</f>
        <v>0</v>
      </c>
    </row>
    <row r="50" spans="1:7">
      <c r="A50" s="3">
        <v>14</v>
      </c>
      <c r="B50" s="3">
        <v>4</v>
      </c>
      <c r="C50" s="3">
        <v>90</v>
      </c>
      <c r="D50" s="3">
        <v>1</v>
      </c>
      <c r="E50" s="3">
        <v>30.263</v>
      </c>
      <c r="F50" s="4" t="str">
        <f>HYPERLINK("http://141.218.60.56/~jnz1568/getInfo.php?workbook=14_04.xlsx&amp;sheet=A0&amp;row=50&amp;col=6&amp;number=5431&amp;sourceID=14","5431")</f>
        <v>5431</v>
      </c>
      <c r="G50" s="4" t="str">
        <f>HYPERLINK("http://141.218.60.56/~jnz1568/getInfo.php?workbook=14_04.xlsx&amp;sheet=A0&amp;row=50&amp;col=7&amp;number=0&amp;sourceID=14","0")</f>
        <v>0</v>
      </c>
    </row>
    <row r="51" spans="1:7">
      <c r="A51" s="3">
        <v>14</v>
      </c>
      <c r="B51" s="3">
        <v>4</v>
      </c>
      <c r="C51" s="3">
        <v>92</v>
      </c>
      <c r="D51" s="3">
        <v>1</v>
      </c>
      <c r="E51" s="3">
        <v>30.227</v>
      </c>
      <c r="F51" s="4" t="str">
        <f>HYPERLINK("http://141.218.60.56/~jnz1568/getInfo.php?workbook=14_04.xlsx&amp;sheet=A0&amp;row=51&amp;col=6&amp;number=43450000&amp;sourceID=14","43450000")</f>
        <v>43450000</v>
      </c>
      <c r="G51" s="4" t="str">
        <f>HYPERLINK("http://141.218.60.56/~jnz1568/getInfo.php?workbook=14_04.xlsx&amp;sheet=A0&amp;row=51&amp;col=7&amp;number=0&amp;sourceID=14","0")</f>
        <v>0</v>
      </c>
    </row>
    <row r="52" spans="1:7">
      <c r="A52" s="3">
        <v>14</v>
      </c>
      <c r="B52" s="3">
        <v>4</v>
      </c>
      <c r="C52" s="3">
        <v>3</v>
      </c>
      <c r="D52" s="3">
        <v>2</v>
      </c>
      <c r="E52" s="3">
        <v>42716.866</v>
      </c>
      <c r="F52" s="4" t="str">
        <f>HYPERLINK("http://141.218.60.56/~jnz1568/getInfo.php?workbook=14_04.xlsx&amp;sheet=A0&amp;row=52&amp;col=6&amp;number=0.2306&amp;sourceID=14","0.2306")</f>
        <v>0.2306</v>
      </c>
      <c r="G52" s="4" t="str">
        <f>HYPERLINK("http://141.218.60.56/~jnz1568/getInfo.php?workbook=14_04.xlsx&amp;sheet=A0&amp;row=52&amp;col=7&amp;number=0&amp;sourceID=14","0")</f>
        <v>0</v>
      </c>
    </row>
    <row r="53" spans="1:7">
      <c r="A53" s="3">
        <v>14</v>
      </c>
      <c r="B53" s="3">
        <v>4</v>
      </c>
      <c r="C53" s="3">
        <v>4</v>
      </c>
      <c r="D53" s="3">
        <v>2</v>
      </c>
      <c r="E53" s="3">
        <v>13317.377</v>
      </c>
      <c r="F53" s="4" t="str">
        <f>HYPERLINK("http://141.218.60.56/~jnz1568/getInfo.php?workbook=14_04.xlsx&amp;sheet=A0&amp;row=53&amp;col=6&amp;number=1.011e-05&amp;sourceID=14","1.011e-05")</f>
        <v>1.011e-05</v>
      </c>
      <c r="G53" s="4" t="str">
        <f>HYPERLINK("http://141.218.60.56/~jnz1568/getInfo.php?workbook=14_04.xlsx&amp;sheet=A0&amp;row=53&amp;col=7&amp;number=0&amp;sourceID=14","0")</f>
        <v>0</v>
      </c>
    </row>
    <row r="54" spans="1:7">
      <c r="A54" s="3">
        <v>14</v>
      </c>
      <c r="B54" s="3">
        <v>4</v>
      </c>
      <c r="C54" s="3">
        <v>5</v>
      </c>
      <c r="D54" s="3">
        <v>2</v>
      </c>
      <c r="E54" s="3">
        <v>625.478</v>
      </c>
      <c r="F54" s="4" t="str">
        <f>HYPERLINK("http://141.218.60.56/~jnz1568/getInfo.php?workbook=14_04.xlsx&amp;sheet=A0&amp;row=54&amp;col=6&amp;number=39.74&amp;sourceID=14","39.74")</f>
        <v>39.74</v>
      </c>
      <c r="G54" s="4" t="str">
        <f>HYPERLINK("http://141.218.60.56/~jnz1568/getInfo.php?workbook=14_04.xlsx&amp;sheet=A0&amp;row=54&amp;col=7&amp;number=0&amp;sourceID=14","0")</f>
        <v>0</v>
      </c>
    </row>
    <row r="55" spans="1:7">
      <c r="A55" s="3">
        <v>14</v>
      </c>
      <c r="B55" s="3">
        <v>4</v>
      </c>
      <c r="C55" s="3">
        <v>7</v>
      </c>
      <c r="D55" s="3">
        <v>2</v>
      </c>
      <c r="E55" s="3">
        <v>361.42</v>
      </c>
      <c r="F55" s="4" t="str">
        <f>HYPERLINK("http://141.218.60.56/~jnz1568/getInfo.php?workbook=14_04.xlsx&amp;sheet=A0&amp;row=55&amp;col=6&amp;number=1739000000&amp;sourceID=14","1739000000")</f>
        <v>1739000000</v>
      </c>
      <c r="G55" s="4" t="str">
        <f>HYPERLINK("http://141.218.60.56/~jnz1568/getInfo.php?workbook=14_04.xlsx&amp;sheet=A0&amp;row=55&amp;col=7&amp;number=0&amp;sourceID=14","0")</f>
        <v>0</v>
      </c>
    </row>
    <row r="56" spans="1:7">
      <c r="A56" s="3">
        <v>14</v>
      </c>
      <c r="B56" s="3">
        <v>4</v>
      </c>
      <c r="C56" s="3">
        <v>11</v>
      </c>
      <c r="D56" s="3">
        <v>2</v>
      </c>
      <c r="E56" s="3">
        <v>48.904</v>
      </c>
      <c r="F56" s="4" t="str">
        <f>HYPERLINK("http://141.218.60.56/~jnz1568/getInfo.php?workbook=14_04.xlsx&amp;sheet=A0&amp;row=56&amp;col=6&amp;number=30110000000&amp;sourceID=14","30110000000")</f>
        <v>30110000000</v>
      </c>
      <c r="G56" s="4" t="str">
        <f>HYPERLINK("http://141.218.60.56/~jnz1568/getInfo.php?workbook=14_04.xlsx&amp;sheet=A0&amp;row=56&amp;col=7&amp;number=0&amp;sourceID=14","0")</f>
        <v>0</v>
      </c>
    </row>
    <row r="57" spans="1:7">
      <c r="A57" s="3">
        <v>14</v>
      </c>
      <c r="B57" s="3">
        <v>4</v>
      </c>
      <c r="C57" s="3">
        <v>13</v>
      </c>
      <c r="D57" s="3">
        <v>2</v>
      </c>
      <c r="E57" s="3">
        <v>47.261</v>
      </c>
      <c r="F57" s="4" t="str">
        <f>HYPERLINK("http://141.218.60.56/~jnz1568/getInfo.php?workbook=14_04.xlsx&amp;sheet=A0&amp;row=57&amp;col=6&amp;number=66.81&amp;sourceID=14","66.81")</f>
        <v>66.81</v>
      </c>
      <c r="G57" s="4" t="str">
        <f>HYPERLINK("http://141.218.60.56/~jnz1568/getInfo.php?workbook=14_04.xlsx&amp;sheet=A0&amp;row=57&amp;col=7&amp;number=0&amp;sourceID=14","0")</f>
        <v>0</v>
      </c>
    </row>
    <row r="58" spans="1:7">
      <c r="A58" s="3">
        <v>14</v>
      </c>
      <c r="B58" s="3">
        <v>4</v>
      </c>
      <c r="C58" s="3">
        <v>15</v>
      </c>
      <c r="D58" s="3">
        <v>2</v>
      </c>
      <c r="E58" s="3">
        <v>47.185</v>
      </c>
      <c r="F58" s="4" t="str">
        <f>HYPERLINK("http://141.218.60.56/~jnz1568/getInfo.php?workbook=14_04.xlsx&amp;sheet=A0&amp;row=58&amp;col=6&amp;number=113.8&amp;sourceID=14","113.8")</f>
        <v>113.8</v>
      </c>
      <c r="G58" s="4" t="str">
        <f>HYPERLINK("http://141.218.60.56/~jnz1568/getInfo.php?workbook=14_04.xlsx&amp;sheet=A0&amp;row=58&amp;col=7&amp;number=0&amp;sourceID=14","0")</f>
        <v>0</v>
      </c>
    </row>
    <row r="59" spans="1:7">
      <c r="A59" s="3">
        <v>14</v>
      </c>
      <c r="B59" s="3">
        <v>4</v>
      </c>
      <c r="C59" s="3">
        <v>16</v>
      </c>
      <c r="D59" s="3">
        <v>2</v>
      </c>
      <c r="E59" s="3">
        <v>47.212</v>
      </c>
      <c r="F59" s="4" t="str">
        <f>HYPERLINK("http://141.218.60.56/~jnz1568/getInfo.php?workbook=14_04.xlsx&amp;sheet=A0&amp;row=59&amp;col=6&amp;number=16090000&amp;sourceID=14","16090000")</f>
        <v>16090000</v>
      </c>
      <c r="G59" s="4" t="str">
        <f>HYPERLINK("http://141.218.60.56/~jnz1568/getInfo.php?workbook=14_04.xlsx&amp;sheet=A0&amp;row=59&amp;col=7&amp;number=0&amp;sourceID=14","0")</f>
        <v>0</v>
      </c>
    </row>
    <row r="60" spans="1:7">
      <c r="A60" s="3">
        <v>14</v>
      </c>
      <c r="B60" s="3">
        <v>4</v>
      </c>
      <c r="C60" s="3">
        <v>17</v>
      </c>
      <c r="D60" s="3">
        <v>2</v>
      </c>
      <c r="E60" s="3">
        <v>46.273</v>
      </c>
      <c r="F60" s="4" t="str">
        <f>HYPERLINK("http://141.218.60.56/~jnz1568/getInfo.php?workbook=14_04.xlsx&amp;sheet=A0&amp;row=60&amp;col=6&amp;number=742800000000&amp;sourceID=14","742800000000")</f>
        <v>742800000000</v>
      </c>
      <c r="G60" s="4" t="str">
        <f>HYPERLINK("http://141.218.60.56/~jnz1568/getInfo.php?workbook=14_04.xlsx&amp;sheet=A0&amp;row=60&amp;col=7&amp;number=0&amp;sourceID=14","0")</f>
        <v>0</v>
      </c>
    </row>
    <row r="61" spans="1:7">
      <c r="A61" s="3">
        <v>14</v>
      </c>
      <c r="B61" s="3">
        <v>4</v>
      </c>
      <c r="C61" s="3">
        <v>22</v>
      </c>
      <c r="D61" s="3">
        <v>2</v>
      </c>
      <c r="E61" s="3">
        <v>-44.34</v>
      </c>
      <c r="F61" s="4" t="str">
        <f>HYPERLINK("http://141.218.60.56/~jnz1568/getInfo.php?workbook=14_04.xlsx&amp;sheet=A0&amp;row=61&amp;col=6&amp;number=1.045&amp;sourceID=14","1.045")</f>
        <v>1.045</v>
      </c>
      <c r="G61" s="4" t="str">
        <f>HYPERLINK("http://141.218.60.56/~jnz1568/getInfo.php?workbook=14_04.xlsx&amp;sheet=A0&amp;row=61&amp;col=7&amp;number=0&amp;sourceID=14","0")</f>
        <v>0</v>
      </c>
    </row>
    <row r="62" spans="1:7">
      <c r="A62" s="3">
        <v>14</v>
      </c>
      <c r="B62" s="3">
        <v>4</v>
      </c>
      <c r="C62" s="3">
        <v>23</v>
      </c>
      <c r="D62" s="3">
        <v>2</v>
      </c>
      <c r="E62" s="3">
        <v>-44.228</v>
      </c>
      <c r="F62" s="4" t="str">
        <f>HYPERLINK("http://141.218.60.56/~jnz1568/getInfo.php?workbook=14_04.xlsx&amp;sheet=A0&amp;row=62&amp;col=6&amp;number=639500&amp;sourceID=14","639500")</f>
        <v>639500</v>
      </c>
      <c r="G62" s="4" t="str">
        <f>HYPERLINK("http://141.218.60.56/~jnz1568/getInfo.php?workbook=14_04.xlsx&amp;sheet=A0&amp;row=62&amp;col=7&amp;number=0&amp;sourceID=14","0")</f>
        <v>0</v>
      </c>
    </row>
    <row r="63" spans="1:7">
      <c r="A63" s="3">
        <v>14</v>
      </c>
      <c r="B63" s="3">
        <v>4</v>
      </c>
      <c r="C63" s="3">
        <v>24</v>
      </c>
      <c r="D63" s="3">
        <v>2</v>
      </c>
      <c r="E63" s="3">
        <v>-43.638</v>
      </c>
      <c r="F63" s="4" t="str">
        <f>HYPERLINK("http://141.218.60.56/~jnz1568/getInfo.php?workbook=14_04.xlsx&amp;sheet=A0&amp;row=63&amp;col=6&amp;number=13.09&amp;sourceID=14","13.09")</f>
        <v>13.09</v>
      </c>
      <c r="G63" s="4" t="str">
        <f>HYPERLINK("http://141.218.60.56/~jnz1568/getInfo.php?workbook=14_04.xlsx&amp;sheet=A0&amp;row=63&amp;col=7&amp;number=0&amp;sourceID=14","0")</f>
        <v>0</v>
      </c>
    </row>
    <row r="64" spans="1:7">
      <c r="A64" s="3">
        <v>14</v>
      </c>
      <c r="B64" s="3">
        <v>4</v>
      </c>
      <c r="C64" s="3">
        <v>25</v>
      </c>
      <c r="D64" s="3">
        <v>2</v>
      </c>
      <c r="E64" s="3">
        <v>-43.456</v>
      </c>
      <c r="F64" s="4" t="str">
        <f>HYPERLINK("http://141.218.60.56/~jnz1568/getInfo.php?workbook=14_04.xlsx&amp;sheet=A0&amp;row=64&amp;col=6&amp;number=8519000000&amp;sourceID=14","8519000000")</f>
        <v>8519000000</v>
      </c>
      <c r="G64" s="4" t="str">
        <f>HYPERLINK("http://141.218.60.56/~jnz1568/getInfo.php?workbook=14_04.xlsx&amp;sheet=A0&amp;row=64&amp;col=7&amp;number=0&amp;sourceID=14","0")</f>
        <v>0</v>
      </c>
    </row>
    <row r="65" spans="1:7">
      <c r="A65" s="3">
        <v>14</v>
      </c>
      <c r="B65" s="3">
        <v>4</v>
      </c>
      <c r="C65" s="3">
        <v>26</v>
      </c>
      <c r="D65" s="3">
        <v>2</v>
      </c>
      <c r="E65" s="3">
        <v>-43.291</v>
      </c>
      <c r="F65" s="4" t="str">
        <f>HYPERLINK("http://141.218.60.56/~jnz1568/getInfo.php?workbook=14_04.xlsx&amp;sheet=A0&amp;row=65&amp;col=6&amp;number=111000000000&amp;sourceID=14","111000000000")</f>
        <v>111000000000</v>
      </c>
      <c r="G65" s="4" t="str">
        <f>HYPERLINK("http://141.218.60.56/~jnz1568/getInfo.php?workbook=14_04.xlsx&amp;sheet=A0&amp;row=65&amp;col=7&amp;number=0&amp;sourceID=14","0")</f>
        <v>0</v>
      </c>
    </row>
    <row r="66" spans="1:7">
      <c r="A66" s="3">
        <v>14</v>
      </c>
      <c r="B66" s="3">
        <v>4</v>
      </c>
      <c r="C66" s="3">
        <v>29</v>
      </c>
      <c r="D66" s="3">
        <v>2</v>
      </c>
      <c r="E66" s="3">
        <v>42.907</v>
      </c>
      <c r="F66" s="4" t="str">
        <f>HYPERLINK("http://141.218.60.56/~jnz1568/getInfo.php?workbook=14_04.xlsx&amp;sheet=A0&amp;row=66&amp;col=6&amp;number=58810000000&amp;sourceID=14","58810000000")</f>
        <v>58810000000</v>
      </c>
      <c r="G66" s="4" t="str">
        <f>HYPERLINK("http://141.218.60.56/~jnz1568/getInfo.php?workbook=14_04.xlsx&amp;sheet=A0&amp;row=66&amp;col=7&amp;number=0&amp;sourceID=14","0")</f>
        <v>0</v>
      </c>
    </row>
    <row r="67" spans="1:7">
      <c r="A67" s="3">
        <v>14</v>
      </c>
      <c r="B67" s="3">
        <v>4</v>
      </c>
      <c r="C67" s="3">
        <v>31</v>
      </c>
      <c r="D67" s="3">
        <v>2</v>
      </c>
      <c r="E67" s="3">
        <v>42.689</v>
      </c>
      <c r="F67" s="4" t="str">
        <f>HYPERLINK("http://141.218.60.56/~jnz1568/getInfo.php?workbook=14_04.xlsx&amp;sheet=A0&amp;row=67&amp;col=6&amp;number=72860000000&amp;sourceID=14","72860000000")</f>
        <v>72860000000</v>
      </c>
      <c r="G67" s="4" t="str">
        <f>HYPERLINK("http://141.218.60.56/~jnz1568/getInfo.php?workbook=14_04.xlsx&amp;sheet=A0&amp;row=67&amp;col=7&amp;number=0&amp;sourceID=14","0")</f>
        <v>0</v>
      </c>
    </row>
    <row r="68" spans="1:7">
      <c r="A68" s="3">
        <v>14</v>
      </c>
      <c r="B68" s="3">
        <v>4</v>
      </c>
      <c r="C68" s="3">
        <v>33</v>
      </c>
      <c r="D68" s="3">
        <v>2</v>
      </c>
      <c r="E68" s="3">
        <v>-42.601</v>
      </c>
      <c r="F68" s="4" t="str">
        <f>HYPERLINK("http://141.218.60.56/~jnz1568/getInfo.php?workbook=14_04.xlsx&amp;sheet=A0&amp;row=68&amp;col=6&amp;number=74690000&amp;sourceID=14","74690000")</f>
        <v>74690000</v>
      </c>
      <c r="G68" s="4" t="str">
        <f>HYPERLINK("http://141.218.60.56/~jnz1568/getInfo.php?workbook=14_04.xlsx&amp;sheet=A0&amp;row=68&amp;col=7&amp;number=0&amp;sourceID=14","0")</f>
        <v>0</v>
      </c>
    </row>
    <row r="69" spans="1:7">
      <c r="A69" s="3">
        <v>14</v>
      </c>
      <c r="B69" s="3">
        <v>4</v>
      </c>
      <c r="C69" s="3">
        <v>35</v>
      </c>
      <c r="D69" s="3">
        <v>2</v>
      </c>
      <c r="E69" s="3">
        <v>42.459</v>
      </c>
      <c r="F69" s="4" t="str">
        <f>HYPERLINK("http://141.218.60.56/~jnz1568/getInfo.php?workbook=14_04.xlsx&amp;sheet=A0&amp;row=69&amp;col=6&amp;number=27860000&amp;sourceID=14","27860000")</f>
        <v>27860000</v>
      </c>
      <c r="G69" s="4" t="str">
        <f>HYPERLINK("http://141.218.60.56/~jnz1568/getInfo.php?workbook=14_04.xlsx&amp;sheet=A0&amp;row=69&amp;col=7&amp;number=0&amp;sourceID=14","0")</f>
        <v>0</v>
      </c>
    </row>
    <row r="70" spans="1:7">
      <c r="A70" s="3">
        <v>14</v>
      </c>
      <c r="B70" s="3">
        <v>4</v>
      </c>
      <c r="C70" s="3">
        <v>38</v>
      </c>
      <c r="D70" s="3">
        <v>2</v>
      </c>
      <c r="E70" s="3">
        <v>-42.102</v>
      </c>
      <c r="F70" s="4" t="str">
        <f>HYPERLINK("http://141.218.60.56/~jnz1568/getInfo.php?workbook=14_04.xlsx&amp;sheet=A0&amp;row=70&amp;col=6&amp;number=0.01572&amp;sourceID=14","0.01572")</f>
        <v>0.01572</v>
      </c>
      <c r="G70" s="4" t="str">
        <f>HYPERLINK("http://141.218.60.56/~jnz1568/getInfo.php?workbook=14_04.xlsx&amp;sheet=A0&amp;row=70&amp;col=7&amp;number=0&amp;sourceID=14","0")</f>
        <v>0</v>
      </c>
    </row>
    <row r="71" spans="1:7">
      <c r="A71" s="3">
        <v>14</v>
      </c>
      <c r="B71" s="3">
        <v>4</v>
      </c>
      <c r="C71" s="3">
        <v>39</v>
      </c>
      <c r="D71" s="3">
        <v>2</v>
      </c>
      <c r="E71" s="3">
        <v>42.14</v>
      </c>
      <c r="F71" s="4" t="str">
        <f>HYPERLINK("http://141.218.60.56/~jnz1568/getInfo.php?workbook=14_04.xlsx&amp;sheet=A0&amp;row=71&amp;col=6&amp;number=66340000&amp;sourceID=14","66340000")</f>
        <v>66340000</v>
      </c>
      <c r="G71" s="4" t="str">
        <f>HYPERLINK("http://141.218.60.56/~jnz1568/getInfo.php?workbook=14_04.xlsx&amp;sheet=A0&amp;row=71&amp;col=7&amp;number=0&amp;sourceID=14","0")</f>
        <v>0</v>
      </c>
    </row>
    <row r="72" spans="1:7">
      <c r="A72" s="3">
        <v>14</v>
      </c>
      <c r="B72" s="3">
        <v>4</v>
      </c>
      <c r="C72" s="3">
        <v>41</v>
      </c>
      <c r="D72" s="3">
        <v>2</v>
      </c>
      <c r="E72" s="3">
        <v>41.894</v>
      </c>
      <c r="F72" s="4" t="str">
        <f>HYPERLINK("http://141.218.60.56/~jnz1568/getInfo.php?workbook=14_04.xlsx&amp;sheet=A0&amp;row=72&amp;col=6&amp;number=10180000&amp;sourceID=14","10180000")</f>
        <v>10180000</v>
      </c>
      <c r="G72" s="4" t="str">
        <f>HYPERLINK("http://141.218.60.56/~jnz1568/getInfo.php?workbook=14_04.xlsx&amp;sheet=A0&amp;row=72&amp;col=7&amp;number=0&amp;sourceID=14","0")</f>
        <v>0</v>
      </c>
    </row>
    <row r="73" spans="1:7">
      <c r="A73" s="3">
        <v>14</v>
      </c>
      <c r="B73" s="3">
        <v>4</v>
      </c>
      <c r="C73" s="3">
        <v>42</v>
      </c>
      <c r="D73" s="3">
        <v>2</v>
      </c>
      <c r="E73" s="3">
        <v>41.946</v>
      </c>
      <c r="F73" s="4" t="str">
        <f>HYPERLINK("http://141.218.60.56/~jnz1568/getInfo.php?workbook=14_04.xlsx&amp;sheet=A0&amp;row=73&amp;col=6&amp;number=0.2237&amp;sourceID=14","0.2237")</f>
        <v>0.2237</v>
      </c>
      <c r="G73" s="4" t="str">
        <f>HYPERLINK("http://141.218.60.56/~jnz1568/getInfo.php?workbook=14_04.xlsx&amp;sheet=A0&amp;row=73&amp;col=7&amp;number=0&amp;sourceID=14","0")</f>
        <v>0</v>
      </c>
    </row>
    <row r="74" spans="1:7">
      <c r="A74" s="3">
        <v>14</v>
      </c>
      <c r="B74" s="3">
        <v>4</v>
      </c>
      <c r="C74" s="3">
        <v>46</v>
      </c>
      <c r="D74" s="3">
        <v>2</v>
      </c>
      <c r="E74" s="3">
        <v>41.425</v>
      </c>
      <c r="F74" s="4" t="str">
        <f>HYPERLINK("http://141.218.60.56/~jnz1568/getInfo.php?workbook=14_04.xlsx&amp;sheet=A0&amp;row=74&amp;col=6&amp;number=0.0009717&amp;sourceID=14","0.0009717")</f>
        <v>0.0009717</v>
      </c>
      <c r="G74" s="4" t="str">
        <f>HYPERLINK("http://141.218.60.56/~jnz1568/getInfo.php?workbook=14_04.xlsx&amp;sheet=A0&amp;row=74&amp;col=7&amp;number=0&amp;sourceID=14","0")</f>
        <v>0</v>
      </c>
    </row>
    <row r="75" spans="1:7">
      <c r="A75" s="3">
        <v>14</v>
      </c>
      <c r="B75" s="3">
        <v>4</v>
      </c>
      <c r="C75" s="3">
        <v>47</v>
      </c>
      <c r="D75" s="3">
        <v>2</v>
      </c>
      <c r="E75" s="3">
        <v>36.14</v>
      </c>
      <c r="F75" s="4" t="str">
        <f>HYPERLINK("http://141.218.60.56/~jnz1568/getInfo.php?workbook=14_04.xlsx&amp;sheet=A0&amp;row=75&amp;col=6&amp;number=9835000000&amp;sourceID=14","9835000000")</f>
        <v>9835000000</v>
      </c>
      <c r="G75" s="4" t="str">
        <f>HYPERLINK("http://141.218.60.56/~jnz1568/getInfo.php?workbook=14_04.xlsx&amp;sheet=A0&amp;row=75&amp;col=7&amp;number=0&amp;sourceID=14","0")</f>
        <v>0</v>
      </c>
    </row>
    <row r="76" spans="1:7">
      <c r="A76" s="3">
        <v>14</v>
      </c>
      <c r="B76" s="3">
        <v>4</v>
      </c>
      <c r="C76" s="3">
        <v>50</v>
      </c>
      <c r="D76" s="3">
        <v>2</v>
      </c>
      <c r="E76" s="3">
        <v>35.51</v>
      </c>
      <c r="F76" s="4" t="str">
        <f>HYPERLINK("http://141.218.60.56/~jnz1568/getInfo.php?workbook=14_04.xlsx&amp;sheet=A0&amp;row=76&amp;col=6&amp;number=23.64&amp;sourceID=14","23.64")</f>
        <v>23.64</v>
      </c>
      <c r="G76" s="4" t="str">
        <f>HYPERLINK("http://141.218.60.56/~jnz1568/getInfo.php?workbook=14_04.xlsx&amp;sheet=A0&amp;row=76&amp;col=7&amp;number=0&amp;sourceID=14","0")</f>
        <v>0</v>
      </c>
    </row>
    <row r="77" spans="1:7">
      <c r="A77" s="3">
        <v>14</v>
      </c>
      <c r="B77" s="3">
        <v>4</v>
      </c>
      <c r="C77" s="3">
        <v>51</v>
      </c>
      <c r="D77" s="3">
        <v>2</v>
      </c>
      <c r="E77" s="3">
        <v>35.501</v>
      </c>
      <c r="F77" s="4" t="str">
        <f>HYPERLINK("http://141.218.60.56/~jnz1568/getInfo.php?workbook=14_04.xlsx&amp;sheet=A0&amp;row=77&amp;col=6&amp;number=6169000&amp;sourceID=14","6169000")</f>
        <v>6169000</v>
      </c>
      <c r="G77" s="4" t="str">
        <f>HYPERLINK("http://141.218.60.56/~jnz1568/getInfo.php?workbook=14_04.xlsx&amp;sheet=A0&amp;row=77&amp;col=7&amp;number=0&amp;sourceID=14","0")</f>
        <v>0</v>
      </c>
    </row>
    <row r="78" spans="1:7">
      <c r="A78" s="3">
        <v>14</v>
      </c>
      <c r="B78" s="3">
        <v>4</v>
      </c>
      <c r="C78" s="3">
        <v>52</v>
      </c>
      <c r="D78" s="3">
        <v>2</v>
      </c>
      <c r="E78" s="3">
        <v>35.554</v>
      </c>
      <c r="F78" s="4" t="str">
        <f>HYPERLINK("http://141.218.60.56/~jnz1568/getInfo.php?workbook=14_04.xlsx&amp;sheet=A0&amp;row=78&amp;col=6&amp;number=79.01&amp;sourceID=14","79.01")</f>
        <v>79.01</v>
      </c>
      <c r="G78" s="4" t="str">
        <f>HYPERLINK("http://141.218.60.56/~jnz1568/getInfo.php?workbook=14_04.xlsx&amp;sheet=A0&amp;row=78&amp;col=7&amp;number=0&amp;sourceID=14","0")</f>
        <v>0</v>
      </c>
    </row>
    <row r="79" spans="1:7">
      <c r="A79" s="3">
        <v>14</v>
      </c>
      <c r="B79" s="3">
        <v>4</v>
      </c>
      <c r="C79" s="3">
        <v>53</v>
      </c>
      <c r="D79" s="3">
        <v>2</v>
      </c>
      <c r="E79" s="3">
        <v>35.353</v>
      </c>
      <c r="F79" s="4" t="str">
        <f>HYPERLINK("http://141.218.60.56/~jnz1568/getInfo.php?workbook=14_04.xlsx&amp;sheet=A0&amp;row=79&amp;col=6&amp;number=233600000000&amp;sourceID=14","233600000000")</f>
        <v>233600000000</v>
      </c>
      <c r="G79" s="4" t="str">
        <f>HYPERLINK("http://141.218.60.56/~jnz1568/getInfo.php?workbook=14_04.xlsx&amp;sheet=A0&amp;row=79&amp;col=7&amp;number=0&amp;sourceID=14","0")</f>
        <v>0</v>
      </c>
    </row>
    <row r="80" spans="1:7">
      <c r="A80" s="3">
        <v>14</v>
      </c>
      <c r="B80" s="3">
        <v>4</v>
      </c>
      <c r="C80" s="3">
        <v>58</v>
      </c>
      <c r="D80" s="3">
        <v>2</v>
      </c>
      <c r="E80" s="3">
        <v>-33.56</v>
      </c>
      <c r="F80" s="4" t="str">
        <f>HYPERLINK("http://141.218.60.56/~jnz1568/getInfo.php?workbook=14_04.xlsx&amp;sheet=A0&amp;row=80&amp;col=6&amp;number=0.3133&amp;sourceID=14","0.3133")</f>
        <v>0.3133</v>
      </c>
      <c r="G80" s="4" t="str">
        <f>HYPERLINK("http://141.218.60.56/~jnz1568/getInfo.php?workbook=14_04.xlsx&amp;sheet=A0&amp;row=80&amp;col=7&amp;number=0&amp;sourceID=14","0")</f>
        <v>0</v>
      </c>
    </row>
    <row r="81" spans="1:7">
      <c r="A81" s="3">
        <v>14</v>
      </c>
      <c r="B81" s="3">
        <v>4</v>
      </c>
      <c r="C81" s="3">
        <v>59</v>
      </c>
      <c r="D81" s="3">
        <v>2</v>
      </c>
      <c r="E81" s="3">
        <v>33.563</v>
      </c>
      <c r="F81" s="4" t="str">
        <f>HYPERLINK("http://141.218.60.56/~jnz1568/getInfo.php?workbook=14_04.xlsx&amp;sheet=A0&amp;row=81&amp;col=6&amp;number=982&amp;sourceID=14","982")</f>
        <v>982</v>
      </c>
      <c r="G81" s="4" t="str">
        <f>HYPERLINK("http://141.218.60.56/~jnz1568/getInfo.php?workbook=14_04.xlsx&amp;sheet=A0&amp;row=81&amp;col=7&amp;number=0&amp;sourceID=14","0")</f>
        <v>0</v>
      </c>
    </row>
    <row r="82" spans="1:7">
      <c r="A82" s="3">
        <v>14</v>
      </c>
      <c r="B82" s="3">
        <v>4</v>
      </c>
      <c r="C82" s="3">
        <v>60</v>
      </c>
      <c r="D82" s="3">
        <v>2</v>
      </c>
      <c r="E82" s="3">
        <v>-33.415</v>
      </c>
      <c r="F82" s="4" t="str">
        <f>HYPERLINK("http://141.218.60.56/~jnz1568/getInfo.php?workbook=14_04.xlsx&amp;sheet=A0&amp;row=82&amp;col=6&amp;number=0.8622&amp;sourceID=14","0.8622")</f>
        <v>0.8622</v>
      </c>
      <c r="G82" s="4" t="str">
        <f>HYPERLINK("http://141.218.60.56/~jnz1568/getInfo.php?workbook=14_04.xlsx&amp;sheet=A0&amp;row=82&amp;col=7&amp;number=0&amp;sourceID=14","0")</f>
        <v>0</v>
      </c>
    </row>
    <row r="83" spans="1:7">
      <c r="A83" s="3">
        <v>14</v>
      </c>
      <c r="B83" s="3">
        <v>4</v>
      </c>
      <c r="C83" s="3">
        <v>61</v>
      </c>
      <c r="D83" s="3">
        <v>2</v>
      </c>
      <c r="E83" s="3">
        <v>-33.283</v>
      </c>
      <c r="F83" s="4" t="str">
        <f>HYPERLINK("http://141.218.60.56/~jnz1568/getInfo.php?workbook=14_04.xlsx&amp;sheet=A0&amp;row=83&amp;col=6&amp;number=84560000000&amp;sourceID=14","84560000000")</f>
        <v>84560000000</v>
      </c>
      <c r="G83" s="4" t="str">
        <f>HYPERLINK("http://141.218.60.56/~jnz1568/getInfo.php?workbook=14_04.xlsx&amp;sheet=A0&amp;row=83&amp;col=7&amp;number=0&amp;sourceID=14","0")</f>
        <v>0</v>
      </c>
    </row>
    <row r="84" spans="1:7">
      <c r="A84" s="3">
        <v>14</v>
      </c>
      <c r="B84" s="3">
        <v>4</v>
      </c>
      <c r="C84" s="3">
        <v>62</v>
      </c>
      <c r="D84" s="3">
        <v>2</v>
      </c>
      <c r="E84" s="3">
        <v>-33.331</v>
      </c>
      <c r="F84" s="4" t="str">
        <f>HYPERLINK("http://141.218.60.56/~jnz1568/getInfo.php?workbook=14_04.xlsx&amp;sheet=A0&amp;row=84&amp;col=6&amp;number=26790000000&amp;sourceID=14","26790000000")</f>
        <v>26790000000</v>
      </c>
      <c r="G84" s="4" t="str">
        <f>HYPERLINK("http://141.218.60.56/~jnz1568/getInfo.php?workbook=14_04.xlsx&amp;sheet=A0&amp;row=84&amp;col=7&amp;number=0&amp;sourceID=14","0")</f>
        <v>0</v>
      </c>
    </row>
    <row r="85" spans="1:7">
      <c r="A85" s="3">
        <v>14</v>
      </c>
      <c r="B85" s="3">
        <v>4</v>
      </c>
      <c r="C85" s="3">
        <v>65</v>
      </c>
      <c r="D85" s="3">
        <v>2</v>
      </c>
      <c r="E85" s="3">
        <v>-33.2</v>
      </c>
      <c r="F85" s="4" t="str">
        <f>HYPERLINK("http://141.218.60.56/~jnz1568/getInfo.php?workbook=14_04.xlsx&amp;sheet=A0&amp;row=85&amp;col=6&amp;number=28400000000&amp;sourceID=14","28400000000")</f>
        <v>28400000000</v>
      </c>
      <c r="G85" s="4" t="str">
        <f>HYPERLINK("http://141.218.60.56/~jnz1568/getInfo.php?workbook=14_04.xlsx&amp;sheet=A0&amp;row=85&amp;col=7&amp;number=0&amp;sourceID=14","0")</f>
        <v>0</v>
      </c>
    </row>
    <row r="86" spans="1:7">
      <c r="A86" s="3">
        <v>14</v>
      </c>
      <c r="B86" s="3">
        <v>4</v>
      </c>
      <c r="C86" s="3">
        <v>67</v>
      </c>
      <c r="D86" s="3">
        <v>2</v>
      </c>
      <c r="E86" s="3">
        <v>-33.152</v>
      </c>
      <c r="F86" s="4" t="str">
        <f>HYPERLINK("http://141.218.60.56/~jnz1568/getInfo.php?workbook=14_04.xlsx&amp;sheet=A0&amp;row=86&amp;col=6&amp;number=4890000000&amp;sourceID=14","4890000000")</f>
        <v>4890000000</v>
      </c>
      <c r="G86" s="4" t="str">
        <f>HYPERLINK("http://141.218.60.56/~jnz1568/getInfo.php?workbook=14_04.xlsx&amp;sheet=A0&amp;row=86&amp;col=7&amp;number=0&amp;sourceID=14","0")</f>
        <v>0</v>
      </c>
    </row>
    <row r="87" spans="1:7">
      <c r="A87" s="3">
        <v>14</v>
      </c>
      <c r="B87" s="3">
        <v>4</v>
      </c>
      <c r="C87" s="3">
        <v>69</v>
      </c>
      <c r="D87" s="3">
        <v>2</v>
      </c>
      <c r="E87" s="3">
        <v>-33.135</v>
      </c>
      <c r="F87" s="4" t="str">
        <f>HYPERLINK("http://141.218.60.56/~jnz1568/getInfo.php?workbook=14_04.xlsx&amp;sheet=A0&amp;row=87&amp;col=6&amp;number=15060000&amp;sourceID=14","15060000")</f>
        <v>15060000</v>
      </c>
      <c r="G87" s="4" t="str">
        <f>HYPERLINK("http://141.218.60.56/~jnz1568/getInfo.php?workbook=14_04.xlsx&amp;sheet=A0&amp;row=87&amp;col=7&amp;number=0&amp;sourceID=14","0")</f>
        <v>0</v>
      </c>
    </row>
    <row r="88" spans="1:7">
      <c r="A88" s="3">
        <v>14</v>
      </c>
      <c r="B88" s="3">
        <v>4</v>
      </c>
      <c r="C88" s="3">
        <v>71</v>
      </c>
      <c r="D88" s="3">
        <v>2</v>
      </c>
      <c r="E88" s="3">
        <v>-33.081</v>
      </c>
      <c r="F88" s="4" t="str">
        <f>HYPERLINK("http://141.218.60.56/~jnz1568/getInfo.php?workbook=14_04.xlsx&amp;sheet=A0&amp;row=88&amp;col=6&amp;number=15990000&amp;sourceID=14","15990000")</f>
        <v>15990000</v>
      </c>
      <c r="G88" s="4" t="str">
        <f>HYPERLINK("http://141.218.60.56/~jnz1568/getInfo.php?workbook=14_04.xlsx&amp;sheet=A0&amp;row=88&amp;col=7&amp;number=0&amp;sourceID=14","0")</f>
        <v>0</v>
      </c>
    </row>
    <row r="89" spans="1:7">
      <c r="A89" s="3">
        <v>14</v>
      </c>
      <c r="B89" s="3">
        <v>4</v>
      </c>
      <c r="C89" s="3">
        <v>74</v>
      </c>
      <c r="D89" s="3">
        <v>2</v>
      </c>
      <c r="E89" s="3">
        <v>-33.027</v>
      </c>
      <c r="F89" s="4" t="str">
        <f>HYPERLINK("http://141.218.60.56/~jnz1568/getInfo.php?workbook=14_04.xlsx&amp;sheet=A0&amp;row=89&amp;col=6&amp;number=0.001424&amp;sourceID=14","0.001424")</f>
        <v>0.001424</v>
      </c>
      <c r="G89" s="4" t="str">
        <f>HYPERLINK("http://141.218.60.56/~jnz1568/getInfo.php?workbook=14_04.xlsx&amp;sheet=A0&amp;row=89&amp;col=7&amp;number=0&amp;sourceID=14","0")</f>
        <v>0</v>
      </c>
    </row>
    <row r="90" spans="1:7">
      <c r="A90" s="3">
        <v>14</v>
      </c>
      <c r="B90" s="3">
        <v>4</v>
      </c>
      <c r="C90" s="3">
        <v>75</v>
      </c>
      <c r="D90" s="3">
        <v>2</v>
      </c>
      <c r="E90" s="3">
        <v>-33.006</v>
      </c>
      <c r="F90" s="4" t="str">
        <f>HYPERLINK("http://141.218.60.56/~jnz1568/getInfo.php?workbook=14_04.xlsx&amp;sheet=A0&amp;row=90&amp;col=6&amp;number=7600000&amp;sourceID=14","7600000")</f>
        <v>7600000</v>
      </c>
      <c r="G90" s="4" t="str">
        <f>HYPERLINK("http://141.218.60.56/~jnz1568/getInfo.php?workbook=14_04.xlsx&amp;sheet=A0&amp;row=90&amp;col=7&amp;number=0&amp;sourceID=14","0")</f>
        <v>0</v>
      </c>
    </row>
    <row r="91" spans="1:7">
      <c r="A91" s="3">
        <v>14</v>
      </c>
      <c r="B91" s="3">
        <v>4</v>
      </c>
      <c r="C91" s="3">
        <v>77</v>
      </c>
      <c r="D91" s="3">
        <v>2</v>
      </c>
      <c r="E91" s="3">
        <v>32.943</v>
      </c>
      <c r="F91" s="4" t="str">
        <f>HYPERLINK("http://141.218.60.56/~jnz1568/getInfo.php?workbook=14_04.xlsx&amp;sheet=A0&amp;row=91&amp;col=6&amp;number=458800&amp;sourceID=14","458800")</f>
        <v>458800</v>
      </c>
      <c r="G91" s="4" t="str">
        <f>HYPERLINK("http://141.218.60.56/~jnz1568/getInfo.php?workbook=14_04.xlsx&amp;sheet=A0&amp;row=91&amp;col=7&amp;number=0&amp;sourceID=14","0")</f>
        <v>0</v>
      </c>
    </row>
    <row r="92" spans="1:7">
      <c r="A92" s="3">
        <v>14</v>
      </c>
      <c r="B92" s="3">
        <v>4</v>
      </c>
      <c r="C92" s="3">
        <v>78</v>
      </c>
      <c r="D92" s="3">
        <v>2</v>
      </c>
      <c r="E92" s="3">
        <v>-32.942</v>
      </c>
      <c r="F92" s="4" t="str">
        <f>HYPERLINK("http://141.218.60.56/~jnz1568/getInfo.php?workbook=14_04.xlsx&amp;sheet=A0&amp;row=92&amp;col=6&amp;number=0.002452&amp;sourceID=14","0.002452")</f>
        <v>0.002452</v>
      </c>
      <c r="G92" s="4" t="str">
        <f>HYPERLINK("http://141.218.60.56/~jnz1568/getInfo.php?workbook=14_04.xlsx&amp;sheet=A0&amp;row=92&amp;col=7&amp;number=0&amp;sourceID=14","0")</f>
        <v>0</v>
      </c>
    </row>
    <row r="93" spans="1:7">
      <c r="A93" s="3">
        <v>14</v>
      </c>
      <c r="B93" s="3">
        <v>4</v>
      </c>
      <c r="C93" s="3">
        <v>82</v>
      </c>
      <c r="D93" s="3">
        <v>2</v>
      </c>
      <c r="E93" s="3">
        <v>-32.809</v>
      </c>
      <c r="F93" s="4" t="str">
        <f>HYPERLINK("http://141.218.60.56/~jnz1568/getInfo.php?workbook=14_04.xlsx&amp;sheet=A0&amp;row=93&amp;col=6&amp;number=0.3547&amp;sourceID=14","0.3547")</f>
        <v>0.3547</v>
      </c>
      <c r="G93" s="4" t="str">
        <f>HYPERLINK("http://141.218.60.56/~jnz1568/getInfo.php?workbook=14_04.xlsx&amp;sheet=A0&amp;row=93&amp;col=7&amp;number=0&amp;sourceID=14","0")</f>
        <v>0</v>
      </c>
    </row>
    <row r="94" spans="1:7">
      <c r="A94" s="3">
        <v>14</v>
      </c>
      <c r="B94" s="3">
        <v>4</v>
      </c>
      <c r="C94" s="3">
        <v>83</v>
      </c>
      <c r="D94" s="3">
        <v>2</v>
      </c>
      <c r="E94" s="3">
        <v>-32.166</v>
      </c>
      <c r="F94" s="4" t="str">
        <f>HYPERLINK("http://141.218.60.56/~jnz1568/getInfo.php?workbook=14_04.xlsx&amp;sheet=A0&amp;row=94&amp;col=6&amp;number=4311000000&amp;sourceID=14","4311000000")</f>
        <v>4311000000</v>
      </c>
      <c r="G94" s="4" t="str">
        <f>HYPERLINK("http://141.218.60.56/~jnz1568/getInfo.php?workbook=14_04.xlsx&amp;sheet=A0&amp;row=94&amp;col=7&amp;number=0&amp;sourceID=14","0")</f>
        <v>0</v>
      </c>
    </row>
    <row r="95" spans="1:7">
      <c r="A95" s="3">
        <v>14</v>
      </c>
      <c r="B95" s="3">
        <v>4</v>
      </c>
      <c r="C95" s="3">
        <v>86</v>
      </c>
      <c r="D95" s="3">
        <v>2</v>
      </c>
      <c r="E95" s="3">
        <v>-32.015</v>
      </c>
      <c r="F95" s="4" t="str">
        <f>HYPERLINK("http://141.218.60.56/~jnz1568/getInfo.php?workbook=14_04.xlsx&amp;sheet=A0&amp;row=95&amp;col=6&amp;number=14.76&amp;sourceID=14","14.76")</f>
        <v>14.76</v>
      </c>
      <c r="G95" s="4" t="str">
        <f>HYPERLINK("http://141.218.60.56/~jnz1568/getInfo.php?workbook=14_04.xlsx&amp;sheet=A0&amp;row=95&amp;col=7&amp;number=0&amp;sourceID=14","0")</f>
        <v>0</v>
      </c>
    </row>
    <row r="96" spans="1:7">
      <c r="A96" s="3">
        <v>14</v>
      </c>
      <c r="B96" s="3">
        <v>4</v>
      </c>
      <c r="C96" s="3">
        <v>87</v>
      </c>
      <c r="D96" s="3">
        <v>2</v>
      </c>
      <c r="E96" s="3">
        <v>31.949</v>
      </c>
      <c r="F96" s="4" t="str">
        <f>HYPERLINK("http://141.218.60.56/~jnz1568/getInfo.php?workbook=14_04.xlsx&amp;sheet=A0&amp;row=96&amp;col=6&amp;number=7902000&amp;sourceID=14","7902000")</f>
        <v>7902000</v>
      </c>
      <c r="G96" s="4" t="str">
        <f>HYPERLINK("http://141.218.60.56/~jnz1568/getInfo.php?workbook=14_04.xlsx&amp;sheet=A0&amp;row=96&amp;col=7&amp;number=0&amp;sourceID=14","0")</f>
        <v>0</v>
      </c>
    </row>
    <row r="97" spans="1:7">
      <c r="A97" s="3">
        <v>14</v>
      </c>
      <c r="B97" s="3">
        <v>4</v>
      </c>
      <c r="C97" s="3">
        <v>88</v>
      </c>
      <c r="D97" s="3">
        <v>2</v>
      </c>
      <c r="E97" s="3">
        <v>-31.986</v>
      </c>
      <c r="F97" s="4" t="str">
        <f>HYPERLINK("http://141.218.60.56/~jnz1568/getInfo.php?workbook=14_04.xlsx&amp;sheet=A0&amp;row=97&amp;col=6&amp;number=43.14&amp;sourceID=14","43.14")</f>
        <v>43.14</v>
      </c>
      <c r="G97" s="4" t="str">
        <f>HYPERLINK("http://141.218.60.56/~jnz1568/getInfo.php?workbook=14_04.xlsx&amp;sheet=A0&amp;row=97&amp;col=7&amp;number=0&amp;sourceID=14","0")</f>
        <v>0</v>
      </c>
    </row>
    <row r="98" spans="1:7">
      <c r="A98" s="3">
        <v>14</v>
      </c>
      <c r="B98" s="3">
        <v>4</v>
      </c>
      <c r="C98" s="3">
        <v>89</v>
      </c>
      <c r="D98" s="3">
        <v>2</v>
      </c>
      <c r="E98" s="3">
        <v>-31.929</v>
      </c>
      <c r="F98" s="4" t="str">
        <f>HYPERLINK("http://141.218.60.56/~jnz1568/getInfo.php?workbook=14_04.xlsx&amp;sheet=A0&amp;row=98&amp;col=6&amp;number=107400000000&amp;sourceID=14","107400000000")</f>
        <v>107400000000</v>
      </c>
      <c r="G98" s="4" t="str">
        <f>HYPERLINK("http://141.218.60.56/~jnz1568/getInfo.php?workbook=14_04.xlsx&amp;sheet=A0&amp;row=98&amp;col=7&amp;number=0&amp;sourceID=14","0")</f>
        <v>0</v>
      </c>
    </row>
    <row r="99" spans="1:7">
      <c r="A99" s="3">
        <v>14</v>
      </c>
      <c r="B99" s="3">
        <v>4</v>
      </c>
      <c r="C99" s="3">
        <v>4</v>
      </c>
      <c r="D99" s="3">
        <v>3</v>
      </c>
      <c r="E99" s="3">
        <v>19349.881</v>
      </c>
      <c r="F99" s="4" t="str">
        <f>HYPERLINK("http://141.218.60.56/~jnz1568/getInfo.php?workbook=14_04.xlsx&amp;sheet=A0&amp;row=99&amp;col=6&amp;number=1.86&amp;sourceID=14","1.86")</f>
        <v>1.86</v>
      </c>
      <c r="G99" s="4" t="str">
        <f>HYPERLINK("http://141.218.60.56/~jnz1568/getInfo.php?workbook=14_04.xlsx&amp;sheet=A0&amp;row=99&amp;col=7&amp;number=0&amp;sourceID=14","0")</f>
        <v>0</v>
      </c>
    </row>
    <row r="100" spans="1:7">
      <c r="A100" s="3">
        <v>14</v>
      </c>
      <c r="B100" s="3">
        <v>4</v>
      </c>
      <c r="C100" s="3">
        <v>5</v>
      </c>
      <c r="D100" s="3">
        <v>3</v>
      </c>
      <c r="E100" s="3">
        <v>634.773</v>
      </c>
      <c r="F100" s="4" t="str">
        <f>HYPERLINK("http://141.218.60.56/~jnz1568/getInfo.php?workbook=14_04.xlsx&amp;sheet=A0&amp;row=100&amp;col=6&amp;number=28.71&amp;sourceID=14","28.71")</f>
        <v>28.71</v>
      </c>
      <c r="G100" s="4" t="str">
        <f>HYPERLINK("http://141.218.60.56/~jnz1568/getInfo.php?workbook=14_04.xlsx&amp;sheet=A0&amp;row=100&amp;col=7&amp;number=0&amp;sourceID=14","0")</f>
        <v>0</v>
      </c>
    </row>
    <row r="101" spans="1:7">
      <c r="A101" s="3">
        <v>14</v>
      </c>
      <c r="B101" s="3">
        <v>4</v>
      </c>
      <c r="C101" s="3">
        <v>6</v>
      </c>
      <c r="D101" s="3">
        <v>3</v>
      </c>
      <c r="E101" s="3">
        <v>368.3</v>
      </c>
      <c r="F101" s="4" t="str">
        <f>HYPERLINK("http://141.218.60.56/~jnz1568/getInfo.php?workbook=14_04.xlsx&amp;sheet=A0&amp;row=101&amp;col=6&amp;number=4925000000&amp;sourceID=14","4925000000")</f>
        <v>4925000000</v>
      </c>
      <c r="G101" s="4" t="str">
        <f>HYPERLINK("http://141.218.60.56/~jnz1568/getInfo.php?workbook=14_04.xlsx&amp;sheet=A0&amp;row=101&amp;col=7&amp;number=0&amp;sourceID=14","0")</f>
        <v>0</v>
      </c>
    </row>
    <row r="102" spans="1:7">
      <c r="A102" s="3">
        <v>14</v>
      </c>
      <c r="B102" s="3">
        <v>4</v>
      </c>
      <c r="C102" s="3">
        <v>7</v>
      </c>
      <c r="D102" s="3">
        <v>3</v>
      </c>
      <c r="E102" s="3">
        <v>364.504</v>
      </c>
      <c r="F102" s="4" t="str">
        <f>HYPERLINK("http://141.218.60.56/~jnz1568/getInfo.php?workbook=14_04.xlsx&amp;sheet=A0&amp;row=102&amp;col=6&amp;number=1270000000&amp;sourceID=14","1270000000")</f>
        <v>1270000000</v>
      </c>
      <c r="G102" s="4" t="str">
        <f>HYPERLINK("http://141.218.60.56/~jnz1568/getInfo.php?workbook=14_04.xlsx&amp;sheet=A0&amp;row=102&amp;col=7&amp;number=0&amp;sourceID=14","0")</f>
        <v>0</v>
      </c>
    </row>
    <row r="103" spans="1:7">
      <c r="A103" s="3">
        <v>14</v>
      </c>
      <c r="B103" s="3">
        <v>4</v>
      </c>
      <c r="C103" s="3">
        <v>8</v>
      </c>
      <c r="D103" s="3">
        <v>3</v>
      </c>
      <c r="E103" s="3">
        <v>358.665</v>
      </c>
      <c r="F103" s="4" t="str">
        <f>HYPERLINK("http://141.218.60.56/~jnz1568/getInfo.php?workbook=14_04.xlsx&amp;sheet=A0&amp;row=103&amp;col=6&amp;number=1337000000&amp;sourceID=14","1337000000")</f>
        <v>1337000000</v>
      </c>
      <c r="G103" s="4" t="str">
        <f>HYPERLINK("http://141.218.60.56/~jnz1568/getInfo.php?workbook=14_04.xlsx&amp;sheet=A0&amp;row=103&amp;col=7&amp;number=0&amp;sourceID=14","0")</f>
        <v>0</v>
      </c>
    </row>
    <row r="104" spans="1:7">
      <c r="A104" s="3">
        <v>14</v>
      </c>
      <c r="B104" s="3">
        <v>4</v>
      </c>
      <c r="C104" s="3">
        <v>9</v>
      </c>
      <c r="D104" s="3">
        <v>3</v>
      </c>
      <c r="E104" s="3">
        <v>309.534</v>
      </c>
      <c r="F104" s="4" t="str">
        <f>HYPERLINK("http://141.218.60.56/~jnz1568/getInfo.php?workbook=14_04.xlsx&amp;sheet=A0&amp;row=104&amp;col=6&amp;number=2138000&amp;sourceID=14","2138000")</f>
        <v>2138000</v>
      </c>
      <c r="G104" s="4" t="str">
        <f>HYPERLINK("http://141.218.60.56/~jnz1568/getInfo.php?workbook=14_04.xlsx&amp;sheet=A0&amp;row=104&amp;col=7&amp;number=0&amp;sourceID=14","0")</f>
        <v>0</v>
      </c>
    </row>
    <row r="105" spans="1:7">
      <c r="A105" s="3">
        <v>14</v>
      </c>
      <c r="B105" s="3">
        <v>4</v>
      </c>
      <c r="C105" s="3">
        <v>10</v>
      </c>
      <c r="D105" s="3">
        <v>3</v>
      </c>
      <c r="E105" s="3">
        <v>229.323</v>
      </c>
      <c r="F105" s="4" t="str">
        <f>HYPERLINK("http://141.218.60.56/~jnz1568/getInfo.php?workbook=14_04.xlsx&amp;sheet=A0&amp;row=105&amp;col=6&amp;number=2455000&amp;sourceID=14","2455000")</f>
        <v>2455000</v>
      </c>
      <c r="G105" s="4" t="str">
        <f>HYPERLINK("http://141.218.60.56/~jnz1568/getInfo.php?workbook=14_04.xlsx&amp;sheet=A0&amp;row=105&amp;col=7&amp;number=0&amp;sourceID=14","0")</f>
        <v>0</v>
      </c>
    </row>
    <row r="106" spans="1:7">
      <c r="A106" s="3">
        <v>14</v>
      </c>
      <c r="B106" s="3">
        <v>4</v>
      </c>
      <c r="C106" s="3">
        <v>11</v>
      </c>
      <c r="D106" s="3">
        <v>3</v>
      </c>
      <c r="E106" s="3">
        <v>48.96</v>
      </c>
      <c r="F106" s="4" t="str">
        <f>HYPERLINK("http://141.218.60.56/~jnz1568/getInfo.php?workbook=14_04.xlsx&amp;sheet=A0&amp;row=106&amp;col=6&amp;number=90620000000&amp;sourceID=14","90620000000")</f>
        <v>90620000000</v>
      </c>
      <c r="G106" s="4" t="str">
        <f>HYPERLINK("http://141.218.60.56/~jnz1568/getInfo.php?workbook=14_04.xlsx&amp;sheet=A0&amp;row=106&amp;col=7&amp;number=0&amp;sourceID=14","0")</f>
        <v>0</v>
      </c>
    </row>
    <row r="107" spans="1:7">
      <c r="A107" s="3">
        <v>14</v>
      </c>
      <c r="B107" s="3">
        <v>4</v>
      </c>
      <c r="C107" s="3">
        <v>12</v>
      </c>
      <c r="D107" s="3">
        <v>3</v>
      </c>
      <c r="E107" s="3">
        <v>48.312</v>
      </c>
      <c r="F107" s="4" t="str">
        <f>HYPERLINK("http://141.218.60.56/~jnz1568/getInfo.php?workbook=14_04.xlsx&amp;sheet=A0&amp;row=107&amp;col=6&amp;number=10410000&amp;sourceID=14","10410000")</f>
        <v>10410000</v>
      </c>
      <c r="G107" s="4" t="str">
        <f>HYPERLINK("http://141.218.60.56/~jnz1568/getInfo.php?workbook=14_04.xlsx&amp;sheet=A0&amp;row=107&amp;col=7&amp;number=0&amp;sourceID=14","0")</f>
        <v>0</v>
      </c>
    </row>
    <row r="108" spans="1:7">
      <c r="A108" s="3">
        <v>14</v>
      </c>
      <c r="B108" s="3">
        <v>4</v>
      </c>
      <c r="C108" s="3">
        <v>13</v>
      </c>
      <c r="D108" s="3">
        <v>3</v>
      </c>
      <c r="E108" s="3">
        <v>47.313</v>
      </c>
      <c r="F108" s="4" t="str">
        <f>HYPERLINK("http://141.218.60.56/~jnz1568/getInfo.php?workbook=14_04.xlsx&amp;sheet=A0&amp;row=108&amp;col=6&amp;number=1281000&amp;sourceID=14","1281000")</f>
        <v>1281000</v>
      </c>
      <c r="G108" s="4" t="str">
        <f>HYPERLINK("http://141.218.60.56/~jnz1568/getInfo.php?workbook=14_04.xlsx&amp;sheet=A0&amp;row=108&amp;col=7&amp;number=0&amp;sourceID=14","0")</f>
        <v>0</v>
      </c>
    </row>
    <row r="109" spans="1:7">
      <c r="A109" s="3">
        <v>14</v>
      </c>
      <c r="B109" s="3">
        <v>4</v>
      </c>
      <c r="C109" s="3">
        <v>14</v>
      </c>
      <c r="D109" s="3">
        <v>3</v>
      </c>
      <c r="E109" s="3">
        <v>-47.3</v>
      </c>
      <c r="F109" s="4" t="str">
        <f>HYPERLINK("http://141.218.60.56/~jnz1568/getInfo.php?workbook=14_04.xlsx&amp;sheet=A0&amp;row=109&amp;col=6&amp;number=177.8&amp;sourceID=14","177.8")</f>
        <v>177.8</v>
      </c>
      <c r="G109" s="4" t="str">
        <f>HYPERLINK("http://141.218.60.56/~jnz1568/getInfo.php?workbook=14_04.xlsx&amp;sheet=A0&amp;row=109&amp;col=7&amp;number=0&amp;sourceID=14","0")</f>
        <v>0</v>
      </c>
    </row>
    <row r="110" spans="1:7">
      <c r="A110" s="3">
        <v>14</v>
      </c>
      <c r="B110" s="3">
        <v>4</v>
      </c>
      <c r="C110" s="3">
        <v>15</v>
      </c>
      <c r="D110" s="3">
        <v>3</v>
      </c>
      <c r="E110" s="3">
        <v>47.238</v>
      </c>
      <c r="F110" s="4" t="str">
        <f>HYPERLINK("http://141.218.60.56/~jnz1568/getInfo.php?workbook=14_04.xlsx&amp;sheet=A0&amp;row=110&amp;col=6&amp;number=18880000&amp;sourceID=14","18880000")</f>
        <v>18880000</v>
      </c>
      <c r="G110" s="4" t="str">
        <f>HYPERLINK("http://141.218.60.56/~jnz1568/getInfo.php?workbook=14_04.xlsx&amp;sheet=A0&amp;row=110&amp;col=7&amp;number=0&amp;sourceID=14","0")</f>
        <v>0</v>
      </c>
    </row>
    <row r="111" spans="1:7">
      <c r="A111" s="3">
        <v>14</v>
      </c>
      <c r="B111" s="3">
        <v>4</v>
      </c>
      <c r="C111" s="3">
        <v>16</v>
      </c>
      <c r="D111" s="3">
        <v>3</v>
      </c>
      <c r="E111" s="3">
        <v>47.264</v>
      </c>
      <c r="F111" s="4" t="str">
        <f>HYPERLINK("http://141.218.60.56/~jnz1568/getInfo.php?workbook=14_04.xlsx&amp;sheet=A0&amp;row=111&amp;col=6&amp;number=36090000&amp;sourceID=14","36090000")</f>
        <v>36090000</v>
      </c>
      <c r="G111" s="4" t="str">
        <f>HYPERLINK("http://141.218.60.56/~jnz1568/getInfo.php?workbook=14_04.xlsx&amp;sheet=A0&amp;row=111&amp;col=7&amp;number=0&amp;sourceID=14","0")</f>
        <v>0</v>
      </c>
    </row>
    <row r="112" spans="1:7">
      <c r="A112" s="3">
        <v>14</v>
      </c>
      <c r="B112" s="3">
        <v>4</v>
      </c>
      <c r="C112" s="3">
        <v>17</v>
      </c>
      <c r="D112" s="3">
        <v>3</v>
      </c>
      <c r="E112" s="3">
        <v>46.323</v>
      </c>
      <c r="F112" s="4" t="str">
        <f>HYPERLINK("http://141.218.60.56/~jnz1568/getInfo.php?workbook=14_04.xlsx&amp;sheet=A0&amp;row=112&amp;col=6&amp;number=555800000000&amp;sourceID=14","555800000000")</f>
        <v>555800000000</v>
      </c>
      <c r="G112" s="4" t="str">
        <f>HYPERLINK("http://141.218.60.56/~jnz1568/getInfo.php?workbook=14_04.xlsx&amp;sheet=A0&amp;row=112&amp;col=7&amp;number=0&amp;sourceID=14","0")</f>
        <v>0</v>
      </c>
    </row>
    <row r="113" spans="1:7">
      <c r="A113" s="3">
        <v>14</v>
      </c>
      <c r="B113" s="3">
        <v>4</v>
      </c>
      <c r="C113" s="3">
        <v>18</v>
      </c>
      <c r="D113" s="3">
        <v>3</v>
      </c>
      <c r="E113" s="3">
        <v>46.296</v>
      </c>
      <c r="F113" s="4" t="str">
        <f>HYPERLINK("http://141.218.60.56/~jnz1568/getInfo.php?workbook=14_04.xlsx&amp;sheet=A0&amp;row=113&amp;col=6&amp;number=1001000000000&amp;sourceID=14","1001000000000")</f>
        <v>1001000000000</v>
      </c>
      <c r="G113" s="4" t="str">
        <f>HYPERLINK("http://141.218.60.56/~jnz1568/getInfo.php?workbook=14_04.xlsx&amp;sheet=A0&amp;row=113&amp;col=7&amp;number=0&amp;sourceID=14","0")</f>
        <v>0</v>
      </c>
    </row>
    <row r="114" spans="1:7">
      <c r="A114" s="3">
        <v>14</v>
      </c>
      <c r="B114" s="3">
        <v>4</v>
      </c>
      <c r="C114" s="3">
        <v>20</v>
      </c>
      <c r="D114" s="3">
        <v>3</v>
      </c>
      <c r="E114" s="3">
        <v>45.645</v>
      </c>
      <c r="F114" s="4" t="str">
        <f>HYPERLINK("http://141.218.60.56/~jnz1568/getInfo.php?workbook=14_04.xlsx&amp;sheet=A0&amp;row=114&amp;col=6&amp;number=167000000&amp;sourceID=14","167000000")</f>
        <v>167000000</v>
      </c>
      <c r="G114" s="4" t="str">
        <f>HYPERLINK("http://141.218.60.56/~jnz1568/getInfo.php?workbook=14_04.xlsx&amp;sheet=A0&amp;row=114&amp;col=7&amp;number=0&amp;sourceID=14","0")</f>
        <v>0</v>
      </c>
    </row>
    <row r="115" spans="1:7">
      <c r="A115" s="3">
        <v>14</v>
      </c>
      <c r="B115" s="3">
        <v>4</v>
      </c>
      <c r="C115" s="3">
        <v>21</v>
      </c>
      <c r="D115" s="3">
        <v>3</v>
      </c>
      <c r="E115" s="3">
        <v>44.373</v>
      </c>
      <c r="F115" s="4" t="str">
        <f>HYPERLINK("http://141.218.60.56/~jnz1568/getInfo.php?workbook=14_04.xlsx&amp;sheet=A0&amp;row=115&amp;col=6&amp;number=0.8656&amp;sourceID=14","0.8656")</f>
        <v>0.8656</v>
      </c>
      <c r="G115" s="4" t="str">
        <f>HYPERLINK("http://141.218.60.56/~jnz1568/getInfo.php?workbook=14_04.xlsx&amp;sheet=A0&amp;row=115&amp;col=7&amp;number=0&amp;sourceID=14","0")</f>
        <v>0</v>
      </c>
    </row>
    <row r="116" spans="1:7">
      <c r="A116" s="3">
        <v>14</v>
      </c>
      <c r="B116" s="3">
        <v>4</v>
      </c>
      <c r="C116" s="3">
        <v>22</v>
      </c>
      <c r="D116" s="3">
        <v>3</v>
      </c>
      <c r="E116" s="3">
        <v>-44.388</v>
      </c>
      <c r="F116" s="4" t="str">
        <f>HYPERLINK("http://141.218.60.56/~jnz1568/getInfo.php?workbook=14_04.xlsx&amp;sheet=A0&amp;row=116&amp;col=6&amp;number=742200&amp;sourceID=14","742200")</f>
        <v>742200</v>
      </c>
      <c r="G116" s="4" t="str">
        <f>HYPERLINK("http://141.218.60.56/~jnz1568/getInfo.php?workbook=14_04.xlsx&amp;sheet=A0&amp;row=116&amp;col=7&amp;number=0&amp;sourceID=14","0")</f>
        <v>0</v>
      </c>
    </row>
    <row r="117" spans="1:7">
      <c r="A117" s="3">
        <v>14</v>
      </c>
      <c r="B117" s="3">
        <v>4</v>
      </c>
      <c r="C117" s="3">
        <v>23</v>
      </c>
      <c r="D117" s="3">
        <v>3</v>
      </c>
      <c r="E117" s="3">
        <v>-44.276</v>
      </c>
      <c r="F117" s="4" t="str">
        <f>HYPERLINK("http://141.218.60.56/~jnz1568/getInfo.php?workbook=14_04.xlsx&amp;sheet=A0&amp;row=117&amp;col=6&amp;number=1387000&amp;sourceID=14","1387000")</f>
        <v>1387000</v>
      </c>
      <c r="G117" s="4" t="str">
        <f>HYPERLINK("http://141.218.60.56/~jnz1568/getInfo.php?workbook=14_04.xlsx&amp;sheet=A0&amp;row=117&amp;col=7&amp;number=0&amp;sourceID=14","0")</f>
        <v>0</v>
      </c>
    </row>
    <row r="118" spans="1:7">
      <c r="A118" s="3">
        <v>14</v>
      </c>
      <c r="B118" s="3">
        <v>4</v>
      </c>
      <c r="C118" s="3">
        <v>24</v>
      </c>
      <c r="D118" s="3">
        <v>3</v>
      </c>
      <c r="E118" s="3">
        <v>-43.685</v>
      </c>
      <c r="F118" s="4" t="str">
        <f>HYPERLINK("http://141.218.60.56/~jnz1568/getInfo.php?workbook=14_04.xlsx&amp;sheet=A0&amp;row=118&amp;col=6&amp;number=3611&amp;sourceID=14","3611")</f>
        <v>3611</v>
      </c>
      <c r="G118" s="4" t="str">
        <f>HYPERLINK("http://141.218.60.56/~jnz1568/getInfo.php?workbook=14_04.xlsx&amp;sheet=A0&amp;row=118&amp;col=7&amp;number=0&amp;sourceID=14","0")</f>
        <v>0</v>
      </c>
    </row>
    <row r="119" spans="1:7">
      <c r="A119" s="3">
        <v>14</v>
      </c>
      <c r="B119" s="3">
        <v>4</v>
      </c>
      <c r="C119" s="3">
        <v>25</v>
      </c>
      <c r="D119" s="3">
        <v>3</v>
      </c>
      <c r="E119" s="3">
        <v>-43.502</v>
      </c>
      <c r="F119" s="4" t="str">
        <f>HYPERLINK("http://141.218.60.56/~jnz1568/getInfo.php?workbook=14_04.xlsx&amp;sheet=A0&amp;row=119&amp;col=6&amp;number=23280000000&amp;sourceID=14","23280000000")</f>
        <v>23280000000</v>
      </c>
      <c r="G119" s="4" t="str">
        <f>HYPERLINK("http://141.218.60.56/~jnz1568/getInfo.php?workbook=14_04.xlsx&amp;sheet=A0&amp;row=119&amp;col=7&amp;number=0&amp;sourceID=14","0")</f>
        <v>0</v>
      </c>
    </row>
    <row r="120" spans="1:7">
      <c r="A120" s="3">
        <v>14</v>
      </c>
      <c r="B120" s="3">
        <v>4</v>
      </c>
      <c r="C120" s="3">
        <v>26</v>
      </c>
      <c r="D120" s="3">
        <v>3</v>
      </c>
      <c r="E120" s="3">
        <v>-43.337</v>
      </c>
      <c r="F120" s="4" t="str">
        <f>HYPERLINK("http://141.218.60.56/~jnz1568/getInfo.php?workbook=14_04.xlsx&amp;sheet=A0&amp;row=120&amp;col=6&amp;number=48480000000&amp;sourceID=14","48480000000")</f>
        <v>48480000000</v>
      </c>
      <c r="G120" s="4" t="str">
        <f>HYPERLINK("http://141.218.60.56/~jnz1568/getInfo.php?workbook=14_04.xlsx&amp;sheet=A0&amp;row=120&amp;col=7&amp;number=0&amp;sourceID=14","0")</f>
        <v>0</v>
      </c>
    </row>
    <row r="121" spans="1:7">
      <c r="A121" s="3">
        <v>14</v>
      </c>
      <c r="B121" s="3">
        <v>4</v>
      </c>
      <c r="C121" s="3">
        <v>27</v>
      </c>
      <c r="D121" s="3">
        <v>3</v>
      </c>
      <c r="E121" s="3">
        <v>43.288</v>
      </c>
      <c r="F121" s="4" t="str">
        <f>HYPERLINK("http://141.218.60.56/~jnz1568/getInfo.php?workbook=14_04.xlsx&amp;sheet=A0&amp;row=121&amp;col=6&amp;number=157000000000&amp;sourceID=14","157000000000")</f>
        <v>157000000000</v>
      </c>
      <c r="G121" s="4" t="str">
        <f>HYPERLINK("http://141.218.60.56/~jnz1568/getInfo.php?workbook=14_04.xlsx&amp;sheet=A0&amp;row=121&amp;col=7&amp;number=0&amp;sourceID=14","0")</f>
        <v>0</v>
      </c>
    </row>
    <row r="122" spans="1:7">
      <c r="A122" s="3">
        <v>14</v>
      </c>
      <c r="B122" s="3">
        <v>4</v>
      </c>
      <c r="C122" s="3">
        <v>29</v>
      </c>
      <c r="D122" s="3">
        <v>3</v>
      </c>
      <c r="E122" s="3">
        <v>42.95</v>
      </c>
      <c r="F122" s="4" t="str">
        <f>HYPERLINK("http://141.218.60.56/~jnz1568/getInfo.php?workbook=14_04.xlsx&amp;sheet=A0&amp;row=122&amp;col=6&amp;number=147000000000&amp;sourceID=14","147000000000")</f>
        <v>147000000000</v>
      </c>
      <c r="G122" s="4" t="str">
        <f>HYPERLINK("http://141.218.60.56/~jnz1568/getInfo.php?workbook=14_04.xlsx&amp;sheet=A0&amp;row=122&amp;col=7&amp;number=0&amp;sourceID=14","0")</f>
        <v>0</v>
      </c>
    </row>
    <row r="123" spans="1:7">
      <c r="A123" s="3">
        <v>14</v>
      </c>
      <c r="B123" s="3">
        <v>4</v>
      </c>
      <c r="C123" s="3">
        <v>30</v>
      </c>
      <c r="D123" s="3">
        <v>3</v>
      </c>
      <c r="E123" s="3">
        <v>-42.826</v>
      </c>
      <c r="F123" s="4" t="str">
        <f>HYPERLINK("http://141.218.60.56/~jnz1568/getInfo.php?workbook=14_04.xlsx&amp;sheet=A0&amp;row=123&amp;col=6&amp;number=334900000000&amp;sourceID=14","334900000000")</f>
        <v>334900000000</v>
      </c>
      <c r="G123" s="4" t="str">
        <f>HYPERLINK("http://141.218.60.56/~jnz1568/getInfo.php?workbook=14_04.xlsx&amp;sheet=A0&amp;row=123&amp;col=7&amp;number=0&amp;sourceID=14","0")</f>
        <v>0</v>
      </c>
    </row>
    <row r="124" spans="1:7">
      <c r="A124" s="3">
        <v>14</v>
      </c>
      <c r="B124" s="3">
        <v>4</v>
      </c>
      <c r="C124" s="3">
        <v>31</v>
      </c>
      <c r="D124" s="3">
        <v>3</v>
      </c>
      <c r="E124" s="3">
        <v>42.731</v>
      </c>
      <c r="F124" s="4" t="str">
        <f>HYPERLINK("http://141.218.60.56/~jnz1568/getInfo.php?workbook=14_04.xlsx&amp;sheet=A0&amp;row=124&amp;col=6&amp;number=50090000000&amp;sourceID=14","50090000000")</f>
        <v>50090000000</v>
      </c>
      <c r="G124" s="4" t="str">
        <f>HYPERLINK("http://141.218.60.56/~jnz1568/getInfo.php?workbook=14_04.xlsx&amp;sheet=A0&amp;row=124&amp;col=7&amp;number=0&amp;sourceID=14","0")</f>
        <v>0</v>
      </c>
    </row>
    <row r="125" spans="1:7">
      <c r="A125" s="3">
        <v>14</v>
      </c>
      <c r="B125" s="3">
        <v>4</v>
      </c>
      <c r="C125" s="3">
        <v>32</v>
      </c>
      <c r="D125" s="3">
        <v>3</v>
      </c>
      <c r="E125" s="3">
        <v>42.73</v>
      </c>
      <c r="F125" s="4" t="str">
        <f>HYPERLINK("http://141.218.60.56/~jnz1568/getInfo.php?workbook=14_04.xlsx&amp;sheet=A0&amp;row=125&amp;col=6&amp;number=68730000000&amp;sourceID=14","68730000000")</f>
        <v>68730000000</v>
      </c>
      <c r="G125" s="4" t="str">
        <f>HYPERLINK("http://141.218.60.56/~jnz1568/getInfo.php?workbook=14_04.xlsx&amp;sheet=A0&amp;row=125&amp;col=7&amp;number=0&amp;sourceID=14","0")</f>
        <v>0</v>
      </c>
    </row>
    <row r="126" spans="1:7">
      <c r="A126" s="3">
        <v>14</v>
      </c>
      <c r="B126" s="3">
        <v>4</v>
      </c>
      <c r="C126" s="3">
        <v>33</v>
      </c>
      <c r="D126" s="3">
        <v>3</v>
      </c>
      <c r="E126" s="3">
        <v>-42.646</v>
      </c>
      <c r="F126" s="4" t="str">
        <f>HYPERLINK("http://141.218.60.56/~jnz1568/getInfo.php?workbook=14_04.xlsx&amp;sheet=A0&amp;row=126&amp;col=6&amp;number=74260000&amp;sourceID=14","74260000")</f>
        <v>74260000</v>
      </c>
      <c r="G126" s="4" t="str">
        <f>HYPERLINK("http://141.218.60.56/~jnz1568/getInfo.php?workbook=14_04.xlsx&amp;sheet=A0&amp;row=126&amp;col=7&amp;number=0&amp;sourceID=14","0")</f>
        <v>0</v>
      </c>
    </row>
    <row r="127" spans="1:7">
      <c r="A127" s="3">
        <v>14</v>
      </c>
      <c r="B127" s="3">
        <v>4</v>
      </c>
      <c r="C127" s="3">
        <v>34</v>
      </c>
      <c r="D127" s="3">
        <v>3</v>
      </c>
      <c r="E127" s="3">
        <v>-42.572</v>
      </c>
      <c r="F127" s="4" t="str">
        <f>HYPERLINK("http://141.218.60.56/~jnz1568/getInfo.php?workbook=14_04.xlsx&amp;sheet=A0&amp;row=127&amp;col=6&amp;number=143000000&amp;sourceID=14","143000000")</f>
        <v>143000000</v>
      </c>
      <c r="G127" s="4" t="str">
        <f>HYPERLINK("http://141.218.60.56/~jnz1568/getInfo.php?workbook=14_04.xlsx&amp;sheet=A0&amp;row=127&amp;col=7&amp;number=0&amp;sourceID=14","0")</f>
        <v>0</v>
      </c>
    </row>
    <row r="128" spans="1:7">
      <c r="A128" s="3">
        <v>14</v>
      </c>
      <c r="B128" s="3">
        <v>4</v>
      </c>
      <c r="C128" s="3">
        <v>35</v>
      </c>
      <c r="D128" s="3">
        <v>3</v>
      </c>
      <c r="E128" s="3">
        <v>42.501</v>
      </c>
      <c r="F128" s="4" t="str">
        <f>HYPERLINK("http://141.218.60.56/~jnz1568/getInfo.php?workbook=14_04.xlsx&amp;sheet=A0&amp;row=128&amp;col=6&amp;number=8394000&amp;sourceID=14","8394000")</f>
        <v>8394000</v>
      </c>
      <c r="G128" s="4" t="str">
        <f>HYPERLINK("http://141.218.60.56/~jnz1568/getInfo.php?workbook=14_04.xlsx&amp;sheet=A0&amp;row=128&amp;col=7&amp;number=0&amp;sourceID=14","0")</f>
        <v>0</v>
      </c>
    </row>
    <row r="129" spans="1:7">
      <c r="A129" s="3">
        <v>14</v>
      </c>
      <c r="B129" s="3">
        <v>4</v>
      </c>
      <c r="C129" s="3">
        <v>37</v>
      </c>
      <c r="D129" s="3">
        <v>3</v>
      </c>
      <c r="E129" s="3">
        <v>42.368</v>
      </c>
      <c r="F129" s="4" t="str">
        <f>HYPERLINK("http://141.218.60.56/~jnz1568/getInfo.php?workbook=14_04.xlsx&amp;sheet=A0&amp;row=129&amp;col=6&amp;number=994300000&amp;sourceID=14","994300000")</f>
        <v>994300000</v>
      </c>
      <c r="G129" s="4" t="str">
        <f>HYPERLINK("http://141.218.60.56/~jnz1568/getInfo.php?workbook=14_04.xlsx&amp;sheet=A0&amp;row=129&amp;col=7&amp;number=0&amp;sourceID=14","0")</f>
        <v>0</v>
      </c>
    </row>
    <row r="130" spans="1:7">
      <c r="A130" s="3">
        <v>14</v>
      </c>
      <c r="B130" s="3">
        <v>4</v>
      </c>
      <c r="C130" s="3">
        <v>38</v>
      </c>
      <c r="D130" s="3">
        <v>3</v>
      </c>
      <c r="E130" s="3">
        <v>-42.146</v>
      </c>
      <c r="F130" s="4" t="str">
        <f>HYPERLINK("http://141.218.60.56/~jnz1568/getInfo.php?workbook=14_04.xlsx&amp;sheet=A0&amp;row=130&amp;col=6&amp;number=155300000&amp;sourceID=14","155300000")</f>
        <v>155300000</v>
      </c>
      <c r="G130" s="4" t="str">
        <f>HYPERLINK("http://141.218.60.56/~jnz1568/getInfo.php?workbook=14_04.xlsx&amp;sheet=A0&amp;row=130&amp;col=7&amp;number=0&amp;sourceID=14","0")</f>
        <v>0</v>
      </c>
    </row>
    <row r="131" spans="1:7">
      <c r="A131" s="3">
        <v>14</v>
      </c>
      <c r="B131" s="3">
        <v>4</v>
      </c>
      <c r="C131" s="3">
        <v>39</v>
      </c>
      <c r="D131" s="3">
        <v>3</v>
      </c>
      <c r="E131" s="3">
        <v>42.182</v>
      </c>
      <c r="F131" s="4" t="str">
        <f>HYPERLINK("http://141.218.60.56/~jnz1568/getInfo.php?workbook=14_04.xlsx&amp;sheet=A0&amp;row=131&amp;col=6&amp;number=46100000&amp;sourceID=14","46100000")</f>
        <v>46100000</v>
      </c>
      <c r="G131" s="4" t="str">
        <f>HYPERLINK("http://141.218.60.56/~jnz1568/getInfo.php?workbook=14_04.xlsx&amp;sheet=A0&amp;row=131&amp;col=7&amp;number=0&amp;sourceID=14","0")</f>
        <v>0</v>
      </c>
    </row>
    <row r="132" spans="1:7">
      <c r="A132" s="3">
        <v>14</v>
      </c>
      <c r="B132" s="3">
        <v>4</v>
      </c>
      <c r="C132" s="3">
        <v>40</v>
      </c>
      <c r="D132" s="3">
        <v>3</v>
      </c>
      <c r="E132" s="3">
        <v>42.128</v>
      </c>
      <c r="F132" s="4" t="str">
        <f>HYPERLINK("http://141.218.60.56/~jnz1568/getInfo.php?workbook=14_04.xlsx&amp;sheet=A0&amp;row=132&amp;col=6&amp;number=42660000&amp;sourceID=14","42660000")</f>
        <v>42660000</v>
      </c>
      <c r="G132" s="4" t="str">
        <f>HYPERLINK("http://141.218.60.56/~jnz1568/getInfo.php?workbook=14_04.xlsx&amp;sheet=A0&amp;row=132&amp;col=7&amp;number=0&amp;sourceID=14","0")</f>
        <v>0</v>
      </c>
    </row>
    <row r="133" spans="1:7">
      <c r="A133" s="3">
        <v>14</v>
      </c>
      <c r="B133" s="3">
        <v>4</v>
      </c>
      <c r="C133" s="3">
        <v>41</v>
      </c>
      <c r="D133" s="3">
        <v>3</v>
      </c>
      <c r="E133" s="3">
        <v>41.935</v>
      </c>
      <c r="F133" s="4" t="str">
        <f>HYPERLINK("http://141.218.60.56/~jnz1568/getInfo.php?workbook=14_04.xlsx&amp;sheet=A0&amp;row=133&amp;col=6&amp;number=45920000&amp;sourceID=14","45920000")</f>
        <v>45920000</v>
      </c>
      <c r="G133" s="4" t="str">
        <f>HYPERLINK("http://141.218.60.56/~jnz1568/getInfo.php?workbook=14_04.xlsx&amp;sheet=A0&amp;row=133&amp;col=7&amp;number=0&amp;sourceID=14","0")</f>
        <v>0</v>
      </c>
    </row>
    <row r="134" spans="1:7">
      <c r="A134" s="3">
        <v>14</v>
      </c>
      <c r="B134" s="3">
        <v>4</v>
      </c>
      <c r="C134" s="3">
        <v>42</v>
      </c>
      <c r="D134" s="3">
        <v>3</v>
      </c>
      <c r="E134" s="3">
        <v>41.987</v>
      </c>
      <c r="F134" s="4" t="str">
        <f>HYPERLINK("http://141.218.60.56/~jnz1568/getInfo.php?workbook=14_04.xlsx&amp;sheet=A0&amp;row=134&amp;col=6&amp;number=15540000&amp;sourceID=14","15540000")</f>
        <v>15540000</v>
      </c>
      <c r="G134" s="4" t="str">
        <f>HYPERLINK("http://141.218.60.56/~jnz1568/getInfo.php?workbook=14_04.xlsx&amp;sheet=A0&amp;row=134&amp;col=7&amp;number=0&amp;sourceID=14","0")</f>
        <v>0</v>
      </c>
    </row>
    <row r="135" spans="1:7">
      <c r="A135" s="3">
        <v>14</v>
      </c>
      <c r="B135" s="3">
        <v>4</v>
      </c>
      <c r="C135" s="3">
        <v>43</v>
      </c>
      <c r="D135" s="3">
        <v>3</v>
      </c>
      <c r="E135" s="3">
        <v>41.934</v>
      </c>
      <c r="F135" s="4" t="str">
        <f>HYPERLINK("http://141.218.60.56/~jnz1568/getInfo.php?workbook=14_04.xlsx&amp;sheet=A0&amp;row=135&amp;col=6&amp;number=0.5206&amp;sourceID=14","0.5206")</f>
        <v>0.5206</v>
      </c>
      <c r="G135" s="4" t="str">
        <f>HYPERLINK("http://141.218.60.56/~jnz1568/getInfo.php?workbook=14_04.xlsx&amp;sheet=A0&amp;row=135&amp;col=7&amp;number=0&amp;sourceID=14","0")</f>
        <v>0</v>
      </c>
    </row>
    <row r="136" spans="1:7">
      <c r="A136" s="3">
        <v>14</v>
      </c>
      <c r="B136" s="3">
        <v>4</v>
      </c>
      <c r="C136" s="3">
        <v>44</v>
      </c>
      <c r="D136" s="3">
        <v>3</v>
      </c>
      <c r="E136" s="3">
        <v>-41.62</v>
      </c>
      <c r="F136" s="4" t="str">
        <f>HYPERLINK("http://141.218.60.56/~jnz1568/getInfo.php?workbook=14_04.xlsx&amp;sheet=A0&amp;row=136&amp;col=6&amp;number=795600000&amp;sourceID=14","795600000")</f>
        <v>795600000</v>
      </c>
      <c r="G136" s="4" t="str">
        <f>HYPERLINK("http://141.218.60.56/~jnz1568/getInfo.php?workbook=14_04.xlsx&amp;sheet=A0&amp;row=136&amp;col=7&amp;number=0&amp;sourceID=14","0")</f>
        <v>0</v>
      </c>
    </row>
    <row r="137" spans="1:7">
      <c r="A137" s="3">
        <v>14</v>
      </c>
      <c r="B137" s="3">
        <v>4</v>
      </c>
      <c r="C137" s="3">
        <v>45</v>
      </c>
      <c r="D137" s="3">
        <v>3</v>
      </c>
      <c r="E137" s="3">
        <v>41.48</v>
      </c>
      <c r="F137" s="4" t="str">
        <f>HYPERLINK("http://141.218.60.56/~jnz1568/getInfo.php?workbook=14_04.xlsx&amp;sheet=A0&amp;row=137&amp;col=6&amp;number=431700&amp;sourceID=14","431700")</f>
        <v>431700</v>
      </c>
      <c r="G137" s="4" t="str">
        <f>HYPERLINK("http://141.218.60.56/~jnz1568/getInfo.php?workbook=14_04.xlsx&amp;sheet=A0&amp;row=137&amp;col=7&amp;number=0&amp;sourceID=14","0")</f>
        <v>0</v>
      </c>
    </row>
    <row r="138" spans="1:7">
      <c r="A138" s="3">
        <v>14</v>
      </c>
      <c r="B138" s="3">
        <v>4</v>
      </c>
      <c r="C138" s="3">
        <v>46</v>
      </c>
      <c r="D138" s="3">
        <v>3</v>
      </c>
      <c r="E138" s="3">
        <v>41.465</v>
      </c>
      <c r="F138" s="4" t="str">
        <f>HYPERLINK("http://141.218.60.56/~jnz1568/getInfo.php?workbook=14_04.xlsx&amp;sheet=A0&amp;row=138&amp;col=6&amp;number=788500&amp;sourceID=14","788500")</f>
        <v>788500</v>
      </c>
      <c r="G138" s="4" t="str">
        <f>HYPERLINK("http://141.218.60.56/~jnz1568/getInfo.php?workbook=14_04.xlsx&amp;sheet=A0&amp;row=138&amp;col=7&amp;number=0&amp;sourceID=14","0")</f>
        <v>0</v>
      </c>
    </row>
    <row r="139" spans="1:7">
      <c r="A139" s="3">
        <v>14</v>
      </c>
      <c r="B139" s="3">
        <v>4</v>
      </c>
      <c r="C139" s="3">
        <v>47</v>
      </c>
      <c r="D139" s="3">
        <v>3</v>
      </c>
      <c r="E139" s="3">
        <v>36.17</v>
      </c>
      <c r="F139" s="4" t="str">
        <f>HYPERLINK("http://141.218.60.56/~jnz1568/getInfo.php?workbook=14_04.xlsx&amp;sheet=A0&amp;row=139&amp;col=6&amp;number=29730000000&amp;sourceID=14","29730000000")</f>
        <v>29730000000</v>
      </c>
      <c r="G139" s="4" t="str">
        <f>HYPERLINK("http://141.218.60.56/~jnz1568/getInfo.php?workbook=14_04.xlsx&amp;sheet=A0&amp;row=139&amp;col=7&amp;number=0&amp;sourceID=14","0")</f>
        <v>0</v>
      </c>
    </row>
    <row r="140" spans="1:7">
      <c r="A140" s="3">
        <v>14</v>
      </c>
      <c r="B140" s="3">
        <v>4</v>
      </c>
      <c r="C140" s="3">
        <v>48</v>
      </c>
      <c r="D140" s="3">
        <v>3</v>
      </c>
      <c r="E140" s="3">
        <v>36.153</v>
      </c>
      <c r="F140" s="4" t="str">
        <f>HYPERLINK("http://141.218.60.56/~jnz1568/getInfo.php?workbook=14_04.xlsx&amp;sheet=A0&amp;row=140&amp;col=6&amp;number=7811000&amp;sourceID=14","7811000")</f>
        <v>7811000</v>
      </c>
      <c r="G140" s="4" t="str">
        <f>HYPERLINK("http://141.218.60.56/~jnz1568/getInfo.php?workbook=14_04.xlsx&amp;sheet=A0&amp;row=140&amp;col=7&amp;number=0&amp;sourceID=14","0")</f>
        <v>0</v>
      </c>
    </row>
    <row r="141" spans="1:7">
      <c r="A141" s="3">
        <v>14</v>
      </c>
      <c r="B141" s="3">
        <v>4</v>
      </c>
      <c r="C141" s="3">
        <v>49</v>
      </c>
      <c r="D141" s="3">
        <v>3</v>
      </c>
      <c r="E141" s="3">
        <v>35.54</v>
      </c>
      <c r="F141" s="4" t="str">
        <f>HYPERLINK("http://141.218.60.56/~jnz1568/getInfo.php?workbook=14_04.xlsx&amp;sheet=A0&amp;row=141&amp;col=6&amp;number=94.78&amp;sourceID=14","94.78")</f>
        <v>94.78</v>
      </c>
      <c r="G141" s="4" t="str">
        <f>HYPERLINK("http://141.218.60.56/~jnz1568/getInfo.php?workbook=14_04.xlsx&amp;sheet=A0&amp;row=141&amp;col=7&amp;number=0&amp;sourceID=14","0")</f>
        <v>0</v>
      </c>
    </row>
    <row r="142" spans="1:7">
      <c r="A142" s="3">
        <v>14</v>
      </c>
      <c r="B142" s="3">
        <v>4</v>
      </c>
      <c r="C142" s="3">
        <v>50</v>
      </c>
      <c r="D142" s="3">
        <v>3</v>
      </c>
      <c r="E142" s="3">
        <v>35.54</v>
      </c>
      <c r="F142" s="4" t="str">
        <f>HYPERLINK("http://141.218.60.56/~jnz1568/getInfo.php?workbook=14_04.xlsx&amp;sheet=A0&amp;row=142&amp;col=6&amp;number=7571000&amp;sourceID=14","7571000")</f>
        <v>7571000</v>
      </c>
      <c r="G142" s="4" t="str">
        <f>HYPERLINK("http://141.218.60.56/~jnz1568/getInfo.php?workbook=14_04.xlsx&amp;sheet=A0&amp;row=142&amp;col=7&amp;number=0&amp;sourceID=14","0")</f>
        <v>0</v>
      </c>
    </row>
    <row r="143" spans="1:7">
      <c r="A143" s="3">
        <v>14</v>
      </c>
      <c r="B143" s="3">
        <v>4</v>
      </c>
      <c r="C143" s="3">
        <v>51</v>
      </c>
      <c r="D143" s="3">
        <v>3</v>
      </c>
      <c r="E143" s="3">
        <v>35.531</v>
      </c>
      <c r="F143" s="4" t="str">
        <f>HYPERLINK("http://141.218.60.56/~jnz1568/getInfo.php?workbook=14_04.xlsx&amp;sheet=A0&amp;row=143&amp;col=6&amp;number=13940000&amp;sourceID=14","13940000")</f>
        <v>13940000</v>
      </c>
      <c r="G143" s="4" t="str">
        <f>HYPERLINK("http://141.218.60.56/~jnz1568/getInfo.php?workbook=14_04.xlsx&amp;sheet=A0&amp;row=143&amp;col=7&amp;number=0&amp;sourceID=14","0")</f>
        <v>0</v>
      </c>
    </row>
    <row r="144" spans="1:7">
      <c r="A144" s="3">
        <v>14</v>
      </c>
      <c r="B144" s="3">
        <v>4</v>
      </c>
      <c r="C144" s="3">
        <v>52</v>
      </c>
      <c r="D144" s="3">
        <v>3</v>
      </c>
      <c r="E144" s="3">
        <v>35.584</v>
      </c>
      <c r="F144" s="4" t="str">
        <f>HYPERLINK("http://141.218.60.56/~jnz1568/getInfo.php?workbook=14_04.xlsx&amp;sheet=A0&amp;row=144&amp;col=6&amp;number=165400&amp;sourceID=14","165400")</f>
        <v>165400</v>
      </c>
      <c r="G144" s="4" t="str">
        <f>HYPERLINK("http://141.218.60.56/~jnz1568/getInfo.php?workbook=14_04.xlsx&amp;sheet=A0&amp;row=144&amp;col=7&amp;number=0&amp;sourceID=14","0")</f>
        <v>0</v>
      </c>
    </row>
    <row r="145" spans="1:7">
      <c r="A145" s="3">
        <v>14</v>
      </c>
      <c r="B145" s="3">
        <v>4</v>
      </c>
      <c r="C145" s="3">
        <v>53</v>
      </c>
      <c r="D145" s="3">
        <v>3</v>
      </c>
      <c r="E145" s="3">
        <v>35.383</v>
      </c>
      <c r="F145" s="4" t="str">
        <f>HYPERLINK("http://141.218.60.56/~jnz1568/getInfo.php?workbook=14_04.xlsx&amp;sheet=A0&amp;row=145&amp;col=6&amp;number=174900000000&amp;sourceID=14","174900000000")</f>
        <v>174900000000</v>
      </c>
      <c r="G145" s="4" t="str">
        <f>HYPERLINK("http://141.218.60.56/~jnz1568/getInfo.php?workbook=14_04.xlsx&amp;sheet=A0&amp;row=145&amp;col=7&amp;number=0&amp;sourceID=14","0")</f>
        <v>0</v>
      </c>
    </row>
    <row r="146" spans="1:7">
      <c r="A146" s="3">
        <v>14</v>
      </c>
      <c r="B146" s="3">
        <v>4</v>
      </c>
      <c r="C146" s="3">
        <v>54</v>
      </c>
      <c r="D146" s="3">
        <v>3</v>
      </c>
      <c r="E146" s="3">
        <v>35.383</v>
      </c>
      <c r="F146" s="4" t="str">
        <f>HYPERLINK("http://141.218.60.56/~jnz1568/getInfo.php?workbook=14_04.xlsx&amp;sheet=A0&amp;row=146&amp;col=6&amp;number=315000000000&amp;sourceID=14","315000000000")</f>
        <v>315000000000</v>
      </c>
      <c r="G146" s="4" t="str">
        <f>HYPERLINK("http://141.218.60.56/~jnz1568/getInfo.php?workbook=14_04.xlsx&amp;sheet=A0&amp;row=146&amp;col=7&amp;number=0&amp;sourceID=14","0")</f>
        <v>0</v>
      </c>
    </row>
    <row r="147" spans="1:7">
      <c r="A147" s="3">
        <v>14</v>
      </c>
      <c r="B147" s="3">
        <v>4</v>
      </c>
      <c r="C147" s="3">
        <v>56</v>
      </c>
      <c r="D147" s="3">
        <v>3</v>
      </c>
      <c r="E147" s="3">
        <v>35.239</v>
      </c>
      <c r="F147" s="4" t="str">
        <f>HYPERLINK("http://141.218.60.56/~jnz1568/getInfo.php?workbook=14_04.xlsx&amp;sheet=A0&amp;row=147&amp;col=6&amp;number=51740000&amp;sourceID=14","51740000")</f>
        <v>51740000</v>
      </c>
      <c r="G147" s="4" t="str">
        <f>HYPERLINK("http://141.218.60.56/~jnz1568/getInfo.php?workbook=14_04.xlsx&amp;sheet=A0&amp;row=147&amp;col=7&amp;number=0&amp;sourceID=14","0")</f>
        <v>0</v>
      </c>
    </row>
    <row r="148" spans="1:7">
      <c r="A148" s="3">
        <v>14</v>
      </c>
      <c r="B148" s="3">
        <v>4</v>
      </c>
      <c r="C148" s="3">
        <v>57</v>
      </c>
      <c r="D148" s="3">
        <v>3</v>
      </c>
      <c r="E148" s="3">
        <v>-33.604</v>
      </c>
      <c r="F148" s="4" t="str">
        <f>HYPERLINK("http://141.218.60.56/~jnz1568/getInfo.php?workbook=14_04.xlsx&amp;sheet=A0&amp;row=148&amp;col=6&amp;number=0.117&amp;sourceID=14","0.117")</f>
        <v>0.117</v>
      </c>
      <c r="G148" s="4" t="str">
        <f>HYPERLINK("http://141.218.60.56/~jnz1568/getInfo.php?workbook=14_04.xlsx&amp;sheet=A0&amp;row=148&amp;col=7&amp;number=0&amp;sourceID=14","0")</f>
        <v>0</v>
      </c>
    </row>
    <row r="149" spans="1:7">
      <c r="A149" s="3">
        <v>14</v>
      </c>
      <c r="B149" s="3">
        <v>4</v>
      </c>
      <c r="C149" s="3">
        <v>58</v>
      </c>
      <c r="D149" s="3">
        <v>3</v>
      </c>
      <c r="E149" s="3">
        <v>-33.587</v>
      </c>
      <c r="F149" s="4" t="str">
        <f>HYPERLINK("http://141.218.60.56/~jnz1568/getInfo.php?workbook=14_04.xlsx&amp;sheet=A0&amp;row=149&amp;col=6&amp;number=194.8&amp;sourceID=14","194.8")</f>
        <v>194.8</v>
      </c>
      <c r="G149" s="4" t="str">
        <f>HYPERLINK("http://141.218.60.56/~jnz1568/getInfo.php?workbook=14_04.xlsx&amp;sheet=A0&amp;row=149&amp;col=7&amp;number=0&amp;sourceID=14","0")</f>
        <v>0</v>
      </c>
    </row>
    <row r="150" spans="1:7">
      <c r="A150" s="3">
        <v>14</v>
      </c>
      <c r="B150" s="3">
        <v>4</v>
      </c>
      <c r="C150" s="3">
        <v>59</v>
      </c>
      <c r="D150" s="3">
        <v>3</v>
      </c>
      <c r="E150" s="3">
        <v>33.589</v>
      </c>
      <c r="F150" s="4" t="str">
        <f>HYPERLINK("http://141.218.60.56/~jnz1568/getInfo.php?workbook=14_04.xlsx&amp;sheet=A0&amp;row=150&amp;col=6&amp;number=618.9&amp;sourceID=14","618.9")</f>
        <v>618.9</v>
      </c>
      <c r="G150" s="4" t="str">
        <f>HYPERLINK("http://141.218.60.56/~jnz1568/getInfo.php?workbook=14_04.xlsx&amp;sheet=A0&amp;row=150&amp;col=7&amp;number=0&amp;sourceID=14","0")</f>
        <v>0</v>
      </c>
    </row>
    <row r="151" spans="1:7">
      <c r="A151" s="3">
        <v>14</v>
      </c>
      <c r="B151" s="3">
        <v>4</v>
      </c>
      <c r="C151" s="3">
        <v>60</v>
      </c>
      <c r="D151" s="3">
        <v>3</v>
      </c>
      <c r="E151" s="3">
        <v>-33.443</v>
      </c>
      <c r="F151" s="4" t="str">
        <f>HYPERLINK("http://141.218.60.56/~jnz1568/getInfo.php?workbook=14_04.xlsx&amp;sheet=A0&amp;row=151&amp;col=6&amp;number=11.01&amp;sourceID=14","11.01")</f>
        <v>11.01</v>
      </c>
      <c r="G151" s="4" t="str">
        <f>HYPERLINK("http://141.218.60.56/~jnz1568/getInfo.php?workbook=14_04.xlsx&amp;sheet=A0&amp;row=151&amp;col=7&amp;number=0&amp;sourceID=14","0")</f>
        <v>0</v>
      </c>
    </row>
    <row r="152" spans="1:7">
      <c r="A152" s="3">
        <v>14</v>
      </c>
      <c r="B152" s="3">
        <v>4</v>
      </c>
      <c r="C152" s="3">
        <v>61</v>
      </c>
      <c r="D152" s="3">
        <v>3</v>
      </c>
      <c r="E152" s="3">
        <v>-33.31</v>
      </c>
      <c r="F152" s="4" t="str">
        <f>HYPERLINK("http://141.218.60.56/~jnz1568/getInfo.php?workbook=14_04.xlsx&amp;sheet=A0&amp;row=152&amp;col=6&amp;number=345400000&amp;sourceID=14","345400000")</f>
        <v>345400000</v>
      </c>
      <c r="G152" s="4" t="str">
        <f>HYPERLINK("http://141.218.60.56/~jnz1568/getInfo.php?workbook=14_04.xlsx&amp;sheet=A0&amp;row=152&amp;col=7&amp;number=0&amp;sourceID=14","0")</f>
        <v>0</v>
      </c>
    </row>
    <row r="153" spans="1:7">
      <c r="A153" s="3">
        <v>14</v>
      </c>
      <c r="B153" s="3">
        <v>4</v>
      </c>
      <c r="C153" s="3">
        <v>62</v>
      </c>
      <c r="D153" s="3">
        <v>3</v>
      </c>
      <c r="E153" s="3">
        <v>-33.359</v>
      </c>
      <c r="F153" s="4" t="str">
        <f>HYPERLINK("http://141.218.60.56/~jnz1568/getInfo.php?workbook=14_04.xlsx&amp;sheet=A0&amp;row=153&amp;col=6&amp;number=45790000000&amp;sourceID=14","45790000000")</f>
        <v>45790000000</v>
      </c>
      <c r="G153" s="4" t="str">
        <f>HYPERLINK("http://141.218.60.56/~jnz1568/getInfo.php?workbook=14_04.xlsx&amp;sheet=A0&amp;row=153&amp;col=7&amp;number=0&amp;sourceID=14","0")</f>
        <v>0</v>
      </c>
    </row>
    <row r="154" spans="1:7">
      <c r="A154" s="3">
        <v>14</v>
      </c>
      <c r="B154" s="3">
        <v>4</v>
      </c>
      <c r="C154" s="3">
        <v>63</v>
      </c>
      <c r="D154" s="3">
        <v>3</v>
      </c>
      <c r="E154" s="3">
        <v>-33.307</v>
      </c>
      <c r="F154" s="4" t="str">
        <f>HYPERLINK("http://141.218.60.56/~jnz1568/getInfo.php?workbook=14_04.xlsx&amp;sheet=A0&amp;row=154&amp;col=6&amp;number=117800000000&amp;sourceID=14","117800000000")</f>
        <v>117800000000</v>
      </c>
      <c r="G154" s="4" t="str">
        <f>HYPERLINK("http://141.218.60.56/~jnz1568/getInfo.php?workbook=14_04.xlsx&amp;sheet=A0&amp;row=154&amp;col=7&amp;number=0&amp;sourceID=14","0")</f>
        <v>0</v>
      </c>
    </row>
    <row r="155" spans="1:7">
      <c r="A155" s="3">
        <v>14</v>
      </c>
      <c r="B155" s="3">
        <v>4</v>
      </c>
      <c r="C155" s="3">
        <v>65</v>
      </c>
      <c r="D155" s="3">
        <v>3</v>
      </c>
      <c r="E155" s="3">
        <v>-33.227</v>
      </c>
      <c r="F155" s="4" t="str">
        <f>HYPERLINK("http://141.218.60.56/~jnz1568/getInfo.php?workbook=14_04.xlsx&amp;sheet=A0&amp;row=155&amp;col=6&amp;number=107300000000&amp;sourceID=14","107300000000")</f>
        <v>107300000000</v>
      </c>
      <c r="G155" s="4" t="str">
        <f>HYPERLINK("http://141.218.60.56/~jnz1568/getInfo.php?workbook=14_04.xlsx&amp;sheet=A0&amp;row=155&amp;col=7&amp;number=0&amp;sourceID=14","0")</f>
        <v>0</v>
      </c>
    </row>
    <row r="156" spans="1:7">
      <c r="A156" s="3">
        <v>14</v>
      </c>
      <c r="B156" s="3">
        <v>4</v>
      </c>
      <c r="C156" s="3">
        <v>66</v>
      </c>
      <c r="D156" s="3">
        <v>3</v>
      </c>
      <c r="E156" s="3">
        <v>-33.229</v>
      </c>
      <c r="F156" s="4" t="str">
        <f>HYPERLINK("http://141.218.60.56/~jnz1568/getInfo.php?workbook=14_04.xlsx&amp;sheet=A0&amp;row=156&amp;col=6&amp;number=152500000000&amp;sourceID=14","152500000000")</f>
        <v>152500000000</v>
      </c>
      <c r="G156" s="4" t="str">
        <f>HYPERLINK("http://141.218.60.56/~jnz1568/getInfo.php?workbook=14_04.xlsx&amp;sheet=A0&amp;row=156&amp;col=7&amp;number=0&amp;sourceID=14","0")</f>
        <v>0</v>
      </c>
    </row>
    <row r="157" spans="1:7">
      <c r="A157" s="3">
        <v>14</v>
      </c>
      <c r="B157" s="3">
        <v>4</v>
      </c>
      <c r="C157" s="3">
        <v>67</v>
      </c>
      <c r="D157" s="3">
        <v>3</v>
      </c>
      <c r="E157" s="3">
        <v>-33.179</v>
      </c>
      <c r="F157" s="4" t="str">
        <f>HYPERLINK("http://141.218.60.56/~jnz1568/getInfo.php?workbook=14_04.xlsx&amp;sheet=A0&amp;row=157&amp;col=6&amp;number=966100000&amp;sourceID=14","966100000")</f>
        <v>966100000</v>
      </c>
      <c r="G157" s="4" t="str">
        <f>HYPERLINK("http://141.218.60.56/~jnz1568/getInfo.php?workbook=14_04.xlsx&amp;sheet=A0&amp;row=157&amp;col=7&amp;number=0&amp;sourceID=14","0")</f>
        <v>0</v>
      </c>
    </row>
    <row r="158" spans="1:7">
      <c r="A158" s="3">
        <v>14</v>
      </c>
      <c r="B158" s="3">
        <v>4</v>
      </c>
      <c r="C158" s="3">
        <v>68</v>
      </c>
      <c r="D158" s="3">
        <v>3</v>
      </c>
      <c r="E158" s="3">
        <v>-33.171</v>
      </c>
      <c r="F158" s="4" t="str">
        <f>HYPERLINK("http://141.218.60.56/~jnz1568/getInfo.php?workbook=14_04.xlsx&amp;sheet=A0&amp;row=158&amp;col=6&amp;number=13970000000&amp;sourceID=14","13970000000")</f>
        <v>13970000000</v>
      </c>
      <c r="G158" s="4" t="str">
        <f>HYPERLINK("http://141.218.60.56/~jnz1568/getInfo.php?workbook=14_04.xlsx&amp;sheet=A0&amp;row=158&amp;col=7&amp;number=0&amp;sourceID=14","0")</f>
        <v>0</v>
      </c>
    </row>
    <row r="159" spans="1:7">
      <c r="A159" s="3">
        <v>14</v>
      </c>
      <c r="B159" s="3">
        <v>4</v>
      </c>
      <c r="C159" s="3">
        <v>69</v>
      </c>
      <c r="D159" s="3">
        <v>3</v>
      </c>
      <c r="E159" s="3">
        <v>-33.162</v>
      </c>
      <c r="F159" s="4" t="str">
        <f>HYPERLINK("http://141.218.60.56/~jnz1568/getInfo.php?workbook=14_04.xlsx&amp;sheet=A0&amp;row=159&amp;col=6&amp;number=15960000&amp;sourceID=14","15960000")</f>
        <v>15960000</v>
      </c>
      <c r="G159" s="4" t="str">
        <f>HYPERLINK("http://141.218.60.56/~jnz1568/getInfo.php?workbook=14_04.xlsx&amp;sheet=A0&amp;row=159&amp;col=7&amp;number=0&amp;sourceID=14","0")</f>
        <v>0</v>
      </c>
    </row>
    <row r="160" spans="1:7">
      <c r="A160" s="3">
        <v>14</v>
      </c>
      <c r="B160" s="3">
        <v>4</v>
      </c>
      <c r="C160" s="3">
        <v>70</v>
      </c>
      <c r="D160" s="3">
        <v>3</v>
      </c>
      <c r="E160" s="3">
        <v>-33.124</v>
      </c>
      <c r="F160" s="4" t="str">
        <f>HYPERLINK("http://141.218.60.56/~jnz1568/getInfo.php?workbook=14_04.xlsx&amp;sheet=A0&amp;row=160&amp;col=6&amp;number=34820000&amp;sourceID=14","34820000")</f>
        <v>34820000</v>
      </c>
      <c r="G160" s="4" t="str">
        <f>HYPERLINK("http://141.218.60.56/~jnz1568/getInfo.php?workbook=14_04.xlsx&amp;sheet=A0&amp;row=160&amp;col=7&amp;number=0&amp;sourceID=14","0")</f>
        <v>0</v>
      </c>
    </row>
    <row r="161" spans="1:7">
      <c r="A161" s="3">
        <v>14</v>
      </c>
      <c r="B161" s="3">
        <v>4</v>
      </c>
      <c r="C161" s="3">
        <v>71</v>
      </c>
      <c r="D161" s="3">
        <v>3</v>
      </c>
      <c r="E161" s="3">
        <v>-33.108</v>
      </c>
      <c r="F161" s="4" t="str">
        <f>HYPERLINK("http://141.218.60.56/~jnz1568/getInfo.php?workbook=14_04.xlsx&amp;sheet=A0&amp;row=161&amp;col=6&amp;number=56740&amp;sourceID=14","56740")</f>
        <v>56740</v>
      </c>
      <c r="G161" s="4" t="str">
        <f>HYPERLINK("http://141.218.60.56/~jnz1568/getInfo.php?workbook=14_04.xlsx&amp;sheet=A0&amp;row=161&amp;col=7&amp;number=0&amp;sourceID=14","0")</f>
        <v>0</v>
      </c>
    </row>
    <row r="162" spans="1:7">
      <c r="A162" s="3">
        <v>14</v>
      </c>
      <c r="B162" s="3">
        <v>4</v>
      </c>
      <c r="C162" s="3">
        <v>72</v>
      </c>
      <c r="D162" s="3">
        <v>3</v>
      </c>
      <c r="E162" s="3">
        <v>-33.085</v>
      </c>
      <c r="F162" s="4" t="str">
        <f>HYPERLINK("http://141.218.60.56/~jnz1568/getInfo.php?workbook=14_04.xlsx&amp;sheet=A0&amp;row=162&amp;col=6&amp;number=5475000000&amp;sourceID=14","5475000000")</f>
        <v>5475000000</v>
      </c>
      <c r="G162" s="4" t="str">
        <f>HYPERLINK("http://141.218.60.56/~jnz1568/getInfo.php?workbook=14_04.xlsx&amp;sheet=A0&amp;row=162&amp;col=7&amp;number=0&amp;sourceID=14","0")</f>
        <v>0</v>
      </c>
    </row>
    <row r="163" spans="1:7">
      <c r="A163" s="3">
        <v>14</v>
      </c>
      <c r="B163" s="3">
        <v>4</v>
      </c>
      <c r="C163" s="3">
        <v>74</v>
      </c>
      <c r="D163" s="3">
        <v>3</v>
      </c>
      <c r="E163" s="3">
        <v>-33.054</v>
      </c>
      <c r="F163" s="4" t="str">
        <f>HYPERLINK("http://141.218.60.56/~jnz1568/getInfo.php?workbook=14_04.xlsx&amp;sheet=A0&amp;row=163&amp;col=6&amp;number=34100000&amp;sourceID=14","34100000")</f>
        <v>34100000</v>
      </c>
      <c r="G163" s="4" t="str">
        <f>HYPERLINK("http://141.218.60.56/~jnz1568/getInfo.php?workbook=14_04.xlsx&amp;sheet=A0&amp;row=163&amp;col=7&amp;number=0&amp;sourceID=14","0")</f>
        <v>0</v>
      </c>
    </row>
    <row r="164" spans="1:7">
      <c r="A164" s="3">
        <v>14</v>
      </c>
      <c r="B164" s="3">
        <v>4</v>
      </c>
      <c r="C164" s="3">
        <v>75</v>
      </c>
      <c r="D164" s="3">
        <v>3</v>
      </c>
      <c r="E164" s="3">
        <v>-33.033</v>
      </c>
      <c r="F164" s="4" t="str">
        <f>HYPERLINK("http://141.218.60.56/~jnz1568/getInfo.php?workbook=14_04.xlsx&amp;sheet=A0&amp;row=164&amp;col=6&amp;number=19600000&amp;sourceID=14","19600000")</f>
        <v>19600000</v>
      </c>
      <c r="G164" s="4" t="str">
        <f>HYPERLINK("http://141.218.60.56/~jnz1568/getInfo.php?workbook=14_04.xlsx&amp;sheet=A0&amp;row=164&amp;col=7&amp;number=0&amp;sourceID=14","0")</f>
        <v>0</v>
      </c>
    </row>
    <row r="165" spans="1:7">
      <c r="A165" s="3">
        <v>14</v>
      </c>
      <c r="B165" s="3">
        <v>4</v>
      </c>
      <c r="C165" s="3">
        <v>76</v>
      </c>
      <c r="D165" s="3">
        <v>3</v>
      </c>
      <c r="E165" s="3">
        <v>32.978</v>
      </c>
      <c r="F165" s="4" t="str">
        <f>HYPERLINK("http://141.218.60.56/~jnz1568/getInfo.php?workbook=14_04.xlsx&amp;sheet=A0&amp;row=165&amp;col=6&amp;number=3364000&amp;sourceID=14","3364000")</f>
        <v>3364000</v>
      </c>
      <c r="G165" s="4" t="str">
        <f>HYPERLINK("http://141.218.60.56/~jnz1568/getInfo.php?workbook=14_04.xlsx&amp;sheet=A0&amp;row=165&amp;col=7&amp;number=0&amp;sourceID=14","0")</f>
        <v>0</v>
      </c>
    </row>
    <row r="166" spans="1:7">
      <c r="A166" s="3">
        <v>14</v>
      </c>
      <c r="B166" s="3">
        <v>4</v>
      </c>
      <c r="C166" s="3">
        <v>77</v>
      </c>
      <c r="D166" s="3">
        <v>3</v>
      </c>
      <c r="E166" s="3">
        <v>32.968</v>
      </c>
      <c r="F166" s="4" t="str">
        <f>HYPERLINK("http://141.218.60.56/~jnz1568/getInfo.php?workbook=14_04.xlsx&amp;sheet=A0&amp;row=166&amp;col=6&amp;number=5277000&amp;sourceID=14","5277000")</f>
        <v>5277000</v>
      </c>
      <c r="G166" s="4" t="str">
        <f>HYPERLINK("http://141.218.60.56/~jnz1568/getInfo.php?workbook=14_04.xlsx&amp;sheet=A0&amp;row=166&amp;col=7&amp;number=0&amp;sourceID=14","0")</f>
        <v>0</v>
      </c>
    </row>
    <row r="167" spans="1:7">
      <c r="A167" s="3">
        <v>14</v>
      </c>
      <c r="B167" s="3">
        <v>4</v>
      </c>
      <c r="C167" s="3">
        <v>78</v>
      </c>
      <c r="D167" s="3">
        <v>3</v>
      </c>
      <c r="E167" s="3">
        <v>-32.968</v>
      </c>
      <c r="F167" s="4" t="str">
        <f>HYPERLINK("http://141.218.60.56/~jnz1568/getInfo.php?workbook=14_04.xlsx&amp;sheet=A0&amp;row=167&amp;col=6&amp;number=1214000&amp;sourceID=14","1214000")</f>
        <v>1214000</v>
      </c>
      <c r="G167" s="4" t="str">
        <f>HYPERLINK("http://141.218.60.56/~jnz1568/getInfo.php?workbook=14_04.xlsx&amp;sheet=A0&amp;row=167&amp;col=7&amp;number=0&amp;sourceID=14","0")</f>
        <v>0</v>
      </c>
    </row>
    <row r="168" spans="1:7">
      <c r="A168" s="3">
        <v>14</v>
      </c>
      <c r="B168" s="3">
        <v>4</v>
      </c>
      <c r="C168" s="3">
        <v>79</v>
      </c>
      <c r="D168" s="3">
        <v>3</v>
      </c>
      <c r="E168" s="3">
        <v>-32.964</v>
      </c>
      <c r="F168" s="4" t="str">
        <f>HYPERLINK("http://141.218.60.56/~jnz1568/getInfo.php?workbook=14_04.xlsx&amp;sheet=A0&amp;row=168&amp;col=6&amp;number=0.04972&amp;sourceID=14","0.04972")</f>
        <v>0.04972</v>
      </c>
      <c r="G168" s="4" t="str">
        <f>HYPERLINK("http://141.218.60.56/~jnz1568/getInfo.php?workbook=14_04.xlsx&amp;sheet=A0&amp;row=168&amp;col=7&amp;number=0&amp;sourceID=14","0")</f>
        <v>0</v>
      </c>
    </row>
    <row r="169" spans="1:7">
      <c r="A169" s="3">
        <v>14</v>
      </c>
      <c r="B169" s="3">
        <v>4</v>
      </c>
      <c r="C169" s="3">
        <v>80</v>
      </c>
      <c r="D169" s="3">
        <v>3</v>
      </c>
      <c r="E169" s="3">
        <v>33.081</v>
      </c>
      <c r="F169" s="4" t="str">
        <f>HYPERLINK("http://141.218.60.56/~jnz1568/getInfo.php?workbook=14_04.xlsx&amp;sheet=A0&amp;row=169&amp;col=6&amp;number=3103000000&amp;sourceID=14","3103000000")</f>
        <v>3103000000</v>
      </c>
      <c r="G169" s="4" t="str">
        <f>HYPERLINK("http://141.218.60.56/~jnz1568/getInfo.php?workbook=14_04.xlsx&amp;sheet=A0&amp;row=169&amp;col=7&amp;number=0&amp;sourceID=14","0")</f>
        <v>0</v>
      </c>
    </row>
    <row r="170" spans="1:7">
      <c r="A170" s="3">
        <v>14</v>
      </c>
      <c r="B170" s="3">
        <v>4</v>
      </c>
      <c r="C170" s="3">
        <v>81</v>
      </c>
      <c r="D170" s="3">
        <v>3</v>
      </c>
      <c r="E170" s="3">
        <v>32.859</v>
      </c>
      <c r="F170" s="4" t="str">
        <f>HYPERLINK("http://141.218.60.56/~jnz1568/getInfo.php?workbook=14_04.xlsx&amp;sheet=A0&amp;row=170&amp;col=6&amp;number=890400&amp;sourceID=14","890400")</f>
        <v>890400</v>
      </c>
      <c r="G170" s="4" t="str">
        <f>HYPERLINK("http://141.218.60.56/~jnz1568/getInfo.php?workbook=14_04.xlsx&amp;sheet=A0&amp;row=170&amp;col=7&amp;number=0&amp;sourceID=14","0")</f>
        <v>0</v>
      </c>
    </row>
    <row r="171" spans="1:7">
      <c r="A171" s="3">
        <v>14</v>
      </c>
      <c r="B171" s="3">
        <v>4</v>
      </c>
      <c r="C171" s="3">
        <v>82</v>
      </c>
      <c r="D171" s="3">
        <v>3</v>
      </c>
      <c r="E171" s="3">
        <v>-32.835</v>
      </c>
      <c r="F171" s="4" t="str">
        <f>HYPERLINK("http://141.218.60.56/~jnz1568/getInfo.php?workbook=14_04.xlsx&amp;sheet=A0&amp;row=171&amp;col=6&amp;number=1248000&amp;sourceID=14","1248000")</f>
        <v>1248000</v>
      </c>
      <c r="G171" s="4" t="str">
        <f>HYPERLINK("http://141.218.60.56/~jnz1568/getInfo.php?workbook=14_04.xlsx&amp;sheet=A0&amp;row=171&amp;col=7&amp;number=0&amp;sourceID=14","0")</f>
        <v>0</v>
      </c>
    </row>
    <row r="172" spans="1:7">
      <c r="A172" s="3">
        <v>14</v>
      </c>
      <c r="B172" s="3">
        <v>4</v>
      </c>
      <c r="C172" s="3">
        <v>83</v>
      </c>
      <c r="D172" s="3">
        <v>3</v>
      </c>
      <c r="E172" s="3">
        <v>-32.191</v>
      </c>
      <c r="F172" s="4" t="str">
        <f>HYPERLINK("http://141.218.60.56/~jnz1568/getInfo.php?workbook=14_04.xlsx&amp;sheet=A0&amp;row=172&amp;col=6&amp;number=13130000000&amp;sourceID=14","13130000000")</f>
        <v>13130000000</v>
      </c>
      <c r="G172" s="4" t="str">
        <f>HYPERLINK("http://141.218.60.56/~jnz1568/getInfo.php?workbook=14_04.xlsx&amp;sheet=A0&amp;row=172&amp;col=7&amp;number=0&amp;sourceID=14","0")</f>
        <v>0</v>
      </c>
    </row>
    <row r="173" spans="1:7">
      <c r="A173" s="3">
        <v>14</v>
      </c>
      <c r="B173" s="3">
        <v>4</v>
      </c>
      <c r="C173" s="3">
        <v>84</v>
      </c>
      <c r="D173" s="3">
        <v>3</v>
      </c>
      <c r="E173" s="3">
        <v>-32.117</v>
      </c>
      <c r="F173" s="4" t="str">
        <f>HYPERLINK("http://141.218.60.56/~jnz1568/getInfo.php?workbook=14_04.xlsx&amp;sheet=A0&amp;row=173&amp;col=6&amp;number=438800&amp;sourceID=14","438800")</f>
        <v>438800</v>
      </c>
      <c r="G173" s="4" t="str">
        <f>HYPERLINK("http://141.218.60.56/~jnz1568/getInfo.php?workbook=14_04.xlsx&amp;sheet=A0&amp;row=173&amp;col=7&amp;number=0&amp;sourceID=14","0")</f>
        <v>0</v>
      </c>
    </row>
    <row r="174" spans="1:7">
      <c r="A174" s="3">
        <v>14</v>
      </c>
      <c r="B174" s="3">
        <v>4</v>
      </c>
      <c r="C174" s="3">
        <v>85</v>
      </c>
      <c r="D174" s="3">
        <v>3</v>
      </c>
      <c r="E174" s="3">
        <v>-32.042</v>
      </c>
      <c r="F174" s="4" t="str">
        <f>HYPERLINK("http://141.218.60.56/~jnz1568/getInfo.php?workbook=14_04.xlsx&amp;sheet=A0&amp;row=174&amp;col=6&amp;number=51.14&amp;sourceID=14","51.14")</f>
        <v>51.14</v>
      </c>
      <c r="G174" s="4" t="str">
        <f>HYPERLINK("http://141.218.60.56/~jnz1568/getInfo.php?workbook=14_04.xlsx&amp;sheet=A0&amp;row=174&amp;col=7&amp;number=0&amp;sourceID=14","0")</f>
        <v>0</v>
      </c>
    </row>
    <row r="175" spans="1:7">
      <c r="A175" s="3">
        <v>14</v>
      </c>
      <c r="B175" s="3">
        <v>4</v>
      </c>
      <c r="C175" s="3">
        <v>86</v>
      </c>
      <c r="D175" s="3">
        <v>3</v>
      </c>
      <c r="E175" s="3">
        <v>-32.04</v>
      </c>
      <c r="F175" s="4" t="str">
        <f>HYPERLINK("http://141.218.60.56/~jnz1568/getInfo.php?workbook=14_04.xlsx&amp;sheet=A0&amp;row=175&amp;col=6&amp;number=10080000&amp;sourceID=14","10080000")</f>
        <v>10080000</v>
      </c>
      <c r="G175" s="4" t="str">
        <f>HYPERLINK("http://141.218.60.56/~jnz1568/getInfo.php?workbook=14_04.xlsx&amp;sheet=A0&amp;row=175&amp;col=7&amp;number=0&amp;sourceID=14","0")</f>
        <v>0</v>
      </c>
    </row>
    <row r="176" spans="1:7">
      <c r="A176" s="3">
        <v>14</v>
      </c>
      <c r="B176" s="3">
        <v>4</v>
      </c>
      <c r="C176" s="3">
        <v>87</v>
      </c>
      <c r="D176" s="3">
        <v>3</v>
      </c>
      <c r="E176" s="3">
        <v>31.973</v>
      </c>
      <c r="F176" s="4" t="str">
        <f>HYPERLINK("http://141.218.60.56/~jnz1568/getInfo.php?workbook=14_04.xlsx&amp;sheet=A0&amp;row=176&amp;col=6&amp;number=18480000&amp;sourceID=14","18480000")</f>
        <v>18480000</v>
      </c>
      <c r="G176" s="4" t="str">
        <f>HYPERLINK("http://141.218.60.56/~jnz1568/getInfo.php?workbook=14_04.xlsx&amp;sheet=A0&amp;row=176&amp;col=7&amp;number=0&amp;sourceID=14","0")</f>
        <v>0</v>
      </c>
    </row>
    <row r="177" spans="1:7">
      <c r="A177" s="3">
        <v>14</v>
      </c>
      <c r="B177" s="3">
        <v>4</v>
      </c>
      <c r="C177" s="3">
        <v>88</v>
      </c>
      <c r="D177" s="3">
        <v>3</v>
      </c>
      <c r="E177" s="3">
        <v>-32.011</v>
      </c>
      <c r="F177" s="4" t="str">
        <f>HYPERLINK("http://141.218.60.56/~jnz1568/getInfo.php?workbook=14_04.xlsx&amp;sheet=A0&amp;row=177&amp;col=6&amp;number=31590&amp;sourceID=14","31590")</f>
        <v>31590</v>
      </c>
      <c r="G177" s="4" t="str">
        <f>HYPERLINK("http://141.218.60.56/~jnz1568/getInfo.php?workbook=14_04.xlsx&amp;sheet=A0&amp;row=177&amp;col=7&amp;number=0&amp;sourceID=14","0")</f>
        <v>0</v>
      </c>
    </row>
    <row r="178" spans="1:7">
      <c r="A178" s="3">
        <v>14</v>
      </c>
      <c r="B178" s="3">
        <v>4</v>
      </c>
      <c r="C178" s="3">
        <v>89</v>
      </c>
      <c r="D178" s="3">
        <v>3</v>
      </c>
      <c r="E178" s="3">
        <v>-31.954</v>
      </c>
      <c r="F178" s="4" t="str">
        <f>HYPERLINK("http://141.218.60.56/~jnz1568/getInfo.php?workbook=14_04.xlsx&amp;sheet=A0&amp;row=178&amp;col=6&amp;number=80590000000&amp;sourceID=14","80590000000")</f>
        <v>80590000000</v>
      </c>
      <c r="G178" s="4" t="str">
        <f>HYPERLINK("http://141.218.60.56/~jnz1568/getInfo.php?workbook=14_04.xlsx&amp;sheet=A0&amp;row=178&amp;col=7&amp;number=0&amp;sourceID=14","0")</f>
        <v>0</v>
      </c>
    </row>
    <row r="179" spans="1:7">
      <c r="A179" s="3">
        <v>14</v>
      </c>
      <c r="B179" s="3">
        <v>4</v>
      </c>
      <c r="C179" s="3">
        <v>90</v>
      </c>
      <c r="D179" s="3">
        <v>3</v>
      </c>
      <c r="E179" s="3">
        <v>31.926</v>
      </c>
      <c r="F179" s="4" t="str">
        <f>HYPERLINK("http://141.218.60.56/~jnz1568/getInfo.php?workbook=14_04.xlsx&amp;sheet=A0&amp;row=179&amp;col=6&amp;number=145800000000&amp;sourceID=14","145800000000")</f>
        <v>145800000000</v>
      </c>
      <c r="G179" s="4" t="str">
        <f>HYPERLINK("http://141.218.60.56/~jnz1568/getInfo.php?workbook=14_04.xlsx&amp;sheet=A0&amp;row=179&amp;col=7&amp;number=0&amp;sourceID=14","0")</f>
        <v>0</v>
      </c>
    </row>
    <row r="180" spans="1:7">
      <c r="A180" s="3">
        <v>14</v>
      </c>
      <c r="B180" s="3">
        <v>4</v>
      </c>
      <c r="C180" s="3">
        <v>92</v>
      </c>
      <c r="D180" s="3">
        <v>3</v>
      </c>
      <c r="E180" s="3">
        <v>31.887</v>
      </c>
      <c r="F180" s="4" t="str">
        <f>HYPERLINK("http://141.218.60.56/~jnz1568/getInfo.php?workbook=14_04.xlsx&amp;sheet=A0&amp;row=180&amp;col=6&amp;number=17500000&amp;sourceID=14","17500000")</f>
        <v>17500000</v>
      </c>
      <c r="G180" s="4" t="str">
        <f>HYPERLINK("http://141.218.60.56/~jnz1568/getInfo.php?workbook=14_04.xlsx&amp;sheet=A0&amp;row=180&amp;col=7&amp;number=0&amp;sourceID=14","0")</f>
        <v>0</v>
      </c>
    </row>
    <row r="181" spans="1:7">
      <c r="A181" s="3">
        <v>14</v>
      </c>
      <c r="B181" s="3">
        <v>4</v>
      </c>
      <c r="C181" s="3">
        <v>5</v>
      </c>
      <c r="D181" s="3">
        <v>4</v>
      </c>
      <c r="E181" s="3">
        <v>656.303</v>
      </c>
      <c r="F181" s="4" t="str">
        <f>HYPERLINK("http://141.218.60.56/~jnz1568/getInfo.php?workbook=14_04.xlsx&amp;sheet=A0&amp;row=181&amp;col=6&amp;number=43.09&amp;sourceID=14","43.09")</f>
        <v>43.09</v>
      </c>
      <c r="G181" s="4" t="str">
        <f>HYPERLINK("http://141.218.60.56/~jnz1568/getInfo.php?workbook=14_04.xlsx&amp;sheet=A0&amp;row=181&amp;col=7&amp;number=0&amp;sourceID=14","0")</f>
        <v>0</v>
      </c>
    </row>
    <row r="182" spans="1:7">
      <c r="A182" s="3">
        <v>14</v>
      </c>
      <c r="B182" s="3">
        <v>4</v>
      </c>
      <c r="C182" s="3">
        <v>7</v>
      </c>
      <c r="D182" s="3">
        <v>4</v>
      </c>
      <c r="E182" s="3">
        <v>371.502</v>
      </c>
      <c r="F182" s="4" t="str">
        <f>HYPERLINK("http://141.218.60.56/~jnz1568/getInfo.php?workbook=14_04.xlsx&amp;sheet=A0&amp;row=182&amp;col=6&amp;number=1996000000&amp;sourceID=14","1996000000")</f>
        <v>1996000000</v>
      </c>
      <c r="G182" s="4" t="str">
        <f>HYPERLINK("http://141.218.60.56/~jnz1568/getInfo.php?workbook=14_04.xlsx&amp;sheet=A0&amp;row=182&amp;col=7&amp;number=0&amp;sourceID=14","0")</f>
        <v>0</v>
      </c>
    </row>
    <row r="183" spans="1:7">
      <c r="A183" s="3">
        <v>14</v>
      </c>
      <c r="B183" s="3">
        <v>4</v>
      </c>
      <c r="C183" s="3">
        <v>8</v>
      </c>
      <c r="D183" s="3">
        <v>4</v>
      </c>
      <c r="E183" s="3">
        <v>365.439</v>
      </c>
      <c r="F183" s="4" t="str">
        <f>HYPERLINK("http://141.218.60.56/~jnz1568/getInfo.php?workbook=14_04.xlsx&amp;sheet=A0&amp;row=183&amp;col=6&amp;number=3759000000&amp;sourceID=14","3759000000")</f>
        <v>3759000000</v>
      </c>
      <c r="G183" s="4" t="str">
        <f>HYPERLINK("http://141.218.60.56/~jnz1568/getInfo.php?workbook=14_04.xlsx&amp;sheet=A0&amp;row=183&amp;col=7&amp;number=0&amp;sourceID=14","0")</f>
        <v>0</v>
      </c>
    </row>
    <row r="184" spans="1:7">
      <c r="A184" s="3">
        <v>14</v>
      </c>
      <c r="B184" s="3">
        <v>4</v>
      </c>
      <c r="C184" s="3">
        <v>9</v>
      </c>
      <c r="D184" s="3">
        <v>4</v>
      </c>
      <c r="E184" s="3">
        <v>314.566</v>
      </c>
      <c r="F184" s="4" t="str">
        <f>HYPERLINK("http://141.218.60.56/~jnz1568/getInfo.php?workbook=14_04.xlsx&amp;sheet=A0&amp;row=184&amp;col=6&amp;number=36860000&amp;sourceID=14","36860000")</f>
        <v>36860000</v>
      </c>
      <c r="G184" s="4" t="str">
        <f>HYPERLINK("http://141.218.60.56/~jnz1568/getInfo.php?workbook=14_04.xlsx&amp;sheet=A0&amp;row=184&amp;col=7&amp;number=0&amp;sourceID=14","0")</f>
        <v>0</v>
      </c>
    </row>
    <row r="185" spans="1:7">
      <c r="A185" s="3">
        <v>14</v>
      </c>
      <c r="B185" s="3">
        <v>4</v>
      </c>
      <c r="C185" s="3">
        <v>11</v>
      </c>
      <c r="D185" s="3">
        <v>4</v>
      </c>
      <c r="E185" s="3">
        <v>49.084</v>
      </c>
      <c r="F185" s="4" t="str">
        <f>HYPERLINK("http://141.218.60.56/~jnz1568/getInfo.php?workbook=14_04.xlsx&amp;sheet=A0&amp;row=185&amp;col=6&amp;number=152200000000&amp;sourceID=14","152200000000")</f>
        <v>152200000000</v>
      </c>
      <c r="G185" s="4" t="str">
        <f>HYPERLINK("http://141.218.60.56/~jnz1568/getInfo.php?workbook=14_04.xlsx&amp;sheet=A0&amp;row=185&amp;col=7&amp;number=0&amp;sourceID=14","0")</f>
        <v>0</v>
      </c>
    </row>
    <row r="186" spans="1:7">
      <c r="A186" s="3">
        <v>14</v>
      </c>
      <c r="B186" s="3">
        <v>4</v>
      </c>
      <c r="C186" s="3">
        <v>13</v>
      </c>
      <c r="D186" s="3">
        <v>4</v>
      </c>
      <c r="E186" s="3">
        <v>47.429</v>
      </c>
      <c r="F186" s="4" t="str">
        <f>HYPERLINK("http://141.218.60.56/~jnz1568/getInfo.php?workbook=14_04.xlsx&amp;sheet=A0&amp;row=186&amp;col=6&amp;number=4611000&amp;sourceID=14","4611000")</f>
        <v>4611000</v>
      </c>
      <c r="G186" s="4" t="str">
        <f>HYPERLINK("http://141.218.60.56/~jnz1568/getInfo.php?workbook=14_04.xlsx&amp;sheet=A0&amp;row=186&amp;col=7&amp;number=0&amp;sourceID=14","0")</f>
        <v>0</v>
      </c>
    </row>
    <row r="187" spans="1:7">
      <c r="A187" s="3">
        <v>14</v>
      </c>
      <c r="B187" s="3">
        <v>4</v>
      </c>
      <c r="C187" s="3">
        <v>14</v>
      </c>
      <c r="D187" s="3">
        <v>4</v>
      </c>
      <c r="E187" s="3">
        <v>-47.423</v>
      </c>
      <c r="F187" s="4" t="str">
        <f>HYPERLINK("http://141.218.60.56/~jnz1568/getInfo.php?workbook=14_04.xlsx&amp;sheet=A0&amp;row=187&amp;col=6&amp;number=79720000&amp;sourceID=14","79720000")</f>
        <v>79720000</v>
      </c>
      <c r="G187" s="4" t="str">
        <f>HYPERLINK("http://141.218.60.56/~jnz1568/getInfo.php?workbook=14_04.xlsx&amp;sheet=A0&amp;row=187&amp;col=7&amp;number=0&amp;sourceID=14","0")</f>
        <v>0</v>
      </c>
    </row>
    <row r="188" spans="1:7">
      <c r="A188" s="3">
        <v>14</v>
      </c>
      <c r="B188" s="3">
        <v>4</v>
      </c>
      <c r="C188" s="3">
        <v>15</v>
      </c>
      <c r="D188" s="3">
        <v>4</v>
      </c>
      <c r="E188" s="3">
        <v>47.353</v>
      </c>
      <c r="F188" s="4" t="str">
        <f>HYPERLINK("http://141.218.60.56/~jnz1568/getInfo.php?workbook=14_04.xlsx&amp;sheet=A0&amp;row=188&amp;col=6&amp;number=55480000&amp;sourceID=14","55480000")</f>
        <v>55480000</v>
      </c>
      <c r="G188" s="4" t="str">
        <f>HYPERLINK("http://141.218.60.56/~jnz1568/getInfo.php?workbook=14_04.xlsx&amp;sheet=A0&amp;row=188&amp;col=7&amp;number=0&amp;sourceID=14","0")</f>
        <v>0</v>
      </c>
    </row>
    <row r="189" spans="1:7">
      <c r="A189" s="3">
        <v>14</v>
      </c>
      <c r="B189" s="3">
        <v>4</v>
      </c>
      <c r="C189" s="3">
        <v>16</v>
      </c>
      <c r="D189" s="3">
        <v>4</v>
      </c>
      <c r="E189" s="3">
        <v>47.38</v>
      </c>
      <c r="F189" s="4" t="str">
        <f>HYPERLINK("http://141.218.60.56/~jnz1568/getInfo.php?workbook=14_04.xlsx&amp;sheet=A0&amp;row=189&amp;col=6&amp;number=27900000&amp;sourceID=14","27900000")</f>
        <v>27900000</v>
      </c>
      <c r="G189" s="4" t="str">
        <f>HYPERLINK("http://141.218.60.56/~jnz1568/getInfo.php?workbook=14_04.xlsx&amp;sheet=A0&amp;row=189&amp;col=7&amp;number=0&amp;sourceID=14","0")</f>
        <v>0</v>
      </c>
    </row>
    <row r="190" spans="1:7">
      <c r="A190" s="3">
        <v>14</v>
      </c>
      <c r="B190" s="3">
        <v>4</v>
      </c>
      <c r="C190" s="3">
        <v>17</v>
      </c>
      <c r="D190" s="3">
        <v>4</v>
      </c>
      <c r="E190" s="3">
        <v>46.434</v>
      </c>
      <c r="F190" s="4" t="str">
        <f>HYPERLINK("http://141.218.60.56/~jnz1568/getInfo.php?workbook=14_04.xlsx&amp;sheet=A0&amp;row=190&amp;col=6&amp;number=36910000000&amp;sourceID=14","36910000000")</f>
        <v>36910000000</v>
      </c>
      <c r="G190" s="4" t="str">
        <f>HYPERLINK("http://141.218.60.56/~jnz1568/getInfo.php?workbook=14_04.xlsx&amp;sheet=A0&amp;row=190&amp;col=7&amp;number=0&amp;sourceID=14","0")</f>
        <v>0</v>
      </c>
    </row>
    <row r="191" spans="1:7">
      <c r="A191" s="3">
        <v>14</v>
      </c>
      <c r="B191" s="3">
        <v>4</v>
      </c>
      <c r="C191" s="3">
        <v>18</v>
      </c>
      <c r="D191" s="3">
        <v>4</v>
      </c>
      <c r="E191" s="3">
        <v>46.407</v>
      </c>
      <c r="F191" s="4" t="str">
        <f>HYPERLINK("http://141.218.60.56/~jnz1568/getInfo.php?workbook=14_04.xlsx&amp;sheet=A0&amp;row=191&amp;col=6&amp;number=332300000000&amp;sourceID=14","332300000000")</f>
        <v>332300000000</v>
      </c>
      <c r="G191" s="4" t="str">
        <f>HYPERLINK("http://141.218.60.56/~jnz1568/getInfo.php?workbook=14_04.xlsx&amp;sheet=A0&amp;row=191&amp;col=7&amp;number=0&amp;sourceID=14","0")</f>
        <v>0</v>
      </c>
    </row>
    <row r="192" spans="1:7">
      <c r="A192" s="3">
        <v>14</v>
      </c>
      <c r="B192" s="3">
        <v>4</v>
      </c>
      <c r="C192" s="3">
        <v>19</v>
      </c>
      <c r="D192" s="3">
        <v>4</v>
      </c>
      <c r="E192" s="3">
        <v>46.4</v>
      </c>
      <c r="F192" s="4" t="str">
        <f>HYPERLINK("http://141.218.60.56/~jnz1568/getInfo.php?workbook=14_04.xlsx&amp;sheet=A0&amp;row=192&amp;col=6&amp;number=1327000000000&amp;sourceID=14","1327000000000")</f>
        <v>1327000000000</v>
      </c>
      <c r="G192" s="4" t="str">
        <f>HYPERLINK("http://141.218.60.56/~jnz1568/getInfo.php?workbook=14_04.xlsx&amp;sheet=A0&amp;row=192&amp;col=7&amp;number=0&amp;sourceID=14","0")</f>
        <v>0</v>
      </c>
    </row>
    <row r="193" spans="1:7">
      <c r="A193" s="3">
        <v>14</v>
      </c>
      <c r="B193" s="3">
        <v>4</v>
      </c>
      <c r="C193" s="3">
        <v>20</v>
      </c>
      <c r="D193" s="3">
        <v>4</v>
      </c>
      <c r="E193" s="3">
        <v>45.752</v>
      </c>
      <c r="F193" s="4" t="str">
        <f>HYPERLINK("http://141.218.60.56/~jnz1568/getInfo.php?workbook=14_04.xlsx&amp;sheet=A0&amp;row=193&amp;col=6&amp;number=15110000&amp;sourceID=14","15110000")</f>
        <v>15110000</v>
      </c>
      <c r="G193" s="4" t="str">
        <f>HYPERLINK("http://141.218.60.56/~jnz1568/getInfo.php?workbook=14_04.xlsx&amp;sheet=A0&amp;row=193&amp;col=7&amp;number=0&amp;sourceID=14","0")</f>
        <v>0</v>
      </c>
    </row>
    <row r="194" spans="1:7">
      <c r="A194" s="3">
        <v>14</v>
      </c>
      <c r="B194" s="3">
        <v>4</v>
      </c>
      <c r="C194" s="3">
        <v>21</v>
      </c>
      <c r="D194" s="3">
        <v>4</v>
      </c>
      <c r="E194" s="3">
        <v>44.475</v>
      </c>
      <c r="F194" s="4" t="str">
        <f>HYPERLINK("http://141.218.60.56/~jnz1568/getInfo.php?workbook=14_04.xlsx&amp;sheet=A0&amp;row=194&amp;col=6&amp;number=2727000&amp;sourceID=14","2727000")</f>
        <v>2727000</v>
      </c>
      <c r="G194" s="4" t="str">
        <f>HYPERLINK("http://141.218.60.56/~jnz1568/getInfo.php?workbook=14_04.xlsx&amp;sheet=A0&amp;row=194&amp;col=7&amp;number=0&amp;sourceID=14","0")</f>
        <v>0</v>
      </c>
    </row>
    <row r="195" spans="1:7">
      <c r="A195" s="3">
        <v>14</v>
      </c>
      <c r="B195" s="3">
        <v>4</v>
      </c>
      <c r="C195" s="3">
        <v>22</v>
      </c>
      <c r="D195" s="3">
        <v>4</v>
      </c>
      <c r="E195" s="3">
        <v>-44.496</v>
      </c>
      <c r="F195" s="4" t="str">
        <f>HYPERLINK("http://141.218.60.56/~jnz1568/getInfo.php?workbook=14_04.xlsx&amp;sheet=A0&amp;row=195&amp;col=6&amp;number=2041000&amp;sourceID=14","2041000")</f>
        <v>2041000</v>
      </c>
      <c r="G195" s="4" t="str">
        <f>HYPERLINK("http://141.218.60.56/~jnz1568/getInfo.php?workbook=14_04.xlsx&amp;sheet=A0&amp;row=195&amp;col=7&amp;number=0&amp;sourceID=14","0")</f>
        <v>0</v>
      </c>
    </row>
    <row r="196" spans="1:7">
      <c r="A196" s="3">
        <v>14</v>
      </c>
      <c r="B196" s="3">
        <v>4</v>
      </c>
      <c r="C196" s="3">
        <v>23</v>
      </c>
      <c r="D196" s="3">
        <v>4</v>
      </c>
      <c r="E196" s="3">
        <v>-44.383</v>
      </c>
      <c r="F196" s="4" t="str">
        <f>HYPERLINK("http://141.218.60.56/~jnz1568/getInfo.php?workbook=14_04.xlsx&amp;sheet=A0&amp;row=196&amp;col=6&amp;number=992100&amp;sourceID=14","992100")</f>
        <v>992100</v>
      </c>
      <c r="G196" s="4" t="str">
        <f>HYPERLINK("http://141.218.60.56/~jnz1568/getInfo.php?workbook=14_04.xlsx&amp;sheet=A0&amp;row=196&amp;col=7&amp;number=0&amp;sourceID=14","0")</f>
        <v>0</v>
      </c>
    </row>
    <row r="197" spans="1:7">
      <c r="A197" s="3">
        <v>14</v>
      </c>
      <c r="B197" s="3">
        <v>4</v>
      </c>
      <c r="C197" s="3">
        <v>24</v>
      </c>
      <c r="D197" s="3">
        <v>4</v>
      </c>
      <c r="E197" s="3">
        <v>-43.789</v>
      </c>
      <c r="F197" s="4" t="str">
        <f>HYPERLINK("http://141.218.60.56/~jnz1568/getInfo.php?workbook=14_04.xlsx&amp;sheet=A0&amp;row=197&amp;col=6&amp;number=25320&amp;sourceID=14","25320")</f>
        <v>25320</v>
      </c>
      <c r="G197" s="4" t="str">
        <f>HYPERLINK("http://141.218.60.56/~jnz1568/getInfo.php?workbook=14_04.xlsx&amp;sheet=A0&amp;row=197&amp;col=7&amp;number=0&amp;sourceID=14","0")</f>
        <v>0</v>
      </c>
    </row>
    <row r="198" spans="1:7">
      <c r="A198" s="3">
        <v>14</v>
      </c>
      <c r="B198" s="3">
        <v>4</v>
      </c>
      <c r="C198" s="3">
        <v>25</v>
      </c>
      <c r="D198" s="3">
        <v>4</v>
      </c>
      <c r="E198" s="3">
        <v>-43.606</v>
      </c>
      <c r="F198" s="4" t="str">
        <f>HYPERLINK("http://141.218.60.56/~jnz1568/getInfo.php?workbook=14_04.xlsx&amp;sheet=A0&amp;row=198&amp;col=6&amp;number=1328000&amp;sourceID=14","1328000")</f>
        <v>1328000</v>
      </c>
      <c r="G198" s="4" t="str">
        <f>HYPERLINK("http://141.218.60.56/~jnz1568/getInfo.php?workbook=14_04.xlsx&amp;sheet=A0&amp;row=198&amp;col=7&amp;number=0&amp;sourceID=14","0")</f>
        <v>0</v>
      </c>
    </row>
    <row r="199" spans="1:7">
      <c r="A199" s="3">
        <v>14</v>
      </c>
      <c r="B199" s="3">
        <v>4</v>
      </c>
      <c r="C199" s="3">
        <v>26</v>
      </c>
      <c r="D199" s="3">
        <v>4</v>
      </c>
      <c r="E199" s="3">
        <v>-43.44</v>
      </c>
      <c r="F199" s="4" t="str">
        <f>HYPERLINK("http://141.218.60.56/~jnz1568/getInfo.php?workbook=14_04.xlsx&amp;sheet=A0&amp;row=199&amp;col=6&amp;number=4662000000&amp;sourceID=14","4662000000")</f>
        <v>4662000000</v>
      </c>
      <c r="G199" s="4" t="str">
        <f>HYPERLINK("http://141.218.60.56/~jnz1568/getInfo.php?workbook=14_04.xlsx&amp;sheet=A0&amp;row=199&amp;col=7&amp;number=0&amp;sourceID=14","0")</f>
        <v>0</v>
      </c>
    </row>
    <row r="200" spans="1:7">
      <c r="A200" s="3">
        <v>14</v>
      </c>
      <c r="B200" s="3">
        <v>4</v>
      </c>
      <c r="C200" s="3">
        <v>27</v>
      </c>
      <c r="D200" s="3">
        <v>4</v>
      </c>
      <c r="E200" s="3">
        <v>43.385</v>
      </c>
      <c r="F200" s="4" t="str">
        <f>HYPERLINK("http://141.218.60.56/~jnz1568/getInfo.php?workbook=14_04.xlsx&amp;sheet=A0&amp;row=200&amp;col=6&amp;number=35860000000&amp;sourceID=14","35860000000")</f>
        <v>35860000000</v>
      </c>
      <c r="G200" s="4" t="str">
        <f>HYPERLINK("http://141.218.60.56/~jnz1568/getInfo.php?workbook=14_04.xlsx&amp;sheet=A0&amp;row=200&amp;col=7&amp;number=0&amp;sourceID=14","0")</f>
        <v>0</v>
      </c>
    </row>
    <row r="201" spans="1:7">
      <c r="A201" s="3">
        <v>14</v>
      </c>
      <c r="B201" s="3">
        <v>4</v>
      </c>
      <c r="C201" s="3">
        <v>28</v>
      </c>
      <c r="D201" s="3">
        <v>4</v>
      </c>
      <c r="E201" s="3">
        <v>43.329</v>
      </c>
      <c r="F201" s="4" t="str">
        <f>HYPERLINK("http://141.218.60.56/~jnz1568/getInfo.php?workbook=14_04.xlsx&amp;sheet=A0&amp;row=201&amp;col=6&amp;number=195400000000&amp;sourceID=14","195400000000")</f>
        <v>195400000000</v>
      </c>
      <c r="G201" s="4" t="str">
        <f>HYPERLINK("http://141.218.60.56/~jnz1568/getInfo.php?workbook=14_04.xlsx&amp;sheet=A0&amp;row=201&amp;col=7&amp;number=0&amp;sourceID=14","0")</f>
        <v>0</v>
      </c>
    </row>
    <row r="202" spans="1:7">
      <c r="A202" s="3">
        <v>14</v>
      </c>
      <c r="B202" s="3">
        <v>4</v>
      </c>
      <c r="C202" s="3">
        <v>29</v>
      </c>
      <c r="D202" s="3">
        <v>4</v>
      </c>
      <c r="E202" s="3">
        <v>43.046</v>
      </c>
      <c r="F202" s="4" t="str">
        <f>HYPERLINK("http://141.218.60.56/~jnz1568/getInfo.php?workbook=14_04.xlsx&amp;sheet=A0&amp;row=202&amp;col=6&amp;number=106200000000&amp;sourceID=14","106200000000")</f>
        <v>106200000000</v>
      </c>
      <c r="G202" s="4" t="str">
        <f>HYPERLINK("http://141.218.60.56/~jnz1568/getInfo.php?workbook=14_04.xlsx&amp;sheet=A0&amp;row=202&amp;col=7&amp;number=0&amp;sourceID=14","0")</f>
        <v>0</v>
      </c>
    </row>
    <row r="203" spans="1:7">
      <c r="A203" s="3">
        <v>14</v>
      </c>
      <c r="B203" s="3">
        <v>4</v>
      </c>
      <c r="C203" s="3">
        <v>31</v>
      </c>
      <c r="D203" s="3">
        <v>4</v>
      </c>
      <c r="E203" s="3">
        <v>42.826</v>
      </c>
      <c r="F203" s="4" t="str">
        <f>HYPERLINK("http://141.218.60.56/~jnz1568/getInfo.php?workbook=14_04.xlsx&amp;sheet=A0&amp;row=203&amp;col=6&amp;number=212500000000&amp;sourceID=14","212500000000")</f>
        <v>212500000000</v>
      </c>
      <c r="G203" s="4" t="str">
        <f>HYPERLINK("http://141.218.60.56/~jnz1568/getInfo.php?workbook=14_04.xlsx&amp;sheet=A0&amp;row=203&amp;col=7&amp;number=0&amp;sourceID=14","0")</f>
        <v>0</v>
      </c>
    </row>
    <row r="204" spans="1:7">
      <c r="A204" s="3">
        <v>14</v>
      </c>
      <c r="B204" s="3">
        <v>4</v>
      </c>
      <c r="C204" s="3">
        <v>32</v>
      </c>
      <c r="D204" s="3">
        <v>4</v>
      </c>
      <c r="E204" s="3">
        <v>42.825</v>
      </c>
      <c r="F204" s="4" t="str">
        <f>HYPERLINK("http://141.218.60.56/~jnz1568/getInfo.php?workbook=14_04.xlsx&amp;sheet=A0&amp;row=204&amp;col=6&amp;number=262700000000&amp;sourceID=14","262700000000")</f>
        <v>262700000000</v>
      </c>
      <c r="G204" s="4" t="str">
        <f>HYPERLINK("http://141.218.60.56/~jnz1568/getInfo.php?workbook=14_04.xlsx&amp;sheet=A0&amp;row=204&amp;col=7&amp;number=0&amp;sourceID=14","0")</f>
        <v>0</v>
      </c>
    </row>
    <row r="205" spans="1:7">
      <c r="A205" s="3">
        <v>14</v>
      </c>
      <c r="B205" s="3">
        <v>4</v>
      </c>
      <c r="C205" s="3">
        <v>33</v>
      </c>
      <c r="D205" s="3">
        <v>4</v>
      </c>
      <c r="E205" s="3">
        <v>-42.746</v>
      </c>
      <c r="F205" s="4" t="str">
        <f>HYPERLINK("http://141.218.60.56/~jnz1568/getInfo.php?workbook=14_04.xlsx&amp;sheet=A0&amp;row=205&amp;col=6&amp;number=6350000&amp;sourceID=14","6350000")</f>
        <v>6350000</v>
      </c>
      <c r="G205" s="4" t="str">
        <f>HYPERLINK("http://141.218.60.56/~jnz1568/getInfo.php?workbook=14_04.xlsx&amp;sheet=A0&amp;row=205&amp;col=7&amp;number=0&amp;sourceID=14","0")</f>
        <v>0</v>
      </c>
    </row>
    <row r="206" spans="1:7">
      <c r="A206" s="3">
        <v>14</v>
      </c>
      <c r="B206" s="3">
        <v>4</v>
      </c>
      <c r="C206" s="3">
        <v>34</v>
      </c>
      <c r="D206" s="3">
        <v>4</v>
      </c>
      <c r="E206" s="3">
        <v>-42.671</v>
      </c>
      <c r="F206" s="4" t="str">
        <f>HYPERLINK("http://141.218.60.56/~jnz1568/getInfo.php?workbook=14_04.xlsx&amp;sheet=A0&amp;row=206&amp;col=6&amp;number=47920000&amp;sourceID=14","47920000")</f>
        <v>47920000</v>
      </c>
      <c r="G206" s="4" t="str">
        <f>HYPERLINK("http://141.218.60.56/~jnz1568/getInfo.php?workbook=14_04.xlsx&amp;sheet=A0&amp;row=206&amp;col=7&amp;number=0&amp;sourceID=14","0")</f>
        <v>0</v>
      </c>
    </row>
    <row r="207" spans="1:7">
      <c r="A207" s="3">
        <v>14</v>
      </c>
      <c r="B207" s="3">
        <v>4</v>
      </c>
      <c r="C207" s="3">
        <v>35</v>
      </c>
      <c r="D207" s="3">
        <v>4</v>
      </c>
      <c r="E207" s="3">
        <v>42.594</v>
      </c>
      <c r="F207" s="4" t="str">
        <f>HYPERLINK("http://141.218.60.56/~jnz1568/getInfo.php?workbook=14_04.xlsx&amp;sheet=A0&amp;row=207&amp;col=6&amp;number=1796000&amp;sourceID=14","1796000")</f>
        <v>1796000</v>
      </c>
      <c r="G207" s="4" t="str">
        <f>HYPERLINK("http://141.218.60.56/~jnz1568/getInfo.php?workbook=14_04.xlsx&amp;sheet=A0&amp;row=207&amp;col=7&amp;number=0&amp;sourceID=14","0")</f>
        <v>0</v>
      </c>
    </row>
    <row r="208" spans="1:7">
      <c r="A208" s="3">
        <v>14</v>
      </c>
      <c r="B208" s="3">
        <v>4</v>
      </c>
      <c r="C208" s="3">
        <v>36</v>
      </c>
      <c r="D208" s="3">
        <v>4</v>
      </c>
      <c r="E208" s="3">
        <v>-42.592</v>
      </c>
      <c r="F208" s="4" t="str">
        <f>HYPERLINK("http://141.218.60.56/~jnz1568/getInfo.php?workbook=14_04.xlsx&amp;sheet=A0&amp;row=208&amp;col=6&amp;number=191500000&amp;sourceID=14","191500000")</f>
        <v>191500000</v>
      </c>
      <c r="G208" s="4" t="str">
        <f>HYPERLINK("http://141.218.60.56/~jnz1568/getInfo.php?workbook=14_04.xlsx&amp;sheet=A0&amp;row=208&amp;col=7&amp;number=0&amp;sourceID=14","0")</f>
        <v>0</v>
      </c>
    </row>
    <row r="209" spans="1:7">
      <c r="A209" s="3">
        <v>14</v>
      </c>
      <c r="B209" s="3">
        <v>4</v>
      </c>
      <c r="C209" s="3">
        <v>37</v>
      </c>
      <c r="D209" s="3">
        <v>4</v>
      </c>
      <c r="E209" s="3">
        <v>42.461</v>
      </c>
      <c r="F209" s="4" t="str">
        <f>HYPERLINK("http://141.218.60.56/~jnz1568/getInfo.php?workbook=14_04.xlsx&amp;sheet=A0&amp;row=209&amp;col=6&amp;number=1657000000&amp;sourceID=14","1657000000")</f>
        <v>1657000000</v>
      </c>
      <c r="G209" s="4" t="str">
        <f>HYPERLINK("http://141.218.60.56/~jnz1568/getInfo.php?workbook=14_04.xlsx&amp;sheet=A0&amp;row=209&amp;col=7&amp;number=0&amp;sourceID=14","0")</f>
        <v>0</v>
      </c>
    </row>
    <row r="210" spans="1:7">
      <c r="A210" s="3">
        <v>14</v>
      </c>
      <c r="B210" s="3">
        <v>4</v>
      </c>
      <c r="C210" s="3">
        <v>38</v>
      </c>
      <c r="D210" s="3">
        <v>4</v>
      </c>
      <c r="E210" s="3">
        <v>-42.243</v>
      </c>
      <c r="F210" s="4" t="str">
        <f>HYPERLINK("http://141.218.60.56/~jnz1568/getInfo.php?workbook=14_04.xlsx&amp;sheet=A0&amp;row=210&amp;col=6&amp;number=19720000&amp;sourceID=14","19720000")</f>
        <v>19720000</v>
      </c>
      <c r="G210" s="4" t="str">
        <f>HYPERLINK("http://141.218.60.56/~jnz1568/getInfo.php?workbook=14_04.xlsx&amp;sheet=A0&amp;row=210&amp;col=7&amp;number=0&amp;sourceID=14","0")</f>
        <v>0</v>
      </c>
    </row>
    <row r="211" spans="1:7">
      <c r="A211" s="3">
        <v>14</v>
      </c>
      <c r="B211" s="3">
        <v>4</v>
      </c>
      <c r="C211" s="3">
        <v>39</v>
      </c>
      <c r="D211" s="3">
        <v>4</v>
      </c>
      <c r="E211" s="3">
        <v>42.274</v>
      </c>
      <c r="F211" s="4" t="str">
        <f>HYPERLINK("http://141.218.60.56/~jnz1568/getInfo.php?workbook=14_04.xlsx&amp;sheet=A0&amp;row=211&amp;col=6&amp;number=59890000&amp;sourceID=14","59890000")</f>
        <v>59890000</v>
      </c>
      <c r="G211" s="4" t="str">
        <f>HYPERLINK("http://141.218.60.56/~jnz1568/getInfo.php?workbook=14_04.xlsx&amp;sheet=A0&amp;row=211&amp;col=7&amp;number=0&amp;sourceID=14","0")</f>
        <v>0</v>
      </c>
    </row>
    <row r="212" spans="1:7">
      <c r="A212" s="3">
        <v>14</v>
      </c>
      <c r="B212" s="3">
        <v>4</v>
      </c>
      <c r="C212" s="3">
        <v>40</v>
      </c>
      <c r="D212" s="3">
        <v>4</v>
      </c>
      <c r="E212" s="3">
        <v>42.22</v>
      </c>
      <c r="F212" s="4" t="str">
        <f>HYPERLINK("http://141.218.60.56/~jnz1568/getInfo.php?workbook=14_04.xlsx&amp;sheet=A0&amp;row=212&amp;col=6&amp;number=132700000&amp;sourceID=14","132700000")</f>
        <v>132700000</v>
      </c>
      <c r="G212" s="4" t="str">
        <f>HYPERLINK("http://141.218.60.56/~jnz1568/getInfo.php?workbook=14_04.xlsx&amp;sheet=A0&amp;row=212&amp;col=7&amp;number=0&amp;sourceID=14","0")</f>
        <v>0</v>
      </c>
    </row>
    <row r="213" spans="1:7">
      <c r="A213" s="3">
        <v>14</v>
      </c>
      <c r="B213" s="3">
        <v>4</v>
      </c>
      <c r="C213" s="3">
        <v>41</v>
      </c>
      <c r="D213" s="3">
        <v>4</v>
      </c>
      <c r="E213" s="3">
        <v>42.026</v>
      </c>
      <c r="F213" s="4" t="str">
        <f>HYPERLINK("http://141.218.60.56/~jnz1568/getInfo.php?workbook=14_04.xlsx&amp;sheet=A0&amp;row=213&amp;col=6&amp;number=103000000&amp;sourceID=14","103000000")</f>
        <v>103000000</v>
      </c>
      <c r="G213" s="4" t="str">
        <f>HYPERLINK("http://141.218.60.56/~jnz1568/getInfo.php?workbook=14_04.xlsx&amp;sheet=A0&amp;row=213&amp;col=7&amp;number=0&amp;sourceID=14","0")</f>
        <v>0</v>
      </c>
    </row>
    <row r="214" spans="1:7">
      <c r="A214" s="3">
        <v>14</v>
      </c>
      <c r="B214" s="3">
        <v>4</v>
      </c>
      <c r="C214" s="3">
        <v>42</v>
      </c>
      <c r="D214" s="3">
        <v>4</v>
      </c>
      <c r="E214" s="3">
        <v>42.078</v>
      </c>
      <c r="F214" s="4" t="str">
        <f>HYPERLINK("http://141.218.60.56/~jnz1568/getInfo.php?workbook=14_04.xlsx&amp;sheet=A0&amp;row=214&amp;col=6&amp;number=142300000&amp;sourceID=14","142300000")</f>
        <v>142300000</v>
      </c>
      <c r="G214" s="4" t="str">
        <f>HYPERLINK("http://141.218.60.56/~jnz1568/getInfo.php?workbook=14_04.xlsx&amp;sheet=A0&amp;row=214&amp;col=7&amp;number=0&amp;sourceID=14","0")</f>
        <v>0</v>
      </c>
    </row>
    <row r="215" spans="1:7">
      <c r="A215" s="3">
        <v>14</v>
      </c>
      <c r="B215" s="3">
        <v>4</v>
      </c>
      <c r="C215" s="3">
        <v>43</v>
      </c>
      <c r="D215" s="3">
        <v>4</v>
      </c>
      <c r="E215" s="3">
        <v>42.025</v>
      </c>
      <c r="F215" s="4" t="str">
        <f>HYPERLINK("http://141.218.60.56/~jnz1568/getInfo.php?workbook=14_04.xlsx&amp;sheet=A0&amp;row=215&amp;col=6&amp;number=158400000&amp;sourceID=14","158400000")</f>
        <v>158400000</v>
      </c>
      <c r="G215" s="4" t="str">
        <f>HYPERLINK("http://141.218.60.56/~jnz1568/getInfo.php?workbook=14_04.xlsx&amp;sheet=A0&amp;row=215&amp;col=7&amp;number=0&amp;sourceID=14","0")</f>
        <v>0</v>
      </c>
    </row>
    <row r="216" spans="1:7">
      <c r="A216" s="3">
        <v>14</v>
      </c>
      <c r="B216" s="3">
        <v>4</v>
      </c>
      <c r="C216" s="3">
        <v>45</v>
      </c>
      <c r="D216" s="3">
        <v>4</v>
      </c>
      <c r="E216" s="3">
        <v>41.569</v>
      </c>
      <c r="F216" s="4" t="str">
        <f>HYPERLINK("http://141.218.60.56/~jnz1568/getInfo.php?workbook=14_04.xlsx&amp;sheet=A0&amp;row=216&amp;col=6&amp;number=87910&amp;sourceID=14","87910")</f>
        <v>87910</v>
      </c>
      <c r="G216" s="4" t="str">
        <f>HYPERLINK("http://141.218.60.56/~jnz1568/getInfo.php?workbook=14_04.xlsx&amp;sheet=A0&amp;row=216&amp;col=7&amp;number=0&amp;sourceID=14","0")</f>
        <v>0</v>
      </c>
    </row>
    <row r="217" spans="1:7">
      <c r="A217" s="3">
        <v>14</v>
      </c>
      <c r="B217" s="3">
        <v>4</v>
      </c>
      <c r="C217" s="3">
        <v>46</v>
      </c>
      <c r="D217" s="3">
        <v>4</v>
      </c>
      <c r="E217" s="3">
        <v>41.554</v>
      </c>
      <c r="F217" s="4" t="str">
        <f>HYPERLINK("http://141.218.60.56/~jnz1568/getInfo.php?workbook=14_04.xlsx&amp;sheet=A0&amp;row=217&amp;col=6&amp;number=24320&amp;sourceID=14","24320")</f>
        <v>24320</v>
      </c>
      <c r="G217" s="4" t="str">
        <f>HYPERLINK("http://141.218.60.56/~jnz1568/getInfo.php?workbook=14_04.xlsx&amp;sheet=A0&amp;row=217&amp;col=7&amp;number=0&amp;sourceID=14","0")</f>
        <v>0</v>
      </c>
    </row>
    <row r="218" spans="1:7">
      <c r="A218" s="3">
        <v>14</v>
      </c>
      <c r="B218" s="3">
        <v>4</v>
      </c>
      <c r="C218" s="3">
        <v>47</v>
      </c>
      <c r="D218" s="3">
        <v>4</v>
      </c>
      <c r="E218" s="3">
        <v>36.238</v>
      </c>
      <c r="F218" s="4" t="str">
        <f>HYPERLINK("http://141.218.60.56/~jnz1568/getInfo.php?workbook=14_04.xlsx&amp;sheet=A0&amp;row=218&amp;col=6&amp;number=50360000000&amp;sourceID=14","50360000000")</f>
        <v>50360000000</v>
      </c>
      <c r="G218" s="4" t="str">
        <f>HYPERLINK("http://141.218.60.56/~jnz1568/getInfo.php?workbook=14_04.xlsx&amp;sheet=A0&amp;row=218&amp;col=7&amp;number=0&amp;sourceID=14","0")</f>
        <v>0</v>
      </c>
    </row>
    <row r="219" spans="1:7">
      <c r="A219" s="3">
        <v>14</v>
      </c>
      <c r="B219" s="3">
        <v>4</v>
      </c>
      <c r="C219" s="3">
        <v>49</v>
      </c>
      <c r="D219" s="3">
        <v>4</v>
      </c>
      <c r="E219" s="3">
        <v>35.605</v>
      </c>
      <c r="F219" s="4" t="str">
        <f>HYPERLINK("http://141.218.60.56/~jnz1568/getInfo.php?workbook=14_04.xlsx&amp;sheet=A0&amp;row=219&amp;col=6&amp;number=31210000&amp;sourceID=14","31210000")</f>
        <v>31210000</v>
      </c>
      <c r="G219" s="4" t="str">
        <f>HYPERLINK("http://141.218.60.56/~jnz1568/getInfo.php?workbook=14_04.xlsx&amp;sheet=A0&amp;row=219&amp;col=7&amp;number=0&amp;sourceID=14","0")</f>
        <v>0</v>
      </c>
    </row>
    <row r="220" spans="1:7">
      <c r="A220" s="3">
        <v>14</v>
      </c>
      <c r="B220" s="3">
        <v>4</v>
      </c>
      <c r="C220" s="3">
        <v>50</v>
      </c>
      <c r="D220" s="3">
        <v>4</v>
      </c>
      <c r="E220" s="3">
        <v>35.605</v>
      </c>
      <c r="F220" s="4" t="str">
        <f>HYPERLINK("http://141.218.60.56/~jnz1568/getInfo.php?workbook=14_04.xlsx&amp;sheet=A0&amp;row=220&amp;col=6&amp;number=23120000&amp;sourceID=14","23120000")</f>
        <v>23120000</v>
      </c>
      <c r="G220" s="4" t="str">
        <f>HYPERLINK("http://141.218.60.56/~jnz1568/getInfo.php?workbook=14_04.xlsx&amp;sheet=A0&amp;row=220&amp;col=7&amp;number=0&amp;sourceID=14","0")</f>
        <v>0</v>
      </c>
    </row>
    <row r="221" spans="1:7">
      <c r="A221" s="3">
        <v>14</v>
      </c>
      <c r="B221" s="3">
        <v>4</v>
      </c>
      <c r="C221" s="3">
        <v>51</v>
      </c>
      <c r="D221" s="3">
        <v>4</v>
      </c>
      <c r="E221" s="3">
        <v>35.596</v>
      </c>
      <c r="F221" s="4" t="str">
        <f>HYPERLINK("http://141.218.60.56/~jnz1568/getInfo.php?workbook=14_04.xlsx&amp;sheet=A0&amp;row=221&amp;col=6&amp;number=10950000&amp;sourceID=14","10950000")</f>
        <v>10950000</v>
      </c>
      <c r="G221" s="4" t="str">
        <f>HYPERLINK("http://141.218.60.56/~jnz1568/getInfo.php?workbook=14_04.xlsx&amp;sheet=A0&amp;row=221&amp;col=7&amp;number=0&amp;sourceID=14","0")</f>
        <v>0</v>
      </c>
    </row>
    <row r="222" spans="1:7">
      <c r="A222" s="3">
        <v>14</v>
      </c>
      <c r="B222" s="3">
        <v>4</v>
      </c>
      <c r="C222" s="3">
        <v>52</v>
      </c>
      <c r="D222" s="3">
        <v>4</v>
      </c>
      <c r="E222" s="3">
        <v>35.65</v>
      </c>
      <c r="F222" s="4" t="str">
        <f>HYPERLINK("http://141.218.60.56/~jnz1568/getInfo.php?workbook=14_04.xlsx&amp;sheet=A0&amp;row=222&amp;col=6&amp;number=307100&amp;sourceID=14","307100")</f>
        <v>307100</v>
      </c>
      <c r="G222" s="4" t="str">
        <f>HYPERLINK("http://141.218.60.56/~jnz1568/getInfo.php?workbook=14_04.xlsx&amp;sheet=A0&amp;row=222&amp;col=7&amp;number=0&amp;sourceID=14","0")</f>
        <v>0</v>
      </c>
    </row>
    <row r="223" spans="1:7">
      <c r="A223" s="3">
        <v>14</v>
      </c>
      <c r="B223" s="3">
        <v>4</v>
      </c>
      <c r="C223" s="3">
        <v>53</v>
      </c>
      <c r="D223" s="3">
        <v>4</v>
      </c>
      <c r="E223" s="3">
        <v>35.447</v>
      </c>
      <c r="F223" s="4" t="str">
        <f>HYPERLINK("http://141.218.60.56/~jnz1568/getInfo.php?workbook=14_04.xlsx&amp;sheet=A0&amp;row=223&amp;col=6&amp;number=11620000000&amp;sourceID=14","11620000000")</f>
        <v>11620000000</v>
      </c>
      <c r="G223" s="4" t="str">
        <f>HYPERLINK("http://141.218.60.56/~jnz1568/getInfo.php?workbook=14_04.xlsx&amp;sheet=A0&amp;row=223&amp;col=7&amp;number=0&amp;sourceID=14","0")</f>
        <v>0</v>
      </c>
    </row>
    <row r="224" spans="1:7">
      <c r="A224" s="3">
        <v>14</v>
      </c>
      <c r="B224" s="3">
        <v>4</v>
      </c>
      <c r="C224" s="3">
        <v>54</v>
      </c>
      <c r="D224" s="3">
        <v>4</v>
      </c>
      <c r="E224" s="3">
        <v>35.448</v>
      </c>
      <c r="F224" s="4" t="str">
        <f>HYPERLINK("http://141.218.60.56/~jnz1568/getInfo.php?workbook=14_04.xlsx&amp;sheet=A0&amp;row=224&amp;col=6&amp;number=104600000000&amp;sourceID=14","104600000000")</f>
        <v>104600000000</v>
      </c>
      <c r="G224" s="4" t="str">
        <f>HYPERLINK("http://141.218.60.56/~jnz1568/getInfo.php?workbook=14_04.xlsx&amp;sheet=A0&amp;row=224&amp;col=7&amp;number=0&amp;sourceID=14","0")</f>
        <v>0</v>
      </c>
    </row>
    <row r="225" spans="1:7">
      <c r="A225" s="3">
        <v>14</v>
      </c>
      <c r="B225" s="3">
        <v>4</v>
      </c>
      <c r="C225" s="3">
        <v>55</v>
      </c>
      <c r="D225" s="3">
        <v>4</v>
      </c>
      <c r="E225" s="3">
        <v>35.437</v>
      </c>
      <c r="F225" s="4" t="str">
        <f>HYPERLINK("http://141.218.60.56/~jnz1568/getInfo.php?workbook=14_04.xlsx&amp;sheet=A0&amp;row=225&amp;col=6&amp;number=419300000000&amp;sourceID=14","419300000000")</f>
        <v>419300000000</v>
      </c>
      <c r="G225" s="4" t="str">
        <f>HYPERLINK("http://141.218.60.56/~jnz1568/getInfo.php?workbook=14_04.xlsx&amp;sheet=A0&amp;row=225&amp;col=7&amp;number=0&amp;sourceID=14","0")</f>
        <v>0</v>
      </c>
    </row>
    <row r="226" spans="1:7">
      <c r="A226" s="3">
        <v>14</v>
      </c>
      <c r="B226" s="3">
        <v>4</v>
      </c>
      <c r="C226" s="3">
        <v>56</v>
      </c>
      <c r="D226" s="3">
        <v>4</v>
      </c>
      <c r="E226" s="3">
        <v>35.303</v>
      </c>
      <c r="F226" s="4" t="str">
        <f>HYPERLINK("http://141.218.60.56/~jnz1568/getInfo.php?workbook=14_04.xlsx&amp;sheet=A0&amp;row=226&amp;col=6&amp;number=14170000&amp;sourceID=14","14170000")</f>
        <v>14170000</v>
      </c>
      <c r="G226" s="4" t="str">
        <f>HYPERLINK("http://141.218.60.56/~jnz1568/getInfo.php?workbook=14_04.xlsx&amp;sheet=A0&amp;row=226&amp;col=7&amp;number=0&amp;sourceID=14","0")</f>
        <v>0</v>
      </c>
    </row>
    <row r="227" spans="1:7">
      <c r="A227" s="3">
        <v>14</v>
      </c>
      <c r="B227" s="3">
        <v>4</v>
      </c>
      <c r="C227" s="3">
        <v>57</v>
      </c>
      <c r="D227" s="3">
        <v>4</v>
      </c>
      <c r="E227" s="3">
        <v>-33.666</v>
      </c>
      <c r="F227" s="4" t="str">
        <f>HYPERLINK("http://141.218.60.56/~jnz1568/getInfo.php?workbook=14_04.xlsx&amp;sheet=A0&amp;row=227&amp;col=6&amp;number=10670&amp;sourceID=14","10670")</f>
        <v>10670</v>
      </c>
      <c r="G227" s="4" t="str">
        <f>HYPERLINK("http://141.218.60.56/~jnz1568/getInfo.php?workbook=14_04.xlsx&amp;sheet=A0&amp;row=227&amp;col=7&amp;number=0&amp;sourceID=14","0")</f>
        <v>0</v>
      </c>
    </row>
    <row r="228" spans="1:7">
      <c r="A228" s="3">
        <v>14</v>
      </c>
      <c r="B228" s="3">
        <v>4</v>
      </c>
      <c r="C228" s="3">
        <v>58</v>
      </c>
      <c r="D228" s="3">
        <v>4</v>
      </c>
      <c r="E228" s="3">
        <v>-33.649</v>
      </c>
      <c r="F228" s="4" t="str">
        <f>HYPERLINK("http://141.218.60.56/~jnz1568/getInfo.php?workbook=14_04.xlsx&amp;sheet=A0&amp;row=228&amp;col=6&amp;number=5842&amp;sourceID=14","5842")</f>
        <v>5842</v>
      </c>
      <c r="G228" s="4" t="str">
        <f>HYPERLINK("http://141.218.60.56/~jnz1568/getInfo.php?workbook=14_04.xlsx&amp;sheet=A0&amp;row=228&amp;col=7&amp;number=0&amp;sourceID=14","0")</f>
        <v>0</v>
      </c>
    </row>
    <row r="229" spans="1:7">
      <c r="A229" s="3">
        <v>14</v>
      </c>
      <c r="B229" s="3">
        <v>4</v>
      </c>
      <c r="C229" s="3">
        <v>59</v>
      </c>
      <c r="D229" s="3">
        <v>4</v>
      </c>
      <c r="E229" s="3">
        <v>33.648</v>
      </c>
      <c r="F229" s="4" t="str">
        <f>HYPERLINK("http://141.218.60.56/~jnz1568/getInfo.php?workbook=14_04.xlsx&amp;sheet=A0&amp;row=229&amp;col=6&amp;number=542.4&amp;sourceID=14","542.4")</f>
        <v>542.4</v>
      </c>
      <c r="G229" s="4" t="str">
        <f>HYPERLINK("http://141.218.60.56/~jnz1568/getInfo.php?workbook=14_04.xlsx&amp;sheet=A0&amp;row=229&amp;col=7&amp;number=0&amp;sourceID=14","0")</f>
        <v>0</v>
      </c>
    </row>
    <row r="230" spans="1:7">
      <c r="A230" s="3">
        <v>14</v>
      </c>
      <c r="B230" s="3">
        <v>4</v>
      </c>
      <c r="C230" s="3">
        <v>60</v>
      </c>
      <c r="D230" s="3">
        <v>4</v>
      </c>
      <c r="E230" s="3">
        <v>-33.504</v>
      </c>
      <c r="F230" s="4" t="str">
        <f>HYPERLINK("http://141.218.60.56/~jnz1568/getInfo.php?workbook=14_04.xlsx&amp;sheet=A0&amp;row=230&amp;col=6&amp;number=49.69&amp;sourceID=14","49.69")</f>
        <v>49.69</v>
      </c>
      <c r="G230" s="4" t="str">
        <f>HYPERLINK("http://141.218.60.56/~jnz1568/getInfo.php?workbook=14_04.xlsx&amp;sheet=A0&amp;row=230&amp;col=7&amp;number=0&amp;sourceID=14","0")</f>
        <v>0</v>
      </c>
    </row>
    <row r="231" spans="1:7">
      <c r="A231" s="3">
        <v>14</v>
      </c>
      <c r="B231" s="3">
        <v>4</v>
      </c>
      <c r="C231" s="3">
        <v>61</v>
      </c>
      <c r="D231" s="3">
        <v>4</v>
      </c>
      <c r="E231" s="3">
        <v>-33.371</v>
      </c>
      <c r="F231" s="4" t="str">
        <f>HYPERLINK("http://141.218.60.56/~jnz1568/getInfo.php?workbook=14_04.xlsx&amp;sheet=A0&amp;row=231&amp;col=6&amp;number=2875000000&amp;sourceID=14","2875000000")</f>
        <v>2875000000</v>
      </c>
      <c r="G231" s="4" t="str">
        <f>HYPERLINK("http://141.218.60.56/~jnz1568/getInfo.php?workbook=14_04.xlsx&amp;sheet=A0&amp;row=231&amp;col=7&amp;number=0&amp;sourceID=14","0")</f>
        <v>0</v>
      </c>
    </row>
    <row r="232" spans="1:7">
      <c r="A232" s="3">
        <v>14</v>
      </c>
      <c r="B232" s="3">
        <v>4</v>
      </c>
      <c r="C232" s="3">
        <v>62</v>
      </c>
      <c r="D232" s="3">
        <v>4</v>
      </c>
      <c r="E232" s="3">
        <v>-33.42</v>
      </c>
      <c r="F232" s="4" t="str">
        <f>HYPERLINK("http://141.218.60.56/~jnz1568/getInfo.php?workbook=14_04.xlsx&amp;sheet=A0&amp;row=232&amp;col=6&amp;number=44100000&amp;sourceID=14","44100000")</f>
        <v>44100000</v>
      </c>
      <c r="G232" s="4" t="str">
        <f>HYPERLINK("http://141.218.60.56/~jnz1568/getInfo.php?workbook=14_04.xlsx&amp;sheet=A0&amp;row=232&amp;col=7&amp;number=0&amp;sourceID=14","0")</f>
        <v>0</v>
      </c>
    </row>
    <row r="233" spans="1:7">
      <c r="A233" s="3">
        <v>14</v>
      </c>
      <c r="B233" s="3">
        <v>4</v>
      </c>
      <c r="C233" s="3">
        <v>63</v>
      </c>
      <c r="D233" s="3">
        <v>4</v>
      </c>
      <c r="E233" s="3">
        <v>-33.368</v>
      </c>
      <c r="F233" s="4" t="str">
        <f>HYPERLINK("http://141.218.60.56/~jnz1568/getInfo.php?workbook=14_04.xlsx&amp;sheet=A0&amp;row=233&amp;col=6&amp;number=11740000000&amp;sourceID=14","11740000000")</f>
        <v>11740000000</v>
      </c>
      <c r="G233" s="4" t="str">
        <f>HYPERLINK("http://141.218.60.56/~jnz1568/getInfo.php?workbook=14_04.xlsx&amp;sheet=A0&amp;row=233&amp;col=7&amp;number=0&amp;sourceID=14","0")</f>
        <v>0</v>
      </c>
    </row>
    <row r="234" spans="1:7">
      <c r="A234" s="3">
        <v>14</v>
      </c>
      <c r="B234" s="3">
        <v>4</v>
      </c>
      <c r="C234" s="3">
        <v>64</v>
      </c>
      <c r="D234" s="3">
        <v>4</v>
      </c>
      <c r="E234" s="3">
        <v>-33.308</v>
      </c>
      <c r="F234" s="4" t="str">
        <f>HYPERLINK("http://141.218.60.56/~jnz1568/getInfo.php?workbook=14_04.xlsx&amp;sheet=A0&amp;row=234&amp;col=6&amp;number=132100000000&amp;sourceID=14","132100000000")</f>
        <v>132100000000</v>
      </c>
      <c r="G234" s="4" t="str">
        <f>HYPERLINK("http://141.218.60.56/~jnz1568/getInfo.php?workbook=14_04.xlsx&amp;sheet=A0&amp;row=234&amp;col=7&amp;number=0&amp;sourceID=14","0")</f>
        <v>0</v>
      </c>
    </row>
    <row r="235" spans="1:7">
      <c r="A235" s="3">
        <v>14</v>
      </c>
      <c r="B235" s="3">
        <v>4</v>
      </c>
      <c r="C235" s="3">
        <v>65</v>
      </c>
      <c r="D235" s="3">
        <v>4</v>
      </c>
      <c r="E235" s="3">
        <v>-33.288</v>
      </c>
      <c r="F235" s="4" t="str">
        <f>HYPERLINK("http://141.218.60.56/~jnz1568/getInfo.php?workbook=14_04.xlsx&amp;sheet=A0&amp;row=235&amp;col=6&amp;number=7993000000&amp;sourceID=14","7993000000")</f>
        <v>7993000000</v>
      </c>
      <c r="G235" s="4" t="str">
        <f>HYPERLINK("http://141.218.60.56/~jnz1568/getInfo.php?workbook=14_04.xlsx&amp;sheet=A0&amp;row=235&amp;col=7&amp;number=0&amp;sourceID=14","0")</f>
        <v>0</v>
      </c>
    </row>
    <row r="236" spans="1:7">
      <c r="A236" s="3">
        <v>14</v>
      </c>
      <c r="B236" s="3">
        <v>4</v>
      </c>
      <c r="C236" s="3">
        <v>67</v>
      </c>
      <c r="D236" s="3">
        <v>4</v>
      </c>
      <c r="E236" s="3">
        <v>-33.239</v>
      </c>
      <c r="F236" s="4" t="str">
        <f>HYPERLINK("http://141.218.60.56/~jnz1568/getInfo.php?workbook=14_04.xlsx&amp;sheet=A0&amp;row=236&amp;col=6&amp;number=159900000000&amp;sourceID=14","159900000000")</f>
        <v>159900000000</v>
      </c>
      <c r="G236" s="4" t="str">
        <f>HYPERLINK("http://141.218.60.56/~jnz1568/getInfo.php?workbook=14_04.xlsx&amp;sheet=A0&amp;row=236&amp;col=7&amp;number=0&amp;sourceID=14","0")</f>
        <v>0</v>
      </c>
    </row>
    <row r="237" spans="1:7">
      <c r="A237" s="3">
        <v>14</v>
      </c>
      <c r="B237" s="3">
        <v>4</v>
      </c>
      <c r="C237" s="3">
        <v>68</v>
      </c>
      <c r="D237" s="3">
        <v>4</v>
      </c>
      <c r="E237" s="3">
        <v>-33.231</v>
      </c>
      <c r="F237" s="4" t="str">
        <f>HYPERLINK("http://141.218.60.56/~jnz1568/getInfo.php?workbook=14_04.xlsx&amp;sheet=A0&amp;row=237&amp;col=6&amp;number=135000000000&amp;sourceID=14","135000000000")</f>
        <v>135000000000</v>
      </c>
      <c r="G237" s="4" t="str">
        <f>HYPERLINK("http://141.218.60.56/~jnz1568/getInfo.php?workbook=14_04.xlsx&amp;sheet=A0&amp;row=237&amp;col=7&amp;number=0&amp;sourceID=14","0")</f>
        <v>0</v>
      </c>
    </row>
    <row r="238" spans="1:7">
      <c r="A238" s="3">
        <v>14</v>
      </c>
      <c r="B238" s="3">
        <v>4</v>
      </c>
      <c r="C238" s="3">
        <v>69</v>
      </c>
      <c r="D238" s="3">
        <v>4</v>
      </c>
      <c r="E238" s="3">
        <v>-33.222</v>
      </c>
      <c r="F238" s="4" t="str">
        <f>HYPERLINK("http://141.218.60.56/~jnz1568/getInfo.php?workbook=14_04.xlsx&amp;sheet=A0&amp;row=238&amp;col=6&amp;number=575600&amp;sourceID=14","575600")</f>
        <v>575600</v>
      </c>
      <c r="G238" s="4" t="str">
        <f>HYPERLINK("http://141.218.60.56/~jnz1568/getInfo.php?workbook=14_04.xlsx&amp;sheet=A0&amp;row=238&amp;col=7&amp;number=0&amp;sourceID=14","0")</f>
        <v>0</v>
      </c>
    </row>
    <row r="239" spans="1:7">
      <c r="A239" s="3">
        <v>14</v>
      </c>
      <c r="B239" s="3">
        <v>4</v>
      </c>
      <c r="C239" s="3">
        <v>70</v>
      </c>
      <c r="D239" s="3">
        <v>4</v>
      </c>
      <c r="E239" s="3">
        <v>-33.184</v>
      </c>
      <c r="F239" s="4" t="str">
        <f>HYPERLINK("http://141.218.60.56/~jnz1568/getInfo.php?workbook=14_04.xlsx&amp;sheet=A0&amp;row=239&amp;col=6&amp;number=5190000&amp;sourceID=14","5190000")</f>
        <v>5190000</v>
      </c>
      <c r="G239" s="4" t="str">
        <f>HYPERLINK("http://141.218.60.56/~jnz1568/getInfo.php?workbook=14_04.xlsx&amp;sheet=A0&amp;row=239&amp;col=7&amp;number=0&amp;sourceID=14","0")</f>
        <v>0</v>
      </c>
    </row>
    <row r="240" spans="1:7">
      <c r="A240" s="3">
        <v>14</v>
      </c>
      <c r="B240" s="3">
        <v>4</v>
      </c>
      <c r="C240" s="3">
        <v>71</v>
      </c>
      <c r="D240" s="3">
        <v>4</v>
      </c>
      <c r="E240" s="3">
        <v>-33.169</v>
      </c>
      <c r="F240" s="4" t="str">
        <f>HYPERLINK("http://141.218.60.56/~jnz1568/getInfo.php?workbook=14_04.xlsx&amp;sheet=A0&amp;row=240&amp;col=6&amp;number=127100&amp;sourceID=14","127100")</f>
        <v>127100</v>
      </c>
      <c r="G240" s="4" t="str">
        <f>HYPERLINK("http://141.218.60.56/~jnz1568/getInfo.php?workbook=14_04.xlsx&amp;sheet=A0&amp;row=240&amp;col=7&amp;number=0&amp;sourceID=14","0")</f>
        <v>0</v>
      </c>
    </row>
    <row r="241" spans="1:7">
      <c r="A241" s="3">
        <v>14</v>
      </c>
      <c r="B241" s="3">
        <v>4</v>
      </c>
      <c r="C241" s="3">
        <v>72</v>
      </c>
      <c r="D241" s="3">
        <v>4</v>
      </c>
      <c r="E241" s="3">
        <v>-33.145</v>
      </c>
      <c r="F241" s="4" t="str">
        <f>HYPERLINK("http://141.218.60.56/~jnz1568/getInfo.php?workbook=14_04.xlsx&amp;sheet=A0&amp;row=241&amp;col=6&amp;number=3021000000&amp;sourceID=14","3021000000")</f>
        <v>3021000000</v>
      </c>
      <c r="G241" s="4" t="str">
        <f>HYPERLINK("http://141.218.60.56/~jnz1568/getInfo.php?workbook=14_04.xlsx&amp;sheet=A0&amp;row=241&amp;col=7&amp;number=0&amp;sourceID=14","0")</f>
        <v>0</v>
      </c>
    </row>
    <row r="242" spans="1:7">
      <c r="A242" s="3">
        <v>14</v>
      </c>
      <c r="B242" s="3">
        <v>4</v>
      </c>
      <c r="C242" s="3">
        <v>73</v>
      </c>
      <c r="D242" s="3">
        <v>4</v>
      </c>
      <c r="E242" s="3">
        <v>-33.13</v>
      </c>
      <c r="F242" s="4" t="str">
        <f>HYPERLINK("http://141.218.60.56/~jnz1568/getInfo.php?workbook=14_04.xlsx&amp;sheet=A0&amp;row=242&amp;col=6&amp;number=41190000&amp;sourceID=14","41190000")</f>
        <v>41190000</v>
      </c>
      <c r="G242" s="4" t="str">
        <f>HYPERLINK("http://141.218.60.56/~jnz1568/getInfo.php?workbook=14_04.xlsx&amp;sheet=A0&amp;row=242&amp;col=7&amp;number=0&amp;sourceID=14","0")</f>
        <v>0</v>
      </c>
    </row>
    <row r="243" spans="1:7">
      <c r="A243" s="3">
        <v>14</v>
      </c>
      <c r="B243" s="3">
        <v>4</v>
      </c>
      <c r="C243" s="3">
        <v>74</v>
      </c>
      <c r="D243" s="3">
        <v>4</v>
      </c>
      <c r="E243" s="3">
        <v>-33.114</v>
      </c>
      <c r="F243" s="4" t="str">
        <f>HYPERLINK("http://141.218.60.56/~jnz1568/getInfo.php?workbook=14_04.xlsx&amp;sheet=A0&amp;row=243&amp;col=6&amp;number=483600&amp;sourceID=14","483600")</f>
        <v>483600</v>
      </c>
      <c r="G243" s="4" t="str">
        <f>HYPERLINK("http://141.218.60.56/~jnz1568/getInfo.php?workbook=14_04.xlsx&amp;sheet=A0&amp;row=243&amp;col=7&amp;number=0&amp;sourceID=14","0")</f>
        <v>0</v>
      </c>
    </row>
    <row r="244" spans="1:7">
      <c r="A244" s="3">
        <v>14</v>
      </c>
      <c r="B244" s="3">
        <v>4</v>
      </c>
      <c r="C244" s="3">
        <v>75</v>
      </c>
      <c r="D244" s="3">
        <v>4</v>
      </c>
      <c r="E244" s="3">
        <v>-33.093</v>
      </c>
      <c r="F244" s="4" t="str">
        <f>HYPERLINK("http://141.218.60.56/~jnz1568/getInfo.php?workbook=14_04.xlsx&amp;sheet=A0&amp;row=244&amp;col=6&amp;number=3712000&amp;sourceID=14","3712000")</f>
        <v>3712000</v>
      </c>
      <c r="G244" s="4" t="str">
        <f>HYPERLINK("http://141.218.60.56/~jnz1568/getInfo.php?workbook=14_04.xlsx&amp;sheet=A0&amp;row=244&amp;col=7&amp;number=0&amp;sourceID=14","0")</f>
        <v>0</v>
      </c>
    </row>
    <row r="245" spans="1:7">
      <c r="A245" s="3">
        <v>14</v>
      </c>
      <c r="B245" s="3">
        <v>4</v>
      </c>
      <c r="C245" s="3">
        <v>76</v>
      </c>
      <c r="D245" s="3">
        <v>4</v>
      </c>
      <c r="E245" s="3">
        <v>33.035</v>
      </c>
      <c r="F245" s="4" t="str">
        <f>HYPERLINK("http://141.218.60.56/~jnz1568/getInfo.php?workbook=14_04.xlsx&amp;sheet=A0&amp;row=245&amp;col=6&amp;number=31850000&amp;sourceID=14","31850000")</f>
        <v>31850000</v>
      </c>
      <c r="G245" s="4" t="str">
        <f>HYPERLINK("http://141.218.60.56/~jnz1568/getInfo.php?workbook=14_04.xlsx&amp;sheet=A0&amp;row=245&amp;col=7&amp;number=0&amp;sourceID=14","0")</f>
        <v>0</v>
      </c>
    </row>
    <row r="246" spans="1:7">
      <c r="A246" s="3">
        <v>14</v>
      </c>
      <c r="B246" s="3">
        <v>4</v>
      </c>
      <c r="C246" s="3">
        <v>77</v>
      </c>
      <c r="D246" s="3">
        <v>4</v>
      </c>
      <c r="E246" s="3">
        <v>33.025</v>
      </c>
      <c r="F246" s="4" t="str">
        <f>HYPERLINK("http://141.218.60.56/~jnz1568/getInfo.php?workbook=14_04.xlsx&amp;sheet=A0&amp;row=246&amp;col=6&amp;number=33520000&amp;sourceID=14","33520000")</f>
        <v>33520000</v>
      </c>
      <c r="G246" s="4" t="str">
        <f>HYPERLINK("http://141.218.60.56/~jnz1568/getInfo.php?workbook=14_04.xlsx&amp;sheet=A0&amp;row=246&amp;col=7&amp;number=0&amp;sourceID=14","0")</f>
        <v>0</v>
      </c>
    </row>
    <row r="247" spans="1:7">
      <c r="A247" s="3">
        <v>14</v>
      </c>
      <c r="B247" s="3">
        <v>4</v>
      </c>
      <c r="C247" s="3">
        <v>78</v>
      </c>
      <c r="D247" s="3">
        <v>4</v>
      </c>
      <c r="E247" s="3">
        <v>-33.028</v>
      </c>
      <c r="F247" s="4" t="str">
        <f>HYPERLINK("http://141.218.60.56/~jnz1568/getInfo.php?workbook=14_04.xlsx&amp;sheet=A0&amp;row=247&amp;col=6&amp;number=39880000&amp;sourceID=14","39880000")</f>
        <v>39880000</v>
      </c>
      <c r="G247" s="4" t="str">
        <f>HYPERLINK("http://141.218.60.56/~jnz1568/getInfo.php?workbook=14_04.xlsx&amp;sheet=A0&amp;row=247&amp;col=7&amp;number=0&amp;sourceID=14","0")</f>
        <v>0</v>
      </c>
    </row>
    <row r="248" spans="1:7">
      <c r="A248" s="3">
        <v>14</v>
      </c>
      <c r="B248" s="3">
        <v>4</v>
      </c>
      <c r="C248" s="3">
        <v>79</v>
      </c>
      <c r="D248" s="3">
        <v>4</v>
      </c>
      <c r="E248" s="3">
        <v>-33.023</v>
      </c>
      <c r="F248" s="4" t="str">
        <f>HYPERLINK("http://141.218.60.56/~jnz1568/getInfo.php?workbook=14_04.xlsx&amp;sheet=A0&amp;row=248&amp;col=6&amp;number=42260000&amp;sourceID=14","42260000")</f>
        <v>42260000</v>
      </c>
      <c r="G248" s="4" t="str">
        <f>HYPERLINK("http://141.218.60.56/~jnz1568/getInfo.php?workbook=14_04.xlsx&amp;sheet=A0&amp;row=248&amp;col=7&amp;number=0&amp;sourceID=14","0")</f>
        <v>0</v>
      </c>
    </row>
    <row r="249" spans="1:7">
      <c r="A249" s="3">
        <v>14</v>
      </c>
      <c r="B249" s="3">
        <v>4</v>
      </c>
      <c r="C249" s="3">
        <v>81</v>
      </c>
      <c r="D249" s="3">
        <v>4</v>
      </c>
      <c r="E249" s="3">
        <v>32.915</v>
      </c>
      <c r="F249" s="4" t="str">
        <f>HYPERLINK("http://141.218.60.56/~jnz1568/getInfo.php?workbook=14_04.xlsx&amp;sheet=A0&amp;row=249&amp;col=6&amp;number=63020&amp;sourceID=14","63020")</f>
        <v>63020</v>
      </c>
      <c r="G249" s="4" t="str">
        <f>HYPERLINK("http://141.218.60.56/~jnz1568/getInfo.php?workbook=14_04.xlsx&amp;sheet=A0&amp;row=249&amp;col=7&amp;number=0&amp;sourceID=14","0")</f>
        <v>0</v>
      </c>
    </row>
    <row r="250" spans="1:7">
      <c r="A250" s="3">
        <v>14</v>
      </c>
      <c r="B250" s="3">
        <v>4</v>
      </c>
      <c r="C250" s="3">
        <v>82</v>
      </c>
      <c r="D250" s="3">
        <v>4</v>
      </c>
      <c r="E250" s="3">
        <v>-32.894</v>
      </c>
      <c r="F250" s="4" t="str">
        <f>HYPERLINK("http://141.218.60.56/~jnz1568/getInfo.php?workbook=14_04.xlsx&amp;sheet=A0&amp;row=250&amp;col=6&amp;number=49310&amp;sourceID=14","49310")</f>
        <v>49310</v>
      </c>
      <c r="G250" s="4" t="str">
        <f>HYPERLINK("http://141.218.60.56/~jnz1568/getInfo.php?workbook=14_04.xlsx&amp;sheet=A0&amp;row=250&amp;col=7&amp;number=0&amp;sourceID=14","0")</f>
        <v>0</v>
      </c>
    </row>
    <row r="251" spans="1:7">
      <c r="A251" s="3">
        <v>14</v>
      </c>
      <c r="B251" s="3">
        <v>4</v>
      </c>
      <c r="C251" s="3">
        <v>83</v>
      </c>
      <c r="D251" s="3">
        <v>4</v>
      </c>
      <c r="E251" s="3">
        <v>-32.248</v>
      </c>
      <c r="F251" s="4" t="str">
        <f>HYPERLINK("http://141.218.60.56/~jnz1568/getInfo.php?workbook=14_04.xlsx&amp;sheet=A0&amp;row=251&amp;col=6&amp;number=22590000000&amp;sourceID=14","22590000000")</f>
        <v>22590000000</v>
      </c>
      <c r="G251" s="4" t="str">
        <f>HYPERLINK("http://141.218.60.56/~jnz1568/getInfo.php?workbook=14_04.xlsx&amp;sheet=A0&amp;row=251&amp;col=7&amp;number=0&amp;sourceID=14","0")</f>
        <v>0</v>
      </c>
    </row>
    <row r="252" spans="1:7">
      <c r="A252" s="3">
        <v>14</v>
      </c>
      <c r="B252" s="3">
        <v>4</v>
      </c>
      <c r="C252" s="3">
        <v>85</v>
      </c>
      <c r="D252" s="3">
        <v>4</v>
      </c>
      <c r="E252" s="3">
        <v>-32.098</v>
      </c>
      <c r="F252" s="4" t="str">
        <f>HYPERLINK("http://141.218.60.56/~jnz1568/getInfo.php?workbook=14_04.xlsx&amp;sheet=A0&amp;row=252&amp;col=6&amp;number=43650000&amp;sourceID=14","43650000")</f>
        <v>43650000</v>
      </c>
      <c r="G252" s="4" t="str">
        <f>HYPERLINK("http://141.218.60.56/~jnz1568/getInfo.php?workbook=14_04.xlsx&amp;sheet=A0&amp;row=252&amp;col=7&amp;number=0&amp;sourceID=14","0")</f>
        <v>0</v>
      </c>
    </row>
    <row r="253" spans="1:7">
      <c r="A253" s="3">
        <v>14</v>
      </c>
      <c r="B253" s="3">
        <v>4</v>
      </c>
      <c r="C253" s="3">
        <v>86</v>
      </c>
      <c r="D253" s="3">
        <v>4</v>
      </c>
      <c r="E253" s="3">
        <v>-32.097</v>
      </c>
      <c r="F253" s="4" t="str">
        <f>HYPERLINK("http://141.218.60.56/~jnz1568/getInfo.php?workbook=14_04.xlsx&amp;sheet=A0&amp;row=253&amp;col=6&amp;number=32620000&amp;sourceID=14","32620000")</f>
        <v>32620000</v>
      </c>
      <c r="G253" s="4" t="str">
        <f>HYPERLINK("http://141.218.60.56/~jnz1568/getInfo.php?workbook=14_04.xlsx&amp;sheet=A0&amp;row=253&amp;col=7&amp;number=0&amp;sourceID=14","0")</f>
        <v>0</v>
      </c>
    </row>
    <row r="254" spans="1:7">
      <c r="A254" s="3">
        <v>14</v>
      </c>
      <c r="B254" s="3">
        <v>4</v>
      </c>
      <c r="C254" s="3">
        <v>87</v>
      </c>
      <c r="D254" s="3">
        <v>4</v>
      </c>
      <c r="E254" s="3">
        <v>32.025</v>
      </c>
      <c r="F254" s="4" t="str">
        <f>HYPERLINK("http://141.218.60.56/~jnz1568/getInfo.php?workbook=14_04.xlsx&amp;sheet=A0&amp;row=254&amp;col=6&amp;number=15540000&amp;sourceID=14","15540000")</f>
        <v>15540000</v>
      </c>
      <c r="G254" s="4" t="str">
        <f>HYPERLINK("http://141.218.60.56/~jnz1568/getInfo.php?workbook=14_04.xlsx&amp;sheet=A0&amp;row=254&amp;col=7&amp;number=0&amp;sourceID=14","0")</f>
        <v>0</v>
      </c>
    </row>
    <row r="255" spans="1:7">
      <c r="A255" s="3">
        <v>14</v>
      </c>
      <c r="B255" s="3">
        <v>4</v>
      </c>
      <c r="C255" s="3">
        <v>88</v>
      </c>
      <c r="D255" s="3">
        <v>4</v>
      </c>
      <c r="E255" s="3">
        <v>-32.067</v>
      </c>
      <c r="F255" s="4" t="str">
        <f>HYPERLINK("http://141.218.60.56/~jnz1568/getInfo.php?workbook=14_04.xlsx&amp;sheet=A0&amp;row=255&amp;col=6&amp;number=184000&amp;sourceID=14","184000")</f>
        <v>184000</v>
      </c>
      <c r="G255" s="4" t="str">
        <f>HYPERLINK("http://141.218.60.56/~jnz1568/getInfo.php?workbook=14_04.xlsx&amp;sheet=A0&amp;row=255&amp;col=7&amp;number=0&amp;sourceID=14","0")</f>
        <v>0</v>
      </c>
    </row>
    <row r="256" spans="1:7">
      <c r="A256" s="3">
        <v>14</v>
      </c>
      <c r="B256" s="3">
        <v>4</v>
      </c>
      <c r="C256" s="3">
        <v>89</v>
      </c>
      <c r="D256" s="3">
        <v>4</v>
      </c>
      <c r="E256" s="3">
        <v>-32.01</v>
      </c>
      <c r="F256" s="4" t="str">
        <f>HYPERLINK("http://141.218.60.56/~jnz1568/getInfo.php?workbook=14_04.xlsx&amp;sheet=A0&amp;row=256&amp;col=6&amp;number=5382000000&amp;sourceID=14","5382000000")</f>
        <v>5382000000</v>
      </c>
      <c r="G256" s="4" t="str">
        <f>HYPERLINK("http://141.218.60.56/~jnz1568/getInfo.php?workbook=14_04.xlsx&amp;sheet=A0&amp;row=256&amp;col=7&amp;number=0&amp;sourceID=14","0")</f>
        <v>0</v>
      </c>
    </row>
    <row r="257" spans="1:7">
      <c r="A257" s="3">
        <v>14</v>
      </c>
      <c r="B257" s="3">
        <v>4</v>
      </c>
      <c r="C257" s="3">
        <v>90</v>
      </c>
      <c r="D257" s="3">
        <v>4</v>
      </c>
      <c r="E257" s="3">
        <v>31.979</v>
      </c>
      <c r="F257" s="4" t="str">
        <f>HYPERLINK("http://141.218.60.56/~jnz1568/getInfo.php?workbook=14_04.xlsx&amp;sheet=A0&amp;row=257&amp;col=6&amp;number=48650000000&amp;sourceID=14","48650000000")</f>
        <v>48650000000</v>
      </c>
      <c r="G257" s="4" t="str">
        <f>HYPERLINK("http://141.218.60.56/~jnz1568/getInfo.php?workbook=14_04.xlsx&amp;sheet=A0&amp;row=257&amp;col=7&amp;number=0&amp;sourceID=14","0")</f>
        <v>0</v>
      </c>
    </row>
    <row r="258" spans="1:7">
      <c r="A258" s="3">
        <v>14</v>
      </c>
      <c r="B258" s="3">
        <v>4</v>
      </c>
      <c r="C258" s="3">
        <v>91</v>
      </c>
      <c r="D258" s="3">
        <v>4</v>
      </c>
      <c r="E258" s="3">
        <v>31.979</v>
      </c>
      <c r="F258" s="4" t="str">
        <f>HYPERLINK("http://141.218.60.56/~jnz1568/getInfo.php?workbook=14_04.xlsx&amp;sheet=A0&amp;row=258&amp;col=6&amp;number=195100000000&amp;sourceID=14","195100000000")</f>
        <v>195100000000</v>
      </c>
      <c r="G258" s="4" t="str">
        <f>HYPERLINK("http://141.218.60.56/~jnz1568/getInfo.php?workbook=14_04.xlsx&amp;sheet=A0&amp;row=258&amp;col=7&amp;number=0&amp;sourceID=14","0")</f>
        <v>0</v>
      </c>
    </row>
    <row r="259" spans="1:7">
      <c r="A259" s="3">
        <v>14</v>
      </c>
      <c r="B259" s="3">
        <v>4</v>
      </c>
      <c r="C259" s="3">
        <v>92</v>
      </c>
      <c r="D259" s="3">
        <v>4</v>
      </c>
      <c r="E259" s="3">
        <v>31.939</v>
      </c>
      <c r="F259" s="4" t="str">
        <f>HYPERLINK("http://141.218.60.56/~jnz1568/getInfo.php?workbook=14_04.xlsx&amp;sheet=A0&amp;row=259&amp;col=6&amp;number=9408000&amp;sourceID=14","9408000")</f>
        <v>9408000</v>
      </c>
      <c r="G259" s="4" t="str">
        <f>HYPERLINK("http://141.218.60.56/~jnz1568/getInfo.php?workbook=14_04.xlsx&amp;sheet=A0&amp;row=259&amp;col=7&amp;number=0&amp;sourceID=14","0")</f>
        <v>0</v>
      </c>
    </row>
    <row r="260" spans="1:7">
      <c r="A260" s="3">
        <v>14</v>
      </c>
      <c r="B260" s="3">
        <v>4</v>
      </c>
      <c r="C260" s="3">
        <v>6</v>
      </c>
      <c r="D260" s="3">
        <v>5</v>
      </c>
      <c r="E260" s="3">
        <v>877.341</v>
      </c>
      <c r="F260" s="4" t="str">
        <f>HYPERLINK("http://141.218.60.56/~jnz1568/getInfo.php?workbook=14_04.xlsx&amp;sheet=A0&amp;row=260&amp;col=6&amp;number=541800&amp;sourceID=14","541800")</f>
        <v>541800</v>
      </c>
      <c r="G260" s="4" t="str">
        <f>HYPERLINK("http://141.218.60.56/~jnz1568/getInfo.php?workbook=14_04.xlsx&amp;sheet=A0&amp;row=260&amp;col=7&amp;number=0&amp;sourceID=14","0")</f>
        <v>0</v>
      </c>
    </row>
    <row r="261" spans="1:7">
      <c r="A261" s="3">
        <v>14</v>
      </c>
      <c r="B261" s="3">
        <v>4</v>
      </c>
      <c r="C261" s="3">
        <v>7</v>
      </c>
      <c r="D261" s="3">
        <v>5</v>
      </c>
      <c r="E261" s="3">
        <v>856.1</v>
      </c>
      <c r="F261" s="4" t="str">
        <f>HYPERLINK("http://141.218.60.56/~jnz1568/getInfo.php?workbook=14_04.xlsx&amp;sheet=A0&amp;row=261&amp;col=6&amp;number=49580&amp;sourceID=14","49580")</f>
        <v>49580</v>
      </c>
      <c r="G261" s="4" t="str">
        <f>HYPERLINK("http://141.218.60.56/~jnz1568/getInfo.php?workbook=14_04.xlsx&amp;sheet=A0&amp;row=261&amp;col=7&amp;number=0&amp;sourceID=14","0")</f>
        <v>0</v>
      </c>
    </row>
    <row r="262" spans="1:7">
      <c r="A262" s="3">
        <v>14</v>
      </c>
      <c r="B262" s="3">
        <v>4</v>
      </c>
      <c r="C262" s="3">
        <v>8</v>
      </c>
      <c r="D262" s="3">
        <v>5</v>
      </c>
      <c r="E262" s="3">
        <v>824.574</v>
      </c>
      <c r="F262" s="4" t="str">
        <f>HYPERLINK("http://141.218.60.56/~jnz1568/getInfo.php?workbook=14_04.xlsx&amp;sheet=A0&amp;row=262&amp;col=6&amp;number=1847000&amp;sourceID=14","1847000")</f>
        <v>1847000</v>
      </c>
      <c r="G262" s="4" t="str">
        <f>HYPERLINK("http://141.218.60.56/~jnz1568/getInfo.php?workbook=14_04.xlsx&amp;sheet=A0&amp;row=262&amp;col=7&amp;number=0&amp;sourceID=14","0")</f>
        <v>0</v>
      </c>
    </row>
    <row r="263" spans="1:7">
      <c r="A263" s="3">
        <v>14</v>
      </c>
      <c r="B263" s="3">
        <v>4</v>
      </c>
      <c r="C263" s="3">
        <v>9</v>
      </c>
      <c r="D263" s="3">
        <v>5</v>
      </c>
      <c r="E263" s="3">
        <v>604.121</v>
      </c>
      <c r="F263" s="4" t="str">
        <f>HYPERLINK("http://141.218.60.56/~jnz1568/getInfo.php?workbook=14_04.xlsx&amp;sheet=A0&amp;row=263&amp;col=6&amp;number=1067000000&amp;sourceID=14","1067000000")</f>
        <v>1067000000</v>
      </c>
      <c r="G263" s="4" t="str">
        <f>HYPERLINK("http://141.218.60.56/~jnz1568/getInfo.php?workbook=14_04.xlsx&amp;sheet=A0&amp;row=263&amp;col=7&amp;number=0&amp;sourceID=14","0")</f>
        <v>0</v>
      </c>
    </row>
    <row r="264" spans="1:7">
      <c r="A264" s="3">
        <v>14</v>
      </c>
      <c r="B264" s="3">
        <v>4</v>
      </c>
      <c r="C264" s="3">
        <v>10</v>
      </c>
      <c r="D264" s="3">
        <v>5</v>
      </c>
      <c r="E264" s="3">
        <v>359.028</v>
      </c>
      <c r="F264" s="4" t="str">
        <f>HYPERLINK("http://141.218.60.56/~jnz1568/getInfo.php?workbook=14_04.xlsx&amp;sheet=A0&amp;row=264&amp;col=6&amp;number=9748000000&amp;sourceID=14","9748000000")</f>
        <v>9748000000</v>
      </c>
      <c r="G264" s="4" t="str">
        <f>HYPERLINK("http://141.218.60.56/~jnz1568/getInfo.php?workbook=14_04.xlsx&amp;sheet=A0&amp;row=264&amp;col=7&amp;number=0&amp;sourceID=14","0")</f>
        <v>0</v>
      </c>
    </row>
    <row r="265" spans="1:7">
      <c r="A265" s="3">
        <v>14</v>
      </c>
      <c r="B265" s="3">
        <v>4</v>
      </c>
      <c r="C265" s="3">
        <v>11</v>
      </c>
      <c r="D265" s="3">
        <v>5</v>
      </c>
      <c r="E265" s="3">
        <v>53.051</v>
      </c>
      <c r="F265" s="4" t="str">
        <f>HYPERLINK("http://141.218.60.56/~jnz1568/getInfo.php?workbook=14_04.xlsx&amp;sheet=A0&amp;row=265&amp;col=6&amp;number=49440000&amp;sourceID=14","49440000")</f>
        <v>49440000</v>
      </c>
      <c r="G265" s="4" t="str">
        <f>HYPERLINK("http://141.218.60.56/~jnz1568/getInfo.php?workbook=14_04.xlsx&amp;sheet=A0&amp;row=265&amp;col=7&amp;number=0&amp;sourceID=14","0")</f>
        <v>0</v>
      </c>
    </row>
    <row r="266" spans="1:7">
      <c r="A266" s="3">
        <v>14</v>
      </c>
      <c r="B266" s="3">
        <v>4</v>
      </c>
      <c r="C266" s="3">
        <v>12</v>
      </c>
      <c r="D266" s="3">
        <v>5</v>
      </c>
      <c r="E266" s="3">
        <v>52.291</v>
      </c>
      <c r="F266" s="4" t="str">
        <f>HYPERLINK("http://141.218.60.56/~jnz1568/getInfo.php?workbook=14_04.xlsx&amp;sheet=A0&amp;row=266&amp;col=6&amp;number=98190000000&amp;sourceID=14","98190000000")</f>
        <v>98190000000</v>
      </c>
      <c r="G266" s="4" t="str">
        <f>HYPERLINK("http://141.218.60.56/~jnz1568/getInfo.php?workbook=14_04.xlsx&amp;sheet=A0&amp;row=266&amp;col=7&amp;number=0&amp;sourceID=14","0")</f>
        <v>0</v>
      </c>
    </row>
    <row r="267" spans="1:7">
      <c r="A267" s="3">
        <v>14</v>
      </c>
      <c r="B267" s="3">
        <v>4</v>
      </c>
      <c r="C267" s="3">
        <v>13</v>
      </c>
      <c r="D267" s="3">
        <v>5</v>
      </c>
      <c r="E267" s="3">
        <v>51.124</v>
      </c>
      <c r="F267" s="4" t="str">
        <f>HYPERLINK("http://141.218.60.56/~jnz1568/getInfo.php?workbook=14_04.xlsx&amp;sheet=A0&amp;row=267&amp;col=6&amp;number=30920000&amp;sourceID=14","30920000")</f>
        <v>30920000</v>
      </c>
      <c r="G267" s="4" t="str">
        <f>HYPERLINK("http://141.218.60.56/~jnz1568/getInfo.php?workbook=14_04.xlsx&amp;sheet=A0&amp;row=267&amp;col=7&amp;number=0&amp;sourceID=14","0")</f>
        <v>0</v>
      </c>
    </row>
    <row r="268" spans="1:7">
      <c r="A268" s="3">
        <v>14</v>
      </c>
      <c r="B268" s="3">
        <v>4</v>
      </c>
      <c r="C268" s="3">
        <v>14</v>
      </c>
      <c r="D268" s="3">
        <v>5</v>
      </c>
      <c r="E268" s="3">
        <v>-51.288</v>
      </c>
      <c r="F268" s="4" t="str">
        <f>HYPERLINK("http://141.218.60.56/~jnz1568/getInfo.php?workbook=14_04.xlsx&amp;sheet=A0&amp;row=268&amp;col=6&amp;number=353.8&amp;sourceID=14","353.8")</f>
        <v>353.8</v>
      </c>
      <c r="G268" s="4" t="str">
        <f>HYPERLINK("http://141.218.60.56/~jnz1568/getInfo.php?workbook=14_04.xlsx&amp;sheet=A0&amp;row=268&amp;col=7&amp;number=0&amp;sourceID=14","0")</f>
        <v>0</v>
      </c>
    </row>
    <row r="269" spans="1:7">
      <c r="A269" s="3">
        <v>14</v>
      </c>
      <c r="B269" s="3">
        <v>4</v>
      </c>
      <c r="C269" s="3">
        <v>15</v>
      </c>
      <c r="D269" s="3">
        <v>5</v>
      </c>
      <c r="E269" s="3">
        <v>51.036</v>
      </c>
      <c r="F269" s="4" t="str">
        <f>HYPERLINK("http://141.218.60.56/~jnz1568/getInfo.php?workbook=14_04.xlsx&amp;sheet=A0&amp;row=269&amp;col=6&amp;number=2227000&amp;sourceID=14","2227000")</f>
        <v>2227000</v>
      </c>
      <c r="G269" s="4" t="str">
        <f>HYPERLINK("http://141.218.60.56/~jnz1568/getInfo.php?workbook=14_04.xlsx&amp;sheet=A0&amp;row=269&amp;col=7&amp;number=0&amp;sourceID=14","0")</f>
        <v>0</v>
      </c>
    </row>
    <row r="270" spans="1:7">
      <c r="A270" s="3">
        <v>14</v>
      </c>
      <c r="B270" s="3">
        <v>4</v>
      </c>
      <c r="C270" s="3">
        <v>16</v>
      </c>
      <c r="D270" s="3">
        <v>5</v>
      </c>
      <c r="E270" s="3">
        <v>51.066</v>
      </c>
      <c r="F270" s="4" t="str">
        <f>HYPERLINK("http://141.218.60.56/~jnz1568/getInfo.php?workbook=14_04.xlsx&amp;sheet=A0&amp;row=270&amp;col=6&amp;number=15320&amp;sourceID=14","15320")</f>
        <v>15320</v>
      </c>
      <c r="G270" s="4" t="str">
        <f>HYPERLINK("http://141.218.60.56/~jnz1568/getInfo.php?workbook=14_04.xlsx&amp;sheet=A0&amp;row=270&amp;col=7&amp;number=0&amp;sourceID=14","0")</f>
        <v>0</v>
      </c>
    </row>
    <row r="271" spans="1:7">
      <c r="A271" s="3">
        <v>14</v>
      </c>
      <c r="B271" s="3">
        <v>4</v>
      </c>
      <c r="C271" s="3">
        <v>17</v>
      </c>
      <c r="D271" s="3">
        <v>5</v>
      </c>
      <c r="E271" s="3">
        <v>49.969</v>
      </c>
      <c r="F271" s="4" t="str">
        <f>HYPERLINK("http://141.218.60.56/~jnz1568/getInfo.php?workbook=14_04.xlsx&amp;sheet=A0&amp;row=271&amp;col=6&amp;number=220100000&amp;sourceID=14","220100000")</f>
        <v>220100000</v>
      </c>
      <c r="G271" s="4" t="str">
        <f>HYPERLINK("http://141.218.60.56/~jnz1568/getInfo.php?workbook=14_04.xlsx&amp;sheet=A0&amp;row=271&amp;col=7&amp;number=0&amp;sourceID=14","0")</f>
        <v>0</v>
      </c>
    </row>
    <row r="272" spans="1:7">
      <c r="A272" s="3">
        <v>14</v>
      </c>
      <c r="B272" s="3">
        <v>4</v>
      </c>
      <c r="C272" s="3">
        <v>18</v>
      </c>
      <c r="D272" s="3">
        <v>5</v>
      </c>
      <c r="E272" s="3">
        <v>49.938</v>
      </c>
      <c r="F272" s="4" t="str">
        <f>HYPERLINK("http://141.218.60.56/~jnz1568/getInfo.php?workbook=14_04.xlsx&amp;sheet=A0&amp;row=272&amp;col=6&amp;number=187300000&amp;sourceID=14","187300000")</f>
        <v>187300000</v>
      </c>
      <c r="G272" s="4" t="str">
        <f>HYPERLINK("http://141.218.60.56/~jnz1568/getInfo.php?workbook=14_04.xlsx&amp;sheet=A0&amp;row=272&amp;col=7&amp;number=0&amp;sourceID=14","0")</f>
        <v>0</v>
      </c>
    </row>
    <row r="273" spans="1:7">
      <c r="A273" s="3">
        <v>14</v>
      </c>
      <c r="B273" s="3">
        <v>4</v>
      </c>
      <c r="C273" s="3">
        <v>20</v>
      </c>
      <c r="D273" s="3">
        <v>5</v>
      </c>
      <c r="E273" s="3">
        <v>49.181</v>
      </c>
      <c r="F273" s="4" t="str">
        <f>HYPERLINK("http://141.218.60.56/~jnz1568/getInfo.php?workbook=14_04.xlsx&amp;sheet=A0&amp;row=273&amp;col=6&amp;number=899100000000&amp;sourceID=14","899100000000")</f>
        <v>899100000000</v>
      </c>
      <c r="G273" s="4" t="str">
        <f>HYPERLINK("http://141.218.60.56/~jnz1568/getInfo.php?workbook=14_04.xlsx&amp;sheet=A0&amp;row=273&amp;col=7&amp;number=0&amp;sourceID=14","0")</f>
        <v>0</v>
      </c>
    </row>
    <row r="274" spans="1:7">
      <c r="A274" s="3">
        <v>14</v>
      </c>
      <c r="B274" s="3">
        <v>4</v>
      </c>
      <c r="C274" s="3">
        <v>21</v>
      </c>
      <c r="D274" s="3">
        <v>5</v>
      </c>
      <c r="E274" s="3">
        <v>47.709</v>
      </c>
      <c r="F274" s="4" t="str">
        <f>HYPERLINK("http://141.218.60.56/~jnz1568/getInfo.php?workbook=14_04.xlsx&amp;sheet=A0&amp;row=274&amp;col=6&amp;number=3.531&amp;sourceID=14","3.531")</f>
        <v>3.531</v>
      </c>
      <c r="G274" s="4" t="str">
        <f>HYPERLINK("http://141.218.60.56/~jnz1568/getInfo.php?workbook=14_04.xlsx&amp;sheet=A0&amp;row=274&amp;col=7&amp;number=0&amp;sourceID=14","0")</f>
        <v>0</v>
      </c>
    </row>
    <row r="275" spans="1:7">
      <c r="A275" s="3">
        <v>14</v>
      </c>
      <c r="B275" s="3">
        <v>4</v>
      </c>
      <c r="C275" s="3">
        <v>22</v>
      </c>
      <c r="D275" s="3">
        <v>5</v>
      </c>
      <c r="E275" s="3">
        <v>-47.881</v>
      </c>
      <c r="F275" s="4" t="str">
        <f>HYPERLINK("http://141.218.60.56/~jnz1568/getInfo.php?workbook=14_04.xlsx&amp;sheet=A0&amp;row=275&amp;col=6&amp;number=52330&amp;sourceID=14","52330")</f>
        <v>52330</v>
      </c>
      <c r="G275" s="4" t="str">
        <f>HYPERLINK("http://141.218.60.56/~jnz1568/getInfo.php?workbook=14_04.xlsx&amp;sheet=A0&amp;row=275&amp;col=7&amp;number=0&amp;sourceID=14","0")</f>
        <v>0</v>
      </c>
    </row>
    <row r="276" spans="1:7">
      <c r="A276" s="3">
        <v>14</v>
      </c>
      <c r="B276" s="3">
        <v>4</v>
      </c>
      <c r="C276" s="3">
        <v>23</v>
      </c>
      <c r="D276" s="3">
        <v>5</v>
      </c>
      <c r="E276" s="3">
        <v>-47.751</v>
      </c>
      <c r="F276" s="4" t="str">
        <f>HYPERLINK("http://141.218.60.56/~jnz1568/getInfo.php?workbook=14_04.xlsx&amp;sheet=A0&amp;row=276&amp;col=6&amp;number=232.2&amp;sourceID=14","232.2")</f>
        <v>232.2</v>
      </c>
      <c r="G276" s="4" t="str">
        <f>HYPERLINK("http://141.218.60.56/~jnz1568/getInfo.php?workbook=14_04.xlsx&amp;sheet=A0&amp;row=276&amp;col=7&amp;number=0&amp;sourceID=14","0")</f>
        <v>0</v>
      </c>
    </row>
    <row r="277" spans="1:7">
      <c r="A277" s="3">
        <v>14</v>
      </c>
      <c r="B277" s="3">
        <v>4</v>
      </c>
      <c r="C277" s="3">
        <v>24</v>
      </c>
      <c r="D277" s="3">
        <v>5</v>
      </c>
      <c r="E277" s="3">
        <v>-47.064</v>
      </c>
      <c r="F277" s="4" t="str">
        <f>HYPERLINK("http://141.218.60.56/~jnz1568/getInfo.php?workbook=14_04.xlsx&amp;sheet=A0&amp;row=277&amp;col=6&amp;number=3315000&amp;sourceID=14","3315000")</f>
        <v>3315000</v>
      </c>
      <c r="G277" s="4" t="str">
        <f>HYPERLINK("http://141.218.60.56/~jnz1568/getInfo.php?workbook=14_04.xlsx&amp;sheet=A0&amp;row=277&amp;col=7&amp;number=0&amp;sourceID=14","0")</f>
        <v>0</v>
      </c>
    </row>
    <row r="278" spans="1:7">
      <c r="A278" s="3">
        <v>14</v>
      </c>
      <c r="B278" s="3">
        <v>4</v>
      </c>
      <c r="C278" s="3">
        <v>25</v>
      </c>
      <c r="D278" s="3">
        <v>5</v>
      </c>
      <c r="E278" s="3">
        <v>-46.852</v>
      </c>
      <c r="F278" s="4" t="str">
        <f>HYPERLINK("http://141.218.60.56/~jnz1568/getInfo.php?workbook=14_04.xlsx&amp;sheet=A0&amp;row=278&amp;col=6&amp;number=326300000000&amp;sourceID=14","326300000000")</f>
        <v>326300000000</v>
      </c>
      <c r="G278" s="4" t="str">
        <f>HYPERLINK("http://141.218.60.56/~jnz1568/getInfo.php?workbook=14_04.xlsx&amp;sheet=A0&amp;row=278&amp;col=7&amp;number=0&amp;sourceID=14","0")</f>
        <v>0</v>
      </c>
    </row>
    <row r="279" spans="1:7">
      <c r="A279" s="3">
        <v>14</v>
      </c>
      <c r="B279" s="3">
        <v>4</v>
      </c>
      <c r="C279" s="3">
        <v>26</v>
      </c>
      <c r="D279" s="3">
        <v>5</v>
      </c>
      <c r="E279" s="3">
        <v>-46.661</v>
      </c>
      <c r="F279" s="4" t="str">
        <f>HYPERLINK("http://141.218.60.56/~jnz1568/getInfo.php?workbook=14_04.xlsx&amp;sheet=A0&amp;row=279&amp;col=6&amp;number=53170000000&amp;sourceID=14","53170000000")</f>
        <v>53170000000</v>
      </c>
      <c r="G279" s="4" t="str">
        <f>HYPERLINK("http://141.218.60.56/~jnz1568/getInfo.php?workbook=14_04.xlsx&amp;sheet=A0&amp;row=279&amp;col=7&amp;number=0&amp;sourceID=14","0")</f>
        <v>0</v>
      </c>
    </row>
    <row r="280" spans="1:7">
      <c r="A280" s="3">
        <v>14</v>
      </c>
      <c r="B280" s="3">
        <v>4</v>
      </c>
      <c r="C280" s="3">
        <v>27</v>
      </c>
      <c r="D280" s="3">
        <v>5</v>
      </c>
      <c r="E280" s="3">
        <v>46.456</v>
      </c>
      <c r="F280" s="4" t="str">
        <f>HYPERLINK("http://141.218.60.56/~jnz1568/getInfo.php?workbook=14_04.xlsx&amp;sheet=A0&amp;row=280&amp;col=6&amp;number=702500000&amp;sourceID=14","702500000")</f>
        <v>702500000</v>
      </c>
      <c r="G280" s="4" t="str">
        <f>HYPERLINK("http://141.218.60.56/~jnz1568/getInfo.php?workbook=14_04.xlsx&amp;sheet=A0&amp;row=280&amp;col=7&amp;number=0&amp;sourceID=14","0")</f>
        <v>0</v>
      </c>
    </row>
    <row r="281" spans="1:7">
      <c r="A281" s="3">
        <v>14</v>
      </c>
      <c r="B281" s="3">
        <v>4</v>
      </c>
      <c r="C281" s="3">
        <v>29</v>
      </c>
      <c r="D281" s="3">
        <v>5</v>
      </c>
      <c r="E281" s="3">
        <v>46.067</v>
      </c>
      <c r="F281" s="4" t="str">
        <f>HYPERLINK("http://141.218.60.56/~jnz1568/getInfo.php?workbook=14_04.xlsx&amp;sheet=A0&amp;row=281&amp;col=6&amp;number=6223000000&amp;sourceID=14","6223000000")</f>
        <v>6223000000</v>
      </c>
      <c r="G281" s="4" t="str">
        <f>HYPERLINK("http://141.218.60.56/~jnz1568/getInfo.php?workbook=14_04.xlsx&amp;sheet=A0&amp;row=281&amp;col=7&amp;number=0&amp;sourceID=14","0")</f>
        <v>0</v>
      </c>
    </row>
    <row r="282" spans="1:7">
      <c r="A282" s="3">
        <v>14</v>
      </c>
      <c r="B282" s="3">
        <v>4</v>
      </c>
      <c r="C282" s="3">
        <v>30</v>
      </c>
      <c r="D282" s="3">
        <v>5</v>
      </c>
      <c r="E282" s="3">
        <v>-46.069</v>
      </c>
      <c r="F282" s="4" t="str">
        <f>HYPERLINK("http://141.218.60.56/~jnz1568/getInfo.php?workbook=14_04.xlsx&amp;sheet=A0&amp;row=282&amp;col=6&amp;number=707000000&amp;sourceID=14","707000000")</f>
        <v>707000000</v>
      </c>
      <c r="G282" s="4" t="str">
        <f>HYPERLINK("http://141.218.60.56/~jnz1568/getInfo.php?workbook=14_04.xlsx&amp;sheet=A0&amp;row=282&amp;col=7&amp;number=0&amp;sourceID=14","0")</f>
        <v>0</v>
      </c>
    </row>
    <row r="283" spans="1:7">
      <c r="A283" s="3">
        <v>14</v>
      </c>
      <c r="B283" s="3">
        <v>4</v>
      </c>
      <c r="C283" s="3">
        <v>31</v>
      </c>
      <c r="D283" s="3">
        <v>5</v>
      </c>
      <c r="E283" s="3">
        <v>45.816</v>
      </c>
      <c r="F283" s="4" t="str">
        <f>HYPERLINK("http://141.218.60.56/~jnz1568/getInfo.php?workbook=14_04.xlsx&amp;sheet=A0&amp;row=283&amp;col=6&amp;number=459100000&amp;sourceID=14","459100000")</f>
        <v>459100000</v>
      </c>
      <c r="G283" s="4" t="str">
        <f>HYPERLINK("http://141.218.60.56/~jnz1568/getInfo.php?workbook=14_04.xlsx&amp;sheet=A0&amp;row=283&amp;col=7&amp;number=0&amp;sourceID=14","0")</f>
        <v>0</v>
      </c>
    </row>
    <row r="284" spans="1:7">
      <c r="A284" s="3">
        <v>14</v>
      </c>
      <c r="B284" s="3">
        <v>4</v>
      </c>
      <c r="C284" s="3">
        <v>32</v>
      </c>
      <c r="D284" s="3">
        <v>5</v>
      </c>
      <c r="E284" s="3">
        <v>45.815</v>
      </c>
      <c r="F284" s="4" t="str">
        <f>HYPERLINK("http://141.218.60.56/~jnz1568/getInfo.php?workbook=14_04.xlsx&amp;sheet=A0&amp;row=284&amp;col=6&amp;number=4646000000&amp;sourceID=14","4646000000")</f>
        <v>4646000000</v>
      </c>
      <c r="G284" s="4" t="str">
        <f>HYPERLINK("http://141.218.60.56/~jnz1568/getInfo.php?workbook=14_04.xlsx&amp;sheet=A0&amp;row=284&amp;col=7&amp;number=0&amp;sourceID=14","0")</f>
        <v>0</v>
      </c>
    </row>
    <row r="285" spans="1:7">
      <c r="A285" s="3">
        <v>14</v>
      </c>
      <c r="B285" s="3">
        <v>4</v>
      </c>
      <c r="C285" s="3">
        <v>33</v>
      </c>
      <c r="D285" s="3">
        <v>5</v>
      </c>
      <c r="E285" s="3">
        <v>-45.861</v>
      </c>
      <c r="F285" s="4" t="str">
        <f>HYPERLINK("http://141.218.60.56/~jnz1568/getInfo.php?workbook=14_04.xlsx&amp;sheet=A0&amp;row=285&amp;col=6&amp;number=28160000&amp;sourceID=14","28160000")</f>
        <v>28160000</v>
      </c>
      <c r="G285" s="4" t="str">
        <f>HYPERLINK("http://141.218.60.56/~jnz1568/getInfo.php?workbook=14_04.xlsx&amp;sheet=A0&amp;row=285&amp;col=7&amp;number=0&amp;sourceID=14","0")</f>
        <v>0</v>
      </c>
    </row>
    <row r="286" spans="1:7">
      <c r="A286" s="3">
        <v>14</v>
      </c>
      <c r="B286" s="3">
        <v>4</v>
      </c>
      <c r="C286" s="3">
        <v>34</v>
      </c>
      <c r="D286" s="3">
        <v>5</v>
      </c>
      <c r="E286" s="3">
        <v>-45.775</v>
      </c>
      <c r="F286" s="4" t="str">
        <f>HYPERLINK("http://141.218.60.56/~jnz1568/getInfo.php?workbook=14_04.xlsx&amp;sheet=A0&amp;row=286&amp;col=6&amp;number=70170&amp;sourceID=14","70170")</f>
        <v>70170</v>
      </c>
      <c r="G286" s="4" t="str">
        <f>HYPERLINK("http://141.218.60.56/~jnz1568/getInfo.php?workbook=14_04.xlsx&amp;sheet=A0&amp;row=286&amp;col=7&amp;number=0&amp;sourceID=14","0")</f>
        <v>0</v>
      </c>
    </row>
    <row r="287" spans="1:7">
      <c r="A287" s="3">
        <v>14</v>
      </c>
      <c r="B287" s="3">
        <v>4</v>
      </c>
      <c r="C287" s="3">
        <v>35</v>
      </c>
      <c r="D287" s="3">
        <v>5</v>
      </c>
      <c r="E287" s="3">
        <v>45.551</v>
      </c>
      <c r="F287" s="4" t="str">
        <f>HYPERLINK("http://141.218.60.56/~jnz1568/getInfo.php?workbook=14_04.xlsx&amp;sheet=A0&amp;row=287&amp;col=6&amp;number=125200000&amp;sourceID=14","125200000")</f>
        <v>125200000</v>
      </c>
      <c r="G287" s="4" t="str">
        <f>HYPERLINK("http://141.218.60.56/~jnz1568/getInfo.php?workbook=14_04.xlsx&amp;sheet=A0&amp;row=287&amp;col=7&amp;number=0&amp;sourceID=14","0")</f>
        <v>0</v>
      </c>
    </row>
    <row r="288" spans="1:7">
      <c r="A288" s="3">
        <v>14</v>
      </c>
      <c r="B288" s="3">
        <v>4</v>
      </c>
      <c r="C288" s="3">
        <v>37</v>
      </c>
      <c r="D288" s="3">
        <v>5</v>
      </c>
      <c r="E288" s="3">
        <v>45.398</v>
      </c>
      <c r="F288" s="4" t="str">
        <f>HYPERLINK("http://141.218.60.56/~jnz1568/getInfo.php?workbook=14_04.xlsx&amp;sheet=A0&amp;row=288&amp;col=6&amp;number=497300000000&amp;sourceID=14","497300000000")</f>
        <v>497300000000</v>
      </c>
      <c r="G288" s="4" t="str">
        <f>HYPERLINK("http://141.218.60.56/~jnz1568/getInfo.php?workbook=14_04.xlsx&amp;sheet=A0&amp;row=288&amp;col=7&amp;number=0&amp;sourceID=14","0")</f>
        <v>0</v>
      </c>
    </row>
    <row r="289" spans="1:7">
      <c r="A289" s="3">
        <v>14</v>
      </c>
      <c r="B289" s="3">
        <v>4</v>
      </c>
      <c r="C289" s="3">
        <v>38</v>
      </c>
      <c r="D289" s="3">
        <v>5</v>
      </c>
      <c r="E289" s="3">
        <v>-45.283</v>
      </c>
      <c r="F289" s="4" t="str">
        <f>HYPERLINK("http://141.218.60.56/~jnz1568/getInfo.php?workbook=14_04.xlsx&amp;sheet=A0&amp;row=289&amp;col=6&amp;number=587500&amp;sourceID=14","587500")</f>
        <v>587500</v>
      </c>
      <c r="G289" s="4" t="str">
        <f>HYPERLINK("http://141.218.60.56/~jnz1568/getInfo.php?workbook=14_04.xlsx&amp;sheet=A0&amp;row=289&amp;col=7&amp;number=0&amp;sourceID=14","0")</f>
        <v>0</v>
      </c>
    </row>
    <row r="290" spans="1:7">
      <c r="A290" s="3">
        <v>14</v>
      </c>
      <c r="B290" s="3">
        <v>4</v>
      </c>
      <c r="C290" s="3">
        <v>39</v>
      </c>
      <c r="D290" s="3">
        <v>5</v>
      </c>
      <c r="E290" s="3">
        <v>45.184</v>
      </c>
      <c r="F290" s="4" t="str">
        <f>HYPERLINK("http://141.218.60.56/~jnz1568/getInfo.php?workbook=14_04.xlsx&amp;sheet=A0&amp;row=290&amp;col=6&amp;number=1261000&amp;sourceID=14","1261000")</f>
        <v>1261000</v>
      </c>
      <c r="G290" s="4" t="str">
        <f>HYPERLINK("http://141.218.60.56/~jnz1568/getInfo.php?workbook=14_04.xlsx&amp;sheet=A0&amp;row=290&amp;col=7&amp;number=0&amp;sourceID=14","0")</f>
        <v>0</v>
      </c>
    </row>
    <row r="291" spans="1:7">
      <c r="A291" s="3">
        <v>14</v>
      </c>
      <c r="B291" s="3">
        <v>4</v>
      </c>
      <c r="C291" s="3">
        <v>40</v>
      </c>
      <c r="D291" s="3">
        <v>5</v>
      </c>
      <c r="E291" s="3">
        <v>45.123</v>
      </c>
      <c r="F291" s="4" t="str">
        <f>HYPERLINK("http://141.218.60.56/~jnz1568/getInfo.php?workbook=14_04.xlsx&amp;sheet=A0&amp;row=291&amp;col=6&amp;number=213300&amp;sourceID=14","213300")</f>
        <v>213300</v>
      </c>
      <c r="G291" s="4" t="str">
        <f>HYPERLINK("http://141.218.60.56/~jnz1568/getInfo.php?workbook=14_04.xlsx&amp;sheet=A0&amp;row=291&amp;col=7&amp;number=0&amp;sourceID=14","0")</f>
        <v>0</v>
      </c>
    </row>
    <row r="292" spans="1:7">
      <c r="A292" s="3">
        <v>14</v>
      </c>
      <c r="B292" s="3">
        <v>4</v>
      </c>
      <c r="C292" s="3">
        <v>41</v>
      </c>
      <c r="D292" s="3">
        <v>5</v>
      </c>
      <c r="E292" s="3">
        <v>44.902</v>
      </c>
      <c r="F292" s="4" t="str">
        <f>HYPERLINK("http://141.218.60.56/~jnz1568/getInfo.php?workbook=14_04.xlsx&amp;sheet=A0&amp;row=292&amp;col=6&amp;number=1008000&amp;sourceID=14","1008000")</f>
        <v>1008000</v>
      </c>
      <c r="G292" s="4" t="str">
        <f>HYPERLINK("http://141.218.60.56/~jnz1568/getInfo.php?workbook=14_04.xlsx&amp;sheet=A0&amp;row=292&amp;col=7&amp;number=0&amp;sourceID=14","0")</f>
        <v>0</v>
      </c>
    </row>
    <row r="293" spans="1:7">
      <c r="A293" s="3">
        <v>14</v>
      </c>
      <c r="B293" s="3">
        <v>4</v>
      </c>
      <c r="C293" s="3">
        <v>42</v>
      </c>
      <c r="D293" s="3">
        <v>5</v>
      </c>
      <c r="E293" s="3">
        <v>44.961</v>
      </c>
      <c r="F293" s="4" t="str">
        <f>HYPERLINK("http://141.218.60.56/~jnz1568/getInfo.php?workbook=14_04.xlsx&amp;sheet=A0&amp;row=293&amp;col=6&amp;number=210700&amp;sourceID=14","210700")</f>
        <v>210700</v>
      </c>
      <c r="G293" s="4" t="str">
        <f>HYPERLINK("http://141.218.60.56/~jnz1568/getInfo.php?workbook=14_04.xlsx&amp;sheet=A0&amp;row=293&amp;col=7&amp;number=0&amp;sourceID=14","0")</f>
        <v>0</v>
      </c>
    </row>
    <row r="294" spans="1:7">
      <c r="A294" s="3">
        <v>14</v>
      </c>
      <c r="B294" s="3">
        <v>4</v>
      </c>
      <c r="C294" s="3">
        <v>43</v>
      </c>
      <c r="D294" s="3">
        <v>5</v>
      </c>
      <c r="E294" s="3">
        <v>44.9</v>
      </c>
      <c r="F294" s="4" t="str">
        <f>HYPERLINK("http://141.218.60.56/~jnz1568/getInfo.php?workbook=14_04.xlsx&amp;sheet=A0&amp;row=294&amp;col=6&amp;number=5.738&amp;sourceID=14","5.738")</f>
        <v>5.738</v>
      </c>
      <c r="G294" s="4" t="str">
        <f>HYPERLINK("http://141.218.60.56/~jnz1568/getInfo.php?workbook=14_04.xlsx&amp;sheet=A0&amp;row=294&amp;col=7&amp;number=0&amp;sourceID=14","0")</f>
        <v>0</v>
      </c>
    </row>
    <row r="295" spans="1:7">
      <c r="A295" s="3">
        <v>14</v>
      </c>
      <c r="B295" s="3">
        <v>4</v>
      </c>
      <c r="C295" s="3">
        <v>44</v>
      </c>
      <c r="D295" s="3">
        <v>5</v>
      </c>
      <c r="E295" s="3">
        <v>-44.676</v>
      </c>
      <c r="F295" s="4" t="str">
        <f>HYPERLINK("http://141.218.60.56/~jnz1568/getInfo.php?workbook=14_04.xlsx&amp;sheet=A0&amp;row=295&amp;col=6&amp;number=277700000000&amp;sourceID=14","277700000000")</f>
        <v>277700000000</v>
      </c>
      <c r="G295" s="4" t="str">
        <f>HYPERLINK("http://141.218.60.56/~jnz1568/getInfo.php?workbook=14_04.xlsx&amp;sheet=A0&amp;row=295&amp;col=7&amp;number=0&amp;sourceID=14","0")</f>
        <v>0</v>
      </c>
    </row>
    <row r="296" spans="1:7">
      <c r="A296" s="3">
        <v>14</v>
      </c>
      <c r="B296" s="3">
        <v>4</v>
      </c>
      <c r="C296" s="3">
        <v>45</v>
      </c>
      <c r="D296" s="3">
        <v>5</v>
      </c>
      <c r="E296" s="3">
        <v>44.38</v>
      </c>
      <c r="F296" s="4" t="str">
        <f>HYPERLINK("http://141.218.60.56/~jnz1568/getInfo.php?workbook=14_04.xlsx&amp;sheet=A0&amp;row=296&amp;col=6&amp;number=128200000&amp;sourceID=14","128200000")</f>
        <v>128200000</v>
      </c>
      <c r="G296" s="4" t="str">
        <f>HYPERLINK("http://141.218.60.56/~jnz1568/getInfo.php?workbook=14_04.xlsx&amp;sheet=A0&amp;row=296&amp;col=7&amp;number=0&amp;sourceID=14","0")</f>
        <v>0</v>
      </c>
    </row>
    <row r="297" spans="1:7">
      <c r="A297" s="3">
        <v>14</v>
      </c>
      <c r="B297" s="3">
        <v>4</v>
      </c>
      <c r="C297" s="3">
        <v>46</v>
      </c>
      <c r="D297" s="3">
        <v>5</v>
      </c>
      <c r="E297" s="3">
        <v>44.363</v>
      </c>
      <c r="F297" s="4" t="str">
        <f>HYPERLINK("http://141.218.60.56/~jnz1568/getInfo.php?workbook=14_04.xlsx&amp;sheet=A0&amp;row=297&amp;col=6&amp;number=163500000&amp;sourceID=14","163500000")</f>
        <v>163500000</v>
      </c>
      <c r="G297" s="4" t="str">
        <f>HYPERLINK("http://141.218.60.56/~jnz1568/getInfo.php?workbook=14_04.xlsx&amp;sheet=A0&amp;row=297&amp;col=7&amp;number=0&amp;sourceID=14","0")</f>
        <v>0</v>
      </c>
    </row>
    <row r="298" spans="1:7">
      <c r="A298" s="3">
        <v>14</v>
      </c>
      <c r="B298" s="3">
        <v>4</v>
      </c>
      <c r="C298" s="3">
        <v>47</v>
      </c>
      <c r="D298" s="3">
        <v>5</v>
      </c>
      <c r="E298" s="3">
        <v>38.356</v>
      </c>
      <c r="F298" s="4" t="str">
        <f>HYPERLINK("http://141.218.60.56/~jnz1568/getInfo.php?workbook=14_04.xlsx&amp;sheet=A0&amp;row=298&amp;col=6&amp;number=23430000&amp;sourceID=14","23430000")</f>
        <v>23430000</v>
      </c>
      <c r="G298" s="4" t="str">
        <f>HYPERLINK("http://141.218.60.56/~jnz1568/getInfo.php?workbook=14_04.xlsx&amp;sheet=A0&amp;row=298&amp;col=7&amp;number=0&amp;sourceID=14","0")</f>
        <v>0</v>
      </c>
    </row>
    <row r="299" spans="1:7">
      <c r="A299" s="3">
        <v>14</v>
      </c>
      <c r="B299" s="3">
        <v>4</v>
      </c>
      <c r="C299" s="3">
        <v>48</v>
      </c>
      <c r="D299" s="3">
        <v>5</v>
      </c>
      <c r="E299" s="3">
        <v>38.336</v>
      </c>
      <c r="F299" s="4" t="str">
        <f>HYPERLINK("http://141.218.60.56/~jnz1568/getInfo.php?workbook=14_04.xlsx&amp;sheet=A0&amp;row=299&amp;col=6&amp;number=73050000000&amp;sourceID=14","73050000000")</f>
        <v>73050000000</v>
      </c>
      <c r="G299" s="4" t="str">
        <f>HYPERLINK("http://141.218.60.56/~jnz1568/getInfo.php?workbook=14_04.xlsx&amp;sheet=A0&amp;row=299&amp;col=7&amp;number=0&amp;sourceID=14","0")</f>
        <v>0</v>
      </c>
    </row>
    <row r="300" spans="1:7">
      <c r="A300" s="3">
        <v>14</v>
      </c>
      <c r="B300" s="3">
        <v>4</v>
      </c>
      <c r="C300" s="3">
        <v>49</v>
      </c>
      <c r="D300" s="3">
        <v>5</v>
      </c>
      <c r="E300" s="3">
        <v>37.648</v>
      </c>
      <c r="F300" s="4" t="str">
        <f>HYPERLINK("http://141.218.60.56/~jnz1568/getInfo.php?workbook=14_04.xlsx&amp;sheet=A0&amp;row=300&amp;col=6&amp;number=197&amp;sourceID=14","197")</f>
        <v>197</v>
      </c>
      <c r="G300" s="4" t="str">
        <f>HYPERLINK("http://141.218.60.56/~jnz1568/getInfo.php?workbook=14_04.xlsx&amp;sheet=A0&amp;row=300&amp;col=7&amp;number=0&amp;sourceID=14","0")</f>
        <v>0</v>
      </c>
    </row>
    <row r="301" spans="1:7">
      <c r="A301" s="3">
        <v>14</v>
      </c>
      <c r="B301" s="3">
        <v>4</v>
      </c>
      <c r="C301" s="3">
        <v>50</v>
      </c>
      <c r="D301" s="3">
        <v>5</v>
      </c>
      <c r="E301" s="3">
        <v>37.648</v>
      </c>
      <c r="F301" s="4" t="str">
        <f>HYPERLINK("http://141.218.60.56/~jnz1568/getInfo.php?workbook=14_04.xlsx&amp;sheet=A0&amp;row=301&amp;col=6&amp;number=460300&amp;sourceID=14","460300")</f>
        <v>460300</v>
      </c>
      <c r="G301" s="4" t="str">
        <f>HYPERLINK("http://141.218.60.56/~jnz1568/getInfo.php?workbook=14_04.xlsx&amp;sheet=A0&amp;row=301&amp;col=7&amp;number=0&amp;sourceID=14","0")</f>
        <v>0</v>
      </c>
    </row>
    <row r="302" spans="1:7">
      <c r="A302" s="3">
        <v>14</v>
      </c>
      <c r="B302" s="3">
        <v>4</v>
      </c>
      <c r="C302" s="3">
        <v>51</v>
      </c>
      <c r="D302" s="3">
        <v>5</v>
      </c>
      <c r="E302" s="3">
        <v>37.638</v>
      </c>
      <c r="F302" s="4" t="str">
        <f>HYPERLINK("http://141.218.60.56/~jnz1568/getInfo.php?workbook=14_04.xlsx&amp;sheet=A0&amp;row=302&amp;col=6&amp;number=9396&amp;sourceID=14","9396")</f>
        <v>9396</v>
      </c>
      <c r="G302" s="4" t="str">
        <f>HYPERLINK("http://141.218.60.56/~jnz1568/getInfo.php?workbook=14_04.xlsx&amp;sheet=A0&amp;row=302&amp;col=7&amp;number=0&amp;sourceID=14","0")</f>
        <v>0</v>
      </c>
    </row>
    <row r="303" spans="1:7">
      <c r="A303" s="3">
        <v>14</v>
      </c>
      <c r="B303" s="3">
        <v>4</v>
      </c>
      <c r="C303" s="3">
        <v>52</v>
      </c>
      <c r="D303" s="3">
        <v>5</v>
      </c>
      <c r="E303" s="3">
        <v>37.697</v>
      </c>
      <c r="F303" s="4" t="str">
        <f>HYPERLINK("http://141.218.60.56/~jnz1568/getInfo.php?workbook=14_04.xlsx&amp;sheet=A0&amp;row=303&amp;col=6&amp;number=27790000&amp;sourceID=14","27790000")</f>
        <v>27790000</v>
      </c>
      <c r="G303" s="4" t="str">
        <f>HYPERLINK("http://141.218.60.56/~jnz1568/getInfo.php?workbook=14_04.xlsx&amp;sheet=A0&amp;row=303&amp;col=7&amp;number=0&amp;sourceID=14","0")</f>
        <v>0</v>
      </c>
    </row>
    <row r="304" spans="1:7">
      <c r="A304" s="3">
        <v>14</v>
      </c>
      <c r="B304" s="3">
        <v>4</v>
      </c>
      <c r="C304" s="3">
        <v>53</v>
      </c>
      <c r="D304" s="3">
        <v>5</v>
      </c>
      <c r="E304" s="3">
        <v>37.471</v>
      </c>
      <c r="F304" s="4" t="str">
        <f>HYPERLINK("http://141.218.60.56/~jnz1568/getInfo.php?workbook=14_04.xlsx&amp;sheet=A0&amp;row=304&amp;col=6&amp;number=81170000&amp;sourceID=14","81170000")</f>
        <v>81170000</v>
      </c>
      <c r="G304" s="4" t="str">
        <f>HYPERLINK("http://141.218.60.56/~jnz1568/getInfo.php?workbook=14_04.xlsx&amp;sheet=A0&amp;row=304&amp;col=7&amp;number=0&amp;sourceID=14","0")</f>
        <v>0</v>
      </c>
    </row>
    <row r="305" spans="1:7">
      <c r="A305" s="3">
        <v>14</v>
      </c>
      <c r="B305" s="3">
        <v>4</v>
      </c>
      <c r="C305" s="3">
        <v>54</v>
      </c>
      <c r="D305" s="3">
        <v>5</v>
      </c>
      <c r="E305" s="3">
        <v>37.472</v>
      </c>
      <c r="F305" s="4" t="str">
        <f>HYPERLINK("http://141.218.60.56/~jnz1568/getInfo.php?workbook=14_04.xlsx&amp;sheet=A0&amp;row=305&amp;col=6&amp;number=34170000&amp;sourceID=14","34170000")</f>
        <v>34170000</v>
      </c>
      <c r="G305" s="4" t="str">
        <f>HYPERLINK("http://141.218.60.56/~jnz1568/getInfo.php?workbook=14_04.xlsx&amp;sheet=A0&amp;row=305&amp;col=7&amp;number=0&amp;sourceID=14","0")</f>
        <v>0</v>
      </c>
    </row>
    <row r="306" spans="1:7">
      <c r="A306" s="3">
        <v>14</v>
      </c>
      <c r="B306" s="3">
        <v>4</v>
      </c>
      <c r="C306" s="3">
        <v>56</v>
      </c>
      <c r="D306" s="3">
        <v>5</v>
      </c>
      <c r="E306" s="3">
        <v>37.31</v>
      </c>
      <c r="F306" s="4" t="str">
        <f>HYPERLINK("http://141.218.60.56/~jnz1568/getInfo.php?workbook=14_04.xlsx&amp;sheet=A0&amp;row=306&amp;col=6&amp;number=350400000000&amp;sourceID=14","350400000000")</f>
        <v>350400000000</v>
      </c>
      <c r="G306" s="4" t="str">
        <f>HYPERLINK("http://141.218.60.56/~jnz1568/getInfo.php?workbook=14_04.xlsx&amp;sheet=A0&amp;row=306&amp;col=7&amp;number=0&amp;sourceID=14","0")</f>
        <v>0</v>
      </c>
    </row>
    <row r="307" spans="1:7">
      <c r="A307" s="3">
        <v>14</v>
      </c>
      <c r="B307" s="3">
        <v>4</v>
      </c>
      <c r="C307" s="3">
        <v>57</v>
      </c>
      <c r="D307" s="3">
        <v>5</v>
      </c>
      <c r="E307" s="3">
        <v>-35.568</v>
      </c>
      <c r="F307" s="4" t="str">
        <f>HYPERLINK("http://141.218.60.56/~jnz1568/getInfo.php?workbook=14_04.xlsx&amp;sheet=A0&amp;row=307&amp;col=6&amp;number=0.5645&amp;sourceID=14","0.5645")</f>
        <v>0.5645</v>
      </c>
      <c r="G307" s="4" t="str">
        <f>HYPERLINK("http://141.218.60.56/~jnz1568/getInfo.php?workbook=14_04.xlsx&amp;sheet=A0&amp;row=307&amp;col=7&amp;number=0&amp;sourceID=14","0")</f>
        <v>0</v>
      </c>
    </row>
    <row r="308" spans="1:7">
      <c r="A308" s="3">
        <v>14</v>
      </c>
      <c r="B308" s="3">
        <v>4</v>
      </c>
      <c r="C308" s="3">
        <v>58</v>
      </c>
      <c r="D308" s="3">
        <v>5</v>
      </c>
      <c r="E308" s="3">
        <v>-35.55</v>
      </c>
      <c r="F308" s="4" t="str">
        <f>HYPERLINK("http://141.218.60.56/~jnz1568/getInfo.php?workbook=14_04.xlsx&amp;sheet=A0&amp;row=308&amp;col=6&amp;number=17770&amp;sourceID=14","17770")</f>
        <v>17770</v>
      </c>
      <c r="G308" s="4" t="str">
        <f>HYPERLINK("http://141.218.60.56/~jnz1568/getInfo.php?workbook=14_04.xlsx&amp;sheet=A0&amp;row=308&amp;col=7&amp;number=0&amp;sourceID=14","0")</f>
        <v>0</v>
      </c>
    </row>
    <row r="309" spans="1:7">
      <c r="A309" s="3">
        <v>14</v>
      </c>
      <c r="B309" s="3">
        <v>4</v>
      </c>
      <c r="C309" s="3">
        <v>59</v>
      </c>
      <c r="D309" s="3">
        <v>5</v>
      </c>
      <c r="E309" s="3">
        <v>35.466</v>
      </c>
      <c r="F309" s="4" t="str">
        <f>HYPERLINK("http://141.218.60.56/~jnz1568/getInfo.php?workbook=14_04.xlsx&amp;sheet=A0&amp;row=309&amp;col=6&amp;number=1899&amp;sourceID=14","1899")</f>
        <v>1899</v>
      </c>
      <c r="G309" s="4" t="str">
        <f>HYPERLINK("http://141.218.60.56/~jnz1568/getInfo.php?workbook=14_04.xlsx&amp;sheet=A0&amp;row=309&amp;col=7&amp;number=0&amp;sourceID=14","0")</f>
        <v>0</v>
      </c>
    </row>
    <row r="310" spans="1:7">
      <c r="A310" s="3">
        <v>14</v>
      </c>
      <c r="B310" s="3">
        <v>4</v>
      </c>
      <c r="C310" s="3">
        <v>60</v>
      </c>
      <c r="D310" s="3">
        <v>5</v>
      </c>
      <c r="E310" s="3">
        <v>-35.388</v>
      </c>
      <c r="F310" s="4" t="str">
        <f>HYPERLINK("http://141.218.60.56/~jnz1568/getInfo.php?workbook=14_04.xlsx&amp;sheet=A0&amp;row=310&amp;col=6&amp;number=246000&amp;sourceID=14","246000")</f>
        <v>246000</v>
      </c>
      <c r="G310" s="4" t="str">
        <f>HYPERLINK("http://141.218.60.56/~jnz1568/getInfo.php?workbook=14_04.xlsx&amp;sheet=A0&amp;row=310&amp;col=7&amp;number=0&amp;sourceID=14","0")</f>
        <v>0</v>
      </c>
    </row>
    <row r="311" spans="1:7">
      <c r="A311" s="3">
        <v>14</v>
      </c>
      <c r="B311" s="3">
        <v>4</v>
      </c>
      <c r="C311" s="3">
        <v>61</v>
      </c>
      <c r="D311" s="3">
        <v>5</v>
      </c>
      <c r="E311" s="3">
        <v>-35.239</v>
      </c>
      <c r="F311" s="4" t="str">
        <f>HYPERLINK("http://141.218.60.56/~jnz1568/getInfo.php?workbook=14_04.xlsx&amp;sheet=A0&amp;row=311&amp;col=6&amp;number=73230000000&amp;sourceID=14","73230000000")</f>
        <v>73230000000</v>
      </c>
      <c r="G311" s="4" t="str">
        <f>HYPERLINK("http://141.218.60.56/~jnz1568/getInfo.php?workbook=14_04.xlsx&amp;sheet=A0&amp;row=311&amp;col=7&amp;number=0&amp;sourceID=14","0")</f>
        <v>0</v>
      </c>
    </row>
    <row r="312" spans="1:7">
      <c r="A312" s="3">
        <v>14</v>
      </c>
      <c r="B312" s="3">
        <v>4</v>
      </c>
      <c r="C312" s="3">
        <v>62</v>
      </c>
      <c r="D312" s="3">
        <v>5</v>
      </c>
      <c r="E312" s="3">
        <v>-35.294</v>
      </c>
      <c r="F312" s="4" t="str">
        <f>HYPERLINK("http://141.218.60.56/~jnz1568/getInfo.php?workbook=14_04.xlsx&amp;sheet=A0&amp;row=312&amp;col=6&amp;number=88750000000&amp;sourceID=14","88750000000")</f>
        <v>88750000000</v>
      </c>
      <c r="G312" s="4" t="str">
        <f>HYPERLINK("http://141.218.60.56/~jnz1568/getInfo.php?workbook=14_04.xlsx&amp;sheet=A0&amp;row=312&amp;col=7&amp;number=0&amp;sourceID=14","0")</f>
        <v>0</v>
      </c>
    </row>
    <row r="313" spans="1:7">
      <c r="A313" s="3">
        <v>14</v>
      </c>
      <c r="B313" s="3">
        <v>4</v>
      </c>
      <c r="C313" s="3">
        <v>63</v>
      </c>
      <c r="D313" s="3">
        <v>5</v>
      </c>
      <c r="E313" s="3">
        <v>-35.236</v>
      </c>
      <c r="F313" s="4" t="str">
        <f>HYPERLINK("http://141.218.60.56/~jnz1568/getInfo.php?workbook=14_04.xlsx&amp;sheet=A0&amp;row=313&amp;col=6&amp;number=4568000000&amp;sourceID=14","4568000000")</f>
        <v>4568000000</v>
      </c>
      <c r="G313" s="4" t="str">
        <f>HYPERLINK("http://141.218.60.56/~jnz1568/getInfo.php?workbook=14_04.xlsx&amp;sheet=A0&amp;row=313&amp;col=7&amp;number=0&amp;sourceID=14","0")</f>
        <v>0</v>
      </c>
    </row>
    <row r="314" spans="1:7">
      <c r="A314" s="3">
        <v>14</v>
      </c>
      <c r="B314" s="3">
        <v>4</v>
      </c>
      <c r="C314" s="3">
        <v>65</v>
      </c>
      <c r="D314" s="3">
        <v>5</v>
      </c>
      <c r="E314" s="3">
        <v>-35.147</v>
      </c>
      <c r="F314" s="4" t="str">
        <f>HYPERLINK("http://141.218.60.56/~jnz1568/getInfo.php?workbook=14_04.xlsx&amp;sheet=A0&amp;row=314&amp;col=6&amp;number=31230000000&amp;sourceID=14","31230000000")</f>
        <v>31230000000</v>
      </c>
      <c r="G314" s="4" t="str">
        <f>HYPERLINK("http://141.218.60.56/~jnz1568/getInfo.php?workbook=14_04.xlsx&amp;sheet=A0&amp;row=314&amp;col=7&amp;number=0&amp;sourceID=14","0")</f>
        <v>0</v>
      </c>
    </row>
    <row r="315" spans="1:7">
      <c r="A315" s="3">
        <v>14</v>
      </c>
      <c r="B315" s="3">
        <v>4</v>
      </c>
      <c r="C315" s="3">
        <v>66</v>
      </c>
      <c r="D315" s="3">
        <v>5</v>
      </c>
      <c r="E315" s="3">
        <v>-35.149</v>
      </c>
      <c r="F315" s="4" t="str">
        <f>HYPERLINK("http://141.218.60.56/~jnz1568/getInfo.php?workbook=14_04.xlsx&amp;sheet=A0&amp;row=315&amp;col=6&amp;number=1887000000&amp;sourceID=14","1887000000")</f>
        <v>1887000000</v>
      </c>
      <c r="G315" s="4" t="str">
        <f>HYPERLINK("http://141.218.60.56/~jnz1568/getInfo.php?workbook=14_04.xlsx&amp;sheet=A0&amp;row=315&amp;col=7&amp;number=0&amp;sourceID=14","0")</f>
        <v>0</v>
      </c>
    </row>
    <row r="316" spans="1:7">
      <c r="A316" s="3">
        <v>14</v>
      </c>
      <c r="B316" s="3">
        <v>4</v>
      </c>
      <c r="C316" s="3">
        <v>67</v>
      </c>
      <c r="D316" s="3">
        <v>5</v>
      </c>
      <c r="E316" s="3">
        <v>-35.093</v>
      </c>
      <c r="F316" s="4" t="str">
        <f>HYPERLINK("http://141.218.60.56/~jnz1568/getInfo.php?workbook=14_04.xlsx&amp;sheet=A0&amp;row=316&amp;col=6&amp;number=49530000&amp;sourceID=14","49530000")</f>
        <v>49530000</v>
      </c>
      <c r="G316" s="4" t="str">
        <f>HYPERLINK("http://141.218.60.56/~jnz1568/getInfo.php?workbook=14_04.xlsx&amp;sheet=A0&amp;row=316&amp;col=7&amp;number=0&amp;sourceID=14","0")</f>
        <v>0</v>
      </c>
    </row>
    <row r="317" spans="1:7">
      <c r="A317" s="3">
        <v>14</v>
      </c>
      <c r="B317" s="3">
        <v>4</v>
      </c>
      <c r="C317" s="3">
        <v>68</v>
      </c>
      <c r="D317" s="3">
        <v>5</v>
      </c>
      <c r="E317" s="3">
        <v>-35.083</v>
      </c>
      <c r="F317" s="4" t="str">
        <f>HYPERLINK("http://141.218.60.56/~jnz1568/getInfo.php?workbook=14_04.xlsx&amp;sheet=A0&amp;row=317&amp;col=6&amp;number=7066000000&amp;sourceID=14","7066000000")</f>
        <v>7066000000</v>
      </c>
      <c r="G317" s="4" t="str">
        <f>HYPERLINK("http://141.218.60.56/~jnz1568/getInfo.php?workbook=14_04.xlsx&amp;sheet=A0&amp;row=317&amp;col=7&amp;number=0&amp;sourceID=14","0")</f>
        <v>0</v>
      </c>
    </row>
    <row r="318" spans="1:7">
      <c r="A318" s="3">
        <v>14</v>
      </c>
      <c r="B318" s="3">
        <v>4</v>
      </c>
      <c r="C318" s="3">
        <v>69</v>
      </c>
      <c r="D318" s="3">
        <v>5</v>
      </c>
      <c r="E318" s="3">
        <v>-35.073</v>
      </c>
      <c r="F318" s="4" t="str">
        <f>HYPERLINK("http://141.218.60.56/~jnz1568/getInfo.php?workbook=14_04.xlsx&amp;sheet=A0&amp;row=318&amp;col=6&amp;number=8163000&amp;sourceID=14","8163000")</f>
        <v>8163000</v>
      </c>
      <c r="G318" s="4" t="str">
        <f>HYPERLINK("http://141.218.60.56/~jnz1568/getInfo.php?workbook=14_04.xlsx&amp;sheet=A0&amp;row=318&amp;col=7&amp;number=0&amp;sourceID=14","0")</f>
        <v>0</v>
      </c>
    </row>
    <row r="319" spans="1:7">
      <c r="A319" s="3">
        <v>14</v>
      </c>
      <c r="B319" s="3">
        <v>4</v>
      </c>
      <c r="C319" s="3">
        <v>70</v>
      </c>
      <c r="D319" s="3">
        <v>5</v>
      </c>
      <c r="E319" s="3">
        <v>-35.031</v>
      </c>
      <c r="F319" s="4" t="str">
        <f>HYPERLINK("http://141.218.60.56/~jnz1568/getInfo.php?workbook=14_04.xlsx&amp;sheet=A0&amp;row=319&amp;col=6&amp;number=388100&amp;sourceID=14","388100")</f>
        <v>388100</v>
      </c>
      <c r="G319" s="4" t="str">
        <f>HYPERLINK("http://141.218.60.56/~jnz1568/getInfo.php?workbook=14_04.xlsx&amp;sheet=A0&amp;row=319&amp;col=7&amp;number=0&amp;sourceID=14","0")</f>
        <v>0</v>
      </c>
    </row>
    <row r="320" spans="1:7">
      <c r="A320" s="3">
        <v>14</v>
      </c>
      <c r="B320" s="3">
        <v>4</v>
      </c>
      <c r="C320" s="3">
        <v>71</v>
      </c>
      <c r="D320" s="3">
        <v>5</v>
      </c>
      <c r="E320" s="3">
        <v>-35.014</v>
      </c>
      <c r="F320" s="4" t="str">
        <f>HYPERLINK("http://141.218.60.56/~jnz1568/getInfo.php?workbook=14_04.xlsx&amp;sheet=A0&amp;row=320&amp;col=6&amp;number=21280000&amp;sourceID=14","21280000")</f>
        <v>21280000</v>
      </c>
      <c r="G320" s="4" t="str">
        <f>HYPERLINK("http://141.218.60.56/~jnz1568/getInfo.php?workbook=14_04.xlsx&amp;sheet=A0&amp;row=320&amp;col=7&amp;number=0&amp;sourceID=14","0")</f>
        <v>0</v>
      </c>
    </row>
    <row r="321" spans="1:7">
      <c r="A321" s="3">
        <v>14</v>
      </c>
      <c r="B321" s="3">
        <v>4</v>
      </c>
      <c r="C321" s="3">
        <v>72</v>
      </c>
      <c r="D321" s="3">
        <v>5</v>
      </c>
      <c r="E321" s="3">
        <v>-34.987</v>
      </c>
      <c r="F321" s="4" t="str">
        <f>HYPERLINK("http://141.218.60.56/~jnz1568/getInfo.php?workbook=14_04.xlsx&amp;sheet=A0&amp;row=321&amp;col=6&amp;number=177300000000&amp;sourceID=14","177300000000")</f>
        <v>177300000000</v>
      </c>
      <c r="G321" s="4" t="str">
        <f>HYPERLINK("http://141.218.60.56/~jnz1568/getInfo.php?workbook=14_04.xlsx&amp;sheet=A0&amp;row=321&amp;col=7&amp;number=0&amp;sourceID=14","0")</f>
        <v>0</v>
      </c>
    </row>
    <row r="322" spans="1:7">
      <c r="A322" s="3">
        <v>14</v>
      </c>
      <c r="B322" s="3">
        <v>4</v>
      </c>
      <c r="C322" s="3">
        <v>74</v>
      </c>
      <c r="D322" s="3">
        <v>5</v>
      </c>
      <c r="E322" s="3">
        <v>-34.953</v>
      </c>
      <c r="F322" s="4" t="str">
        <f>HYPERLINK("http://141.218.60.56/~jnz1568/getInfo.php?workbook=14_04.xlsx&amp;sheet=A0&amp;row=322&amp;col=6&amp;number=944800&amp;sourceID=14","944800")</f>
        <v>944800</v>
      </c>
      <c r="G322" s="4" t="str">
        <f>HYPERLINK("http://141.218.60.56/~jnz1568/getInfo.php?workbook=14_04.xlsx&amp;sheet=A0&amp;row=322&amp;col=7&amp;number=0&amp;sourceID=14","0")</f>
        <v>0</v>
      </c>
    </row>
    <row r="323" spans="1:7">
      <c r="A323" s="3">
        <v>14</v>
      </c>
      <c r="B323" s="3">
        <v>4</v>
      </c>
      <c r="C323" s="3">
        <v>75</v>
      </c>
      <c r="D323" s="3">
        <v>5</v>
      </c>
      <c r="E323" s="3">
        <v>-34.929</v>
      </c>
      <c r="F323" s="4" t="str">
        <f>HYPERLINK("http://141.218.60.56/~jnz1568/getInfo.php?workbook=14_04.xlsx&amp;sheet=A0&amp;row=323&amp;col=6&amp;number=6145000&amp;sourceID=14","6145000")</f>
        <v>6145000</v>
      </c>
      <c r="G323" s="4" t="str">
        <f>HYPERLINK("http://141.218.60.56/~jnz1568/getInfo.php?workbook=14_04.xlsx&amp;sheet=A0&amp;row=323&amp;col=7&amp;number=0&amp;sourceID=14","0")</f>
        <v>0</v>
      </c>
    </row>
    <row r="324" spans="1:7">
      <c r="A324" s="3">
        <v>14</v>
      </c>
      <c r="B324" s="3">
        <v>4</v>
      </c>
      <c r="C324" s="3">
        <v>76</v>
      </c>
      <c r="D324" s="3">
        <v>5</v>
      </c>
      <c r="E324" s="3">
        <v>34.785</v>
      </c>
      <c r="F324" s="4" t="str">
        <f>HYPERLINK("http://141.218.60.56/~jnz1568/getInfo.php?workbook=14_04.xlsx&amp;sheet=A0&amp;row=324&amp;col=6&amp;number=231100&amp;sourceID=14","231100")</f>
        <v>231100</v>
      </c>
      <c r="G324" s="4" t="str">
        <f>HYPERLINK("http://141.218.60.56/~jnz1568/getInfo.php?workbook=14_04.xlsx&amp;sheet=A0&amp;row=324&amp;col=7&amp;number=0&amp;sourceID=14","0")</f>
        <v>0</v>
      </c>
    </row>
    <row r="325" spans="1:7">
      <c r="A325" s="3">
        <v>14</v>
      </c>
      <c r="B325" s="3">
        <v>4</v>
      </c>
      <c r="C325" s="3">
        <v>77</v>
      </c>
      <c r="D325" s="3">
        <v>5</v>
      </c>
      <c r="E325" s="3">
        <v>34.775</v>
      </c>
      <c r="F325" s="4" t="str">
        <f>HYPERLINK("http://141.218.60.56/~jnz1568/getInfo.php?workbook=14_04.xlsx&amp;sheet=A0&amp;row=325&amp;col=6&amp;number=590600&amp;sourceID=14","590600")</f>
        <v>590600</v>
      </c>
      <c r="G325" s="4" t="str">
        <f>HYPERLINK("http://141.218.60.56/~jnz1568/getInfo.php?workbook=14_04.xlsx&amp;sheet=A0&amp;row=325&amp;col=7&amp;number=0&amp;sourceID=14","0")</f>
        <v>0</v>
      </c>
    </row>
    <row r="326" spans="1:7">
      <c r="A326" s="3">
        <v>14</v>
      </c>
      <c r="B326" s="3">
        <v>4</v>
      </c>
      <c r="C326" s="3">
        <v>78</v>
      </c>
      <c r="D326" s="3">
        <v>5</v>
      </c>
      <c r="E326" s="3">
        <v>-34.857</v>
      </c>
      <c r="F326" s="4" t="str">
        <f>HYPERLINK("http://141.218.60.56/~jnz1568/getInfo.php?workbook=14_04.xlsx&amp;sheet=A0&amp;row=326&amp;col=6&amp;number=67790&amp;sourceID=14","67790")</f>
        <v>67790</v>
      </c>
      <c r="G326" s="4" t="str">
        <f>HYPERLINK("http://141.218.60.56/~jnz1568/getInfo.php?workbook=14_04.xlsx&amp;sheet=A0&amp;row=326&amp;col=7&amp;number=0&amp;sourceID=14","0")</f>
        <v>0</v>
      </c>
    </row>
    <row r="327" spans="1:7">
      <c r="A327" s="3">
        <v>14</v>
      </c>
      <c r="B327" s="3">
        <v>4</v>
      </c>
      <c r="C327" s="3">
        <v>79</v>
      </c>
      <c r="D327" s="3">
        <v>5</v>
      </c>
      <c r="E327" s="3">
        <v>-34.852</v>
      </c>
      <c r="F327" s="4" t="str">
        <f>HYPERLINK("http://141.218.60.56/~jnz1568/getInfo.php?workbook=14_04.xlsx&amp;sheet=A0&amp;row=327&amp;col=6&amp;number=0.1665&amp;sourceID=14","0.1665")</f>
        <v>0.1665</v>
      </c>
      <c r="G327" s="4" t="str">
        <f>HYPERLINK("http://141.218.60.56/~jnz1568/getInfo.php?workbook=14_04.xlsx&amp;sheet=A0&amp;row=327&amp;col=7&amp;number=0&amp;sourceID=14","0")</f>
        <v>0</v>
      </c>
    </row>
    <row r="328" spans="1:7">
      <c r="A328" s="3">
        <v>14</v>
      </c>
      <c r="B328" s="3">
        <v>4</v>
      </c>
      <c r="C328" s="3">
        <v>80</v>
      </c>
      <c r="D328" s="3">
        <v>5</v>
      </c>
      <c r="E328" s="3">
        <v>34.9</v>
      </c>
      <c r="F328" s="4" t="str">
        <f>HYPERLINK("http://141.218.60.56/~jnz1568/getInfo.php?workbook=14_04.xlsx&amp;sheet=A0&amp;row=328&amp;col=6&amp;number=91940000000&amp;sourceID=14","91940000000")</f>
        <v>91940000000</v>
      </c>
      <c r="G328" s="4" t="str">
        <f>HYPERLINK("http://141.218.60.56/~jnz1568/getInfo.php?workbook=14_04.xlsx&amp;sheet=A0&amp;row=328&amp;col=7&amp;number=0&amp;sourceID=14","0")</f>
        <v>0</v>
      </c>
    </row>
    <row r="329" spans="1:7">
      <c r="A329" s="3">
        <v>14</v>
      </c>
      <c r="B329" s="3">
        <v>4</v>
      </c>
      <c r="C329" s="3">
        <v>81</v>
      </c>
      <c r="D329" s="3">
        <v>5</v>
      </c>
      <c r="E329" s="3">
        <v>34.653</v>
      </c>
      <c r="F329" s="4" t="str">
        <f>HYPERLINK("http://141.218.60.56/~jnz1568/getInfo.php?workbook=14_04.xlsx&amp;sheet=A0&amp;row=329&amp;col=6&amp;number=24920000&amp;sourceID=14","24920000")</f>
        <v>24920000</v>
      </c>
      <c r="G329" s="4" t="str">
        <f>HYPERLINK("http://141.218.60.56/~jnz1568/getInfo.php?workbook=14_04.xlsx&amp;sheet=A0&amp;row=329&amp;col=7&amp;number=0&amp;sourceID=14","0")</f>
        <v>0</v>
      </c>
    </row>
    <row r="330" spans="1:7">
      <c r="A330" s="3">
        <v>14</v>
      </c>
      <c r="B330" s="3">
        <v>4</v>
      </c>
      <c r="C330" s="3">
        <v>82</v>
      </c>
      <c r="D330" s="3">
        <v>5</v>
      </c>
      <c r="E330" s="3">
        <v>-34.709</v>
      </c>
      <c r="F330" s="4" t="str">
        <f>HYPERLINK("http://141.218.60.56/~jnz1568/getInfo.php?workbook=14_04.xlsx&amp;sheet=A0&amp;row=330&amp;col=6&amp;number=29110000&amp;sourceID=14","29110000")</f>
        <v>29110000</v>
      </c>
      <c r="G330" s="4" t="str">
        <f>HYPERLINK("http://141.218.60.56/~jnz1568/getInfo.php?workbook=14_04.xlsx&amp;sheet=A0&amp;row=330&amp;col=7&amp;number=0&amp;sourceID=14","0")</f>
        <v>0</v>
      </c>
    </row>
    <row r="331" spans="1:7">
      <c r="A331" s="3">
        <v>14</v>
      </c>
      <c r="B331" s="3">
        <v>4</v>
      </c>
      <c r="C331" s="3">
        <v>83</v>
      </c>
      <c r="D331" s="3">
        <v>5</v>
      </c>
      <c r="E331" s="3">
        <v>-33.99</v>
      </c>
      <c r="F331" s="4" t="str">
        <f>HYPERLINK("http://141.218.60.56/~jnz1568/getInfo.php?workbook=14_04.xlsx&amp;sheet=A0&amp;row=331&amp;col=6&amp;number=13680000&amp;sourceID=14","13680000")</f>
        <v>13680000</v>
      </c>
      <c r="G331" s="4" t="str">
        <f>HYPERLINK("http://141.218.60.56/~jnz1568/getInfo.php?workbook=14_04.xlsx&amp;sheet=A0&amp;row=331&amp;col=7&amp;number=0&amp;sourceID=14","0")</f>
        <v>0</v>
      </c>
    </row>
    <row r="332" spans="1:7">
      <c r="A332" s="3">
        <v>14</v>
      </c>
      <c r="B332" s="3">
        <v>4</v>
      </c>
      <c r="C332" s="3">
        <v>84</v>
      </c>
      <c r="D332" s="3">
        <v>5</v>
      </c>
      <c r="E332" s="3">
        <v>-33.907</v>
      </c>
      <c r="F332" s="4" t="str">
        <f>HYPERLINK("http://141.218.60.56/~jnz1568/getInfo.php?workbook=14_04.xlsx&amp;sheet=A0&amp;row=332&amp;col=6&amp;number=82700000000&amp;sourceID=14","82700000000")</f>
        <v>82700000000</v>
      </c>
      <c r="G332" s="4" t="str">
        <f>HYPERLINK("http://141.218.60.56/~jnz1568/getInfo.php?workbook=14_04.xlsx&amp;sheet=A0&amp;row=332&amp;col=7&amp;number=0&amp;sourceID=14","0")</f>
        <v>0</v>
      </c>
    </row>
    <row r="333" spans="1:7">
      <c r="A333" s="3">
        <v>14</v>
      </c>
      <c r="B333" s="3">
        <v>4</v>
      </c>
      <c r="C333" s="3">
        <v>85</v>
      </c>
      <c r="D333" s="3">
        <v>5</v>
      </c>
      <c r="E333" s="3">
        <v>-33.823</v>
      </c>
      <c r="F333" s="4" t="str">
        <f>HYPERLINK("http://141.218.60.56/~jnz1568/getInfo.php?workbook=14_04.xlsx&amp;sheet=A0&amp;row=333&amp;col=6&amp;number=107.3&amp;sourceID=14","107.3")</f>
        <v>107.3</v>
      </c>
      <c r="G333" s="4" t="str">
        <f>HYPERLINK("http://141.218.60.56/~jnz1568/getInfo.php?workbook=14_04.xlsx&amp;sheet=A0&amp;row=333&amp;col=7&amp;number=0&amp;sourceID=14","0")</f>
        <v>0</v>
      </c>
    </row>
    <row r="334" spans="1:7">
      <c r="A334" s="3">
        <v>14</v>
      </c>
      <c r="B334" s="3">
        <v>4</v>
      </c>
      <c r="C334" s="3">
        <v>86</v>
      </c>
      <c r="D334" s="3">
        <v>5</v>
      </c>
      <c r="E334" s="3">
        <v>-33.822</v>
      </c>
      <c r="F334" s="4" t="str">
        <f>HYPERLINK("http://141.218.60.56/~jnz1568/getInfo.php?workbook=14_04.xlsx&amp;sheet=A0&amp;row=334&amp;col=6&amp;number=377900&amp;sourceID=14","377900")</f>
        <v>377900</v>
      </c>
      <c r="G334" s="4" t="str">
        <f>HYPERLINK("http://141.218.60.56/~jnz1568/getInfo.php?workbook=14_04.xlsx&amp;sheet=A0&amp;row=334&amp;col=7&amp;number=0&amp;sourceID=14","0")</f>
        <v>0</v>
      </c>
    </row>
    <row r="335" spans="1:7">
      <c r="A335" s="3">
        <v>14</v>
      </c>
      <c r="B335" s="3">
        <v>4</v>
      </c>
      <c r="C335" s="3">
        <v>87</v>
      </c>
      <c r="D335" s="3">
        <v>5</v>
      </c>
      <c r="E335" s="3">
        <v>33.668</v>
      </c>
      <c r="F335" s="4" t="str">
        <f>HYPERLINK("http://141.218.60.56/~jnz1568/getInfo.php?workbook=14_04.xlsx&amp;sheet=A0&amp;row=335&amp;col=6&amp;number=42290&amp;sourceID=14","42290")</f>
        <v>42290</v>
      </c>
      <c r="G335" s="4" t="str">
        <f>HYPERLINK("http://141.218.60.56/~jnz1568/getInfo.php?workbook=14_04.xlsx&amp;sheet=A0&amp;row=335&amp;col=7&amp;number=0&amp;sourceID=14","0")</f>
        <v>0</v>
      </c>
    </row>
    <row r="336" spans="1:7">
      <c r="A336" s="3">
        <v>14</v>
      </c>
      <c r="B336" s="3">
        <v>4</v>
      </c>
      <c r="C336" s="3">
        <v>88</v>
      </c>
      <c r="D336" s="3">
        <v>5</v>
      </c>
      <c r="E336" s="3">
        <v>-33.789</v>
      </c>
      <c r="F336" s="4" t="str">
        <f>HYPERLINK("http://141.218.60.56/~jnz1568/getInfo.php?workbook=14_04.xlsx&amp;sheet=A0&amp;row=336&amp;col=6&amp;number=42340000&amp;sourceID=14","42340000")</f>
        <v>42340000</v>
      </c>
      <c r="G336" s="4" t="str">
        <f>HYPERLINK("http://141.218.60.56/~jnz1568/getInfo.php?workbook=14_04.xlsx&amp;sheet=A0&amp;row=336&amp;col=7&amp;number=0&amp;sourceID=14","0")</f>
        <v>0</v>
      </c>
    </row>
    <row r="337" spans="1:7">
      <c r="A337" s="3">
        <v>14</v>
      </c>
      <c r="B337" s="3">
        <v>4</v>
      </c>
      <c r="C337" s="3">
        <v>89</v>
      </c>
      <c r="D337" s="3">
        <v>5</v>
      </c>
      <c r="E337" s="3">
        <v>-33.725</v>
      </c>
      <c r="F337" s="4" t="str">
        <f>HYPERLINK("http://141.218.60.56/~jnz1568/getInfo.php?workbook=14_04.xlsx&amp;sheet=A0&amp;row=337&amp;col=6&amp;number=44030000&amp;sourceID=14","44030000")</f>
        <v>44030000</v>
      </c>
      <c r="G337" s="4" t="str">
        <f>HYPERLINK("http://141.218.60.56/~jnz1568/getInfo.php?workbook=14_04.xlsx&amp;sheet=A0&amp;row=337&amp;col=7&amp;number=0&amp;sourceID=14","0")</f>
        <v>0</v>
      </c>
    </row>
    <row r="338" spans="1:7">
      <c r="A338" s="3">
        <v>14</v>
      </c>
      <c r="B338" s="3">
        <v>4</v>
      </c>
      <c r="C338" s="3">
        <v>90</v>
      </c>
      <c r="D338" s="3">
        <v>5</v>
      </c>
      <c r="E338" s="3">
        <v>33.617</v>
      </c>
      <c r="F338" s="4" t="str">
        <f>HYPERLINK("http://141.218.60.56/~jnz1568/getInfo.php?workbook=14_04.xlsx&amp;sheet=A0&amp;row=338&amp;col=6&amp;number=14660000&amp;sourceID=14","14660000")</f>
        <v>14660000</v>
      </c>
      <c r="G338" s="4" t="str">
        <f>HYPERLINK("http://141.218.60.56/~jnz1568/getInfo.php?workbook=14_04.xlsx&amp;sheet=A0&amp;row=338&amp;col=7&amp;number=0&amp;sourceID=14","0")</f>
        <v>0</v>
      </c>
    </row>
    <row r="339" spans="1:7">
      <c r="A339" s="3">
        <v>14</v>
      </c>
      <c r="B339" s="3">
        <v>4</v>
      </c>
      <c r="C339" s="3">
        <v>92</v>
      </c>
      <c r="D339" s="3">
        <v>5</v>
      </c>
      <c r="E339" s="3">
        <v>33.573</v>
      </c>
      <c r="F339" s="4" t="str">
        <f>HYPERLINK("http://141.218.60.56/~jnz1568/getInfo.php?workbook=14_04.xlsx&amp;sheet=A0&amp;row=339&amp;col=6&amp;number=192200000000&amp;sourceID=14","192200000000")</f>
        <v>192200000000</v>
      </c>
      <c r="G339" s="4" t="str">
        <f>HYPERLINK("http://141.218.60.56/~jnz1568/getInfo.php?workbook=14_04.xlsx&amp;sheet=A0&amp;row=339&amp;col=7&amp;number=0&amp;sourceID=14","0")</f>
        <v>0</v>
      </c>
    </row>
    <row r="340" spans="1:7">
      <c r="A340" s="3">
        <v>14</v>
      </c>
      <c r="B340" s="3">
        <v>4</v>
      </c>
      <c r="C340" s="3">
        <v>7</v>
      </c>
      <c r="D340" s="3">
        <v>6</v>
      </c>
      <c r="E340" s="3">
        <v>35360.744</v>
      </c>
      <c r="F340" s="4" t="str">
        <f>HYPERLINK("http://141.218.60.56/~jnz1568/getInfo.php?workbook=14_04.xlsx&amp;sheet=A0&amp;row=340&amp;col=6&amp;number=0.406&amp;sourceID=14","0.406")</f>
        <v>0.406</v>
      </c>
      <c r="G340" s="4" t="str">
        <f>HYPERLINK("http://141.218.60.56/~jnz1568/getInfo.php?workbook=14_04.xlsx&amp;sheet=A0&amp;row=340&amp;col=7&amp;number=0&amp;sourceID=14","0")</f>
        <v>0</v>
      </c>
    </row>
    <row r="341" spans="1:7">
      <c r="A341" s="3">
        <v>14</v>
      </c>
      <c r="B341" s="3">
        <v>4</v>
      </c>
      <c r="C341" s="3">
        <v>8</v>
      </c>
      <c r="D341" s="3">
        <v>6</v>
      </c>
      <c r="E341" s="3">
        <v>13709.924</v>
      </c>
      <c r="F341" s="4" t="str">
        <f>HYPERLINK("http://141.218.60.56/~jnz1568/getInfo.php?workbook=14_04.xlsx&amp;sheet=A0&amp;row=341&amp;col=6&amp;number=8.368e-06&amp;sourceID=14","8.368e-06")</f>
        <v>8.368e-06</v>
      </c>
      <c r="G341" s="4" t="str">
        <f>HYPERLINK("http://141.218.60.56/~jnz1568/getInfo.php?workbook=14_04.xlsx&amp;sheet=A0&amp;row=341&amp;col=7&amp;number=0&amp;sourceID=14","0")</f>
        <v>0</v>
      </c>
    </row>
    <row r="342" spans="1:7">
      <c r="A342" s="3">
        <v>14</v>
      </c>
      <c r="B342" s="3">
        <v>4</v>
      </c>
      <c r="C342" s="3">
        <v>9</v>
      </c>
      <c r="D342" s="3">
        <v>6</v>
      </c>
      <c r="E342" s="3">
        <v>1939.905</v>
      </c>
      <c r="F342" s="4" t="str">
        <f>HYPERLINK("http://141.218.60.56/~jnz1568/getInfo.php?workbook=14_04.xlsx&amp;sheet=A0&amp;row=342&amp;col=6&amp;number=2.541e-07&amp;sourceID=14","2.541e-07")</f>
        <v>2.541e-07</v>
      </c>
      <c r="G342" s="4" t="str">
        <f>HYPERLINK("http://141.218.60.56/~jnz1568/getInfo.php?workbook=14_04.xlsx&amp;sheet=A0&amp;row=342&amp;col=7&amp;number=0&amp;sourceID=14","0")</f>
        <v>0</v>
      </c>
    </row>
    <row r="343" spans="1:7">
      <c r="A343" s="3">
        <v>14</v>
      </c>
      <c r="B343" s="3">
        <v>4</v>
      </c>
      <c r="C343" s="3">
        <v>11</v>
      </c>
      <c r="D343" s="3">
        <v>6</v>
      </c>
      <c r="E343" s="3">
        <v>56.466</v>
      </c>
      <c r="F343" s="4" t="str">
        <f>HYPERLINK("http://141.218.60.56/~jnz1568/getInfo.php?workbook=14_04.xlsx&amp;sheet=A0&amp;row=343&amp;col=6&amp;number=3.417&amp;sourceID=14","3.417")</f>
        <v>3.417</v>
      </c>
      <c r="G343" s="4" t="str">
        <f>HYPERLINK("http://141.218.60.56/~jnz1568/getInfo.php?workbook=14_04.xlsx&amp;sheet=A0&amp;row=343&amp;col=7&amp;number=0&amp;sourceID=14","0")</f>
        <v>0</v>
      </c>
    </row>
    <row r="344" spans="1:7">
      <c r="A344" s="3">
        <v>14</v>
      </c>
      <c r="B344" s="3">
        <v>4</v>
      </c>
      <c r="C344" s="3">
        <v>13</v>
      </c>
      <c r="D344" s="3">
        <v>6</v>
      </c>
      <c r="E344" s="3">
        <v>54.287</v>
      </c>
      <c r="F344" s="4" t="str">
        <f>HYPERLINK("http://141.218.60.56/~jnz1568/getInfo.php?workbook=14_04.xlsx&amp;sheet=A0&amp;row=344&amp;col=6&amp;number=58450000&amp;sourceID=14","58450000")</f>
        <v>58450000</v>
      </c>
      <c r="G344" s="4" t="str">
        <f>HYPERLINK("http://141.218.60.56/~jnz1568/getInfo.php?workbook=14_04.xlsx&amp;sheet=A0&amp;row=344&amp;col=7&amp;number=0&amp;sourceID=14","0")</f>
        <v>0</v>
      </c>
    </row>
    <row r="345" spans="1:7">
      <c r="A345" s="3">
        <v>14</v>
      </c>
      <c r="B345" s="3">
        <v>4</v>
      </c>
      <c r="C345" s="3">
        <v>15</v>
      </c>
      <c r="D345" s="3">
        <v>6</v>
      </c>
      <c r="E345" s="3">
        <v>54.188</v>
      </c>
      <c r="F345" s="4" t="str">
        <f>HYPERLINK("http://141.218.60.56/~jnz1568/getInfo.php?workbook=14_04.xlsx&amp;sheet=A0&amp;row=345&amp;col=6&amp;number=1002000000&amp;sourceID=14","1002000000")</f>
        <v>1002000000</v>
      </c>
      <c r="G345" s="4" t="str">
        <f>HYPERLINK("http://141.218.60.56/~jnz1568/getInfo.php?workbook=14_04.xlsx&amp;sheet=A0&amp;row=345&amp;col=7&amp;number=0&amp;sourceID=14","0")</f>
        <v>0</v>
      </c>
    </row>
    <row r="346" spans="1:7">
      <c r="A346" s="3">
        <v>14</v>
      </c>
      <c r="B346" s="3">
        <v>4</v>
      </c>
      <c r="C346" s="3">
        <v>17</v>
      </c>
      <c r="D346" s="3">
        <v>6</v>
      </c>
      <c r="E346" s="3">
        <v>52.987</v>
      </c>
      <c r="F346" s="4" t="str">
        <f>HYPERLINK("http://141.218.60.56/~jnz1568/getInfo.php?workbook=14_04.xlsx&amp;sheet=A0&amp;row=346&amp;col=6&amp;number=0.9859&amp;sourceID=14","0.9859")</f>
        <v>0.9859</v>
      </c>
      <c r="G346" s="4" t="str">
        <f>HYPERLINK("http://141.218.60.56/~jnz1568/getInfo.php?workbook=14_04.xlsx&amp;sheet=A0&amp;row=346&amp;col=7&amp;number=0&amp;sourceID=14","0")</f>
        <v>0</v>
      </c>
    </row>
    <row r="347" spans="1:7">
      <c r="A347" s="3">
        <v>14</v>
      </c>
      <c r="B347" s="3">
        <v>4</v>
      </c>
      <c r="C347" s="3">
        <v>18</v>
      </c>
      <c r="D347" s="3">
        <v>6</v>
      </c>
      <c r="E347" s="3">
        <v>52.952</v>
      </c>
      <c r="F347" s="4" t="str">
        <f>HYPERLINK("http://141.218.60.56/~jnz1568/getInfo.php?workbook=14_04.xlsx&amp;sheet=A0&amp;row=347&amp;col=6&amp;number=152700&amp;sourceID=14","152700")</f>
        <v>152700</v>
      </c>
      <c r="G347" s="4" t="str">
        <f>HYPERLINK("http://141.218.60.56/~jnz1568/getInfo.php?workbook=14_04.xlsx&amp;sheet=A0&amp;row=347&amp;col=7&amp;number=0&amp;sourceID=14","0")</f>
        <v>0</v>
      </c>
    </row>
    <row r="348" spans="1:7">
      <c r="A348" s="3">
        <v>14</v>
      </c>
      <c r="B348" s="3">
        <v>4</v>
      </c>
      <c r="C348" s="3">
        <v>20</v>
      </c>
      <c r="D348" s="3">
        <v>6</v>
      </c>
      <c r="E348" s="3">
        <v>52.102</v>
      </c>
      <c r="F348" s="4" t="str">
        <f>HYPERLINK("http://141.218.60.56/~jnz1568/getInfo.php?workbook=14_04.xlsx&amp;sheet=A0&amp;row=348&amp;col=6&amp;number=19950&amp;sourceID=14","19950")</f>
        <v>19950</v>
      </c>
      <c r="G348" s="4" t="str">
        <f>HYPERLINK("http://141.218.60.56/~jnz1568/getInfo.php?workbook=14_04.xlsx&amp;sheet=A0&amp;row=348&amp;col=7&amp;number=0&amp;sourceID=14","0")</f>
        <v>0</v>
      </c>
    </row>
    <row r="349" spans="1:7">
      <c r="A349" s="3">
        <v>14</v>
      </c>
      <c r="B349" s="3">
        <v>4</v>
      </c>
      <c r="C349" s="3">
        <v>22</v>
      </c>
      <c r="D349" s="3">
        <v>6</v>
      </c>
      <c r="E349" s="3">
        <v>-50.559</v>
      </c>
      <c r="F349" s="4" t="str">
        <f>HYPERLINK("http://141.218.60.56/~jnz1568/getInfo.php?workbook=14_04.xlsx&amp;sheet=A0&amp;row=349&amp;col=6&amp;number=70130000000&amp;sourceID=14","70130000000")</f>
        <v>70130000000</v>
      </c>
      <c r="G349" s="4" t="str">
        <f>HYPERLINK("http://141.218.60.56/~jnz1568/getInfo.php?workbook=14_04.xlsx&amp;sheet=A0&amp;row=349&amp;col=7&amp;number=0&amp;sourceID=14","0")</f>
        <v>0</v>
      </c>
    </row>
    <row r="350" spans="1:7">
      <c r="A350" s="3">
        <v>14</v>
      </c>
      <c r="B350" s="3">
        <v>4</v>
      </c>
      <c r="C350" s="3">
        <v>24</v>
      </c>
      <c r="D350" s="3">
        <v>6</v>
      </c>
      <c r="E350" s="3">
        <v>-49.648</v>
      </c>
      <c r="F350" s="4" t="str">
        <f>HYPERLINK("http://141.218.60.56/~jnz1568/getInfo.php?workbook=14_04.xlsx&amp;sheet=A0&amp;row=350&amp;col=6&amp;number=346100000&amp;sourceID=14","346100000")</f>
        <v>346100000</v>
      </c>
      <c r="G350" s="4" t="str">
        <f>HYPERLINK("http://141.218.60.56/~jnz1568/getInfo.php?workbook=14_04.xlsx&amp;sheet=A0&amp;row=350&amp;col=7&amp;number=0&amp;sourceID=14","0")</f>
        <v>0</v>
      </c>
    </row>
    <row r="351" spans="1:7">
      <c r="A351" s="3">
        <v>14</v>
      </c>
      <c r="B351" s="3">
        <v>4</v>
      </c>
      <c r="C351" s="3">
        <v>25</v>
      </c>
      <c r="D351" s="3">
        <v>6</v>
      </c>
      <c r="E351" s="3">
        <v>-49.412</v>
      </c>
      <c r="F351" s="4" t="str">
        <f>HYPERLINK("http://141.218.60.56/~jnz1568/getInfo.php?workbook=14_04.xlsx&amp;sheet=A0&amp;row=351&amp;col=6&amp;number=36.37&amp;sourceID=14","36.37")</f>
        <v>36.37</v>
      </c>
      <c r="G351" s="4" t="str">
        <f>HYPERLINK("http://141.218.60.56/~jnz1568/getInfo.php?workbook=14_04.xlsx&amp;sheet=A0&amp;row=351&amp;col=7&amp;number=0&amp;sourceID=14","0")</f>
        <v>0</v>
      </c>
    </row>
    <row r="352" spans="1:7">
      <c r="A352" s="3">
        <v>14</v>
      </c>
      <c r="B352" s="3">
        <v>4</v>
      </c>
      <c r="C352" s="3">
        <v>26</v>
      </c>
      <c r="D352" s="3">
        <v>6</v>
      </c>
      <c r="E352" s="3">
        <v>-49.2</v>
      </c>
      <c r="F352" s="4" t="str">
        <f>HYPERLINK("http://141.218.60.56/~jnz1568/getInfo.php?workbook=14_04.xlsx&amp;sheet=A0&amp;row=352&amp;col=6&amp;number=113.9&amp;sourceID=14","113.9")</f>
        <v>113.9</v>
      </c>
      <c r="G352" s="4" t="str">
        <f>HYPERLINK("http://141.218.60.56/~jnz1568/getInfo.php?workbook=14_04.xlsx&amp;sheet=A0&amp;row=352&amp;col=7&amp;number=0&amp;sourceID=14","0")</f>
        <v>0</v>
      </c>
    </row>
    <row r="353" spans="1:7">
      <c r="A353" s="3">
        <v>14</v>
      </c>
      <c r="B353" s="3">
        <v>4</v>
      </c>
      <c r="C353" s="3">
        <v>27</v>
      </c>
      <c r="D353" s="3">
        <v>6</v>
      </c>
      <c r="E353" s="3">
        <v>49.053</v>
      </c>
      <c r="F353" s="4" t="str">
        <f>HYPERLINK("http://141.218.60.56/~jnz1568/getInfo.php?workbook=14_04.xlsx&amp;sheet=A0&amp;row=353&amp;col=6&amp;number=17700000&amp;sourceID=14","17700000")</f>
        <v>17700000</v>
      </c>
      <c r="G353" s="4" t="str">
        <f>HYPERLINK("http://141.218.60.56/~jnz1568/getInfo.php?workbook=14_04.xlsx&amp;sheet=A0&amp;row=353&amp;col=7&amp;number=0&amp;sourceID=14","0")</f>
        <v>0</v>
      </c>
    </row>
    <row r="354" spans="1:7">
      <c r="A354" s="3">
        <v>14</v>
      </c>
      <c r="B354" s="3">
        <v>4</v>
      </c>
      <c r="C354" s="3">
        <v>29</v>
      </c>
      <c r="D354" s="3">
        <v>6</v>
      </c>
      <c r="E354" s="3">
        <v>48.62</v>
      </c>
      <c r="F354" s="4" t="str">
        <f>HYPERLINK("http://141.218.60.56/~jnz1568/getInfo.php?workbook=14_04.xlsx&amp;sheet=A0&amp;row=354&amp;col=6&amp;number=160.5&amp;sourceID=14","160.5")</f>
        <v>160.5</v>
      </c>
      <c r="G354" s="4" t="str">
        <f>HYPERLINK("http://141.218.60.56/~jnz1568/getInfo.php?workbook=14_04.xlsx&amp;sheet=A0&amp;row=354&amp;col=7&amp;number=0&amp;sourceID=14","0")</f>
        <v>0</v>
      </c>
    </row>
    <row r="355" spans="1:7">
      <c r="A355" s="3">
        <v>14</v>
      </c>
      <c r="B355" s="3">
        <v>4</v>
      </c>
      <c r="C355" s="3">
        <v>31</v>
      </c>
      <c r="D355" s="3">
        <v>6</v>
      </c>
      <c r="E355" s="3">
        <v>48.34</v>
      </c>
      <c r="F355" s="4" t="str">
        <f>HYPERLINK("http://141.218.60.56/~jnz1568/getInfo.php?workbook=14_04.xlsx&amp;sheet=A0&amp;row=355&amp;col=6&amp;number=7.317&amp;sourceID=14","7.317")</f>
        <v>7.317</v>
      </c>
      <c r="G355" s="4" t="str">
        <f>HYPERLINK("http://141.218.60.56/~jnz1568/getInfo.php?workbook=14_04.xlsx&amp;sheet=A0&amp;row=355&amp;col=7&amp;number=0&amp;sourceID=14","0")</f>
        <v>0</v>
      </c>
    </row>
    <row r="356" spans="1:7">
      <c r="A356" s="3">
        <v>14</v>
      </c>
      <c r="B356" s="3">
        <v>4</v>
      </c>
      <c r="C356" s="3">
        <v>32</v>
      </c>
      <c r="D356" s="3">
        <v>6</v>
      </c>
      <c r="E356" s="3">
        <v>48.339</v>
      </c>
      <c r="F356" s="4" t="str">
        <f>HYPERLINK("http://141.218.60.56/~jnz1568/getInfo.php?workbook=14_04.xlsx&amp;sheet=A0&amp;row=356&amp;col=6&amp;number=4529000&amp;sourceID=14","4529000")</f>
        <v>4529000</v>
      </c>
      <c r="G356" s="4" t="str">
        <f>HYPERLINK("http://141.218.60.56/~jnz1568/getInfo.php?workbook=14_04.xlsx&amp;sheet=A0&amp;row=356&amp;col=7&amp;number=0&amp;sourceID=14","0")</f>
        <v>0</v>
      </c>
    </row>
    <row r="357" spans="1:7">
      <c r="A357" s="3">
        <v>14</v>
      </c>
      <c r="B357" s="3">
        <v>4</v>
      </c>
      <c r="C357" s="3">
        <v>37</v>
      </c>
      <c r="D357" s="3">
        <v>6</v>
      </c>
      <c r="E357" s="3">
        <v>47.875</v>
      </c>
      <c r="F357" s="4" t="str">
        <f>HYPERLINK("http://141.218.60.56/~jnz1568/getInfo.php?workbook=14_04.xlsx&amp;sheet=A0&amp;row=357&amp;col=6&amp;number=52010&amp;sourceID=14","52010")</f>
        <v>52010</v>
      </c>
      <c r="G357" s="4" t="str">
        <f>HYPERLINK("http://141.218.60.56/~jnz1568/getInfo.php?workbook=14_04.xlsx&amp;sheet=A0&amp;row=357&amp;col=7&amp;number=0&amp;sourceID=14","0")</f>
        <v>0</v>
      </c>
    </row>
    <row r="358" spans="1:7">
      <c r="A358" s="3">
        <v>14</v>
      </c>
      <c r="B358" s="3">
        <v>4</v>
      </c>
      <c r="C358" s="3">
        <v>38</v>
      </c>
      <c r="D358" s="3">
        <v>6</v>
      </c>
      <c r="E358" s="3">
        <v>-47.67</v>
      </c>
      <c r="F358" s="4" t="str">
        <f>HYPERLINK("http://141.218.60.56/~jnz1568/getInfo.php?workbook=14_04.xlsx&amp;sheet=A0&amp;row=358&amp;col=6&amp;number=1102000000000&amp;sourceID=14","1102000000000")</f>
        <v>1102000000000</v>
      </c>
      <c r="G358" s="4" t="str">
        <f>HYPERLINK("http://141.218.60.56/~jnz1568/getInfo.php?workbook=14_04.xlsx&amp;sheet=A0&amp;row=358&amp;col=7&amp;number=0&amp;sourceID=14","0")</f>
        <v>0</v>
      </c>
    </row>
    <row r="359" spans="1:7">
      <c r="A359" s="3">
        <v>14</v>
      </c>
      <c r="B359" s="3">
        <v>4</v>
      </c>
      <c r="C359" s="3">
        <v>42</v>
      </c>
      <c r="D359" s="3">
        <v>6</v>
      </c>
      <c r="E359" s="3">
        <v>47.389</v>
      </c>
      <c r="F359" s="4" t="str">
        <f>HYPERLINK("http://141.218.60.56/~jnz1568/getInfo.php?workbook=14_04.xlsx&amp;sheet=A0&amp;row=359&amp;col=6&amp;number=121900000000&amp;sourceID=14","121900000000")</f>
        <v>121900000000</v>
      </c>
      <c r="G359" s="4" t="str">
        <f>HYPERLINK("http://141.218.60.56/~jnz1568/getInfo.php?workbook=14_04.xlsx&amp;sheet=A0&amp;row=359&amp;col=7&amp;number=0&amp;sourceID=14","0")</f>
        <v>0</v>
      </c>
    </row>
    <row r="360" spans="1:7">
      <c r="A360" s="3">
        <v>14</v>
      </c>
      <c r="B360" s="3">
        <v>4</v>
      </c>
      <c r="C360" s="3">
        <v>46</v>
      </c>
      <c r="D360" s="3">
        <v>6</v>
      </c>
      <c r="E360" s="3">
        <v>46.725</v>
      </c>
      <c r="F360" s="4" t="str">
        <f>HYPERLINK("http://141.218.60.56/~jnz1568/getInfo.php?workbook=14_04.xlsx&amp;sheet=A0&amp;row=360&amp;col=6&amp;number=3223000000&amp;sourceID=14","3223000000")</f>
        <v>3223000000</v>
      </c>
      <c r="G360" s="4" t="str">
        <f>HYPERLINK("http://141.218.60.56/~jnz1568/getInfo.php?workbook=14_04.xlsx&amp;sheet=A0&amp;row=360&amp;col=7&amp;number=0&amp;sourceID=14","0")</f>
        <v>0</v>
      </c>
    </row>
    <row r="361" spans="1:7">
      <c r="A361" s="3">
        <v>14</v>
      </c>
      <c r="B361" s="3">
        <v>4</v>
      </c>
      <c r="C361" s="3">
        <v>47</v>
      </c>
      <c r="D361" s="3">
        <v>6</v>
      </c>
      <c r="E361" s="3">
        <v>40.109</v>
      </c>
      <c r="F361" s="4" t="str">
        <f>HYPERLINK("http://141.218.60.56/~jnz1568/getInfo.php?workbook=14_04.xlsx&amp;sheet=A0&amp;row=361&amp;col=6&amp;number=0.1925&amp;sourceID=14","0.1925")</f>
        <v>0.1925</v>
      </c>
      <c r="G361" s="4" t="str">
        <f>HYPERLINK("http://141.218.60.56/~jnz1568/getInfo.php?workbook=14_04.xlsx&amp;sheet=A0&amp;row=361&amp;col=7&amp;number=0&amp;sourceID=14","0")</f>
        <v>0</v>
      </c>
    </row>
    <row r="362" spans="1:7">
      <c r="A362" s="3">
        <v>14</v>
      </c>
      <c r="B362" s="3">
        <v>4</v>
      </c>
      <c r="C362" s="3">
        <v>50</v>
      </c>
      <c r="D362" s="3">
        <v>6</v>
      </c>
      <c r="E362" s="3">
        <v>39.336</v>
      </c>
      <c r="F362" s="4" t="str">
        <f>HYPERLINK("http://141.218.60.56/~jnz1568/getInfo.php?workbook=14_04.xlsx&amp;sheet=A0&amp;row=362&amp;col=6&amp;number=74790000&amp;sourceID=14","74790000")</f>
        <v>74790000</v>
      </c>
      <c r="G362" s="4" t="str">
        <f>HYPERLINK("http://141.218.60.56/~jnz1568/getInfo.php?workbook=14_04.xlsx&amp;sheet=A0&amp;row=362&amp;col=7&amp;number=0&amp;sourceID=14","0")</f>
        <v>0</v>
      </c>
    </row>
    <row r="363" spans="1:7">
      <c r="A363" s="3">
        <v>14</v>
      </c>
      <c r="B363" s="3">
        <v>4</v>
      </c>
      <c r="C363" s="3">
        <v>52</v>
      </c>
      <c r="D363" s="3">
        <v>6</v>
      </c>
      <c r="E363" s="3">
        <v>39.39</v>
      </c>
      <c r="F363" s="4" t="str">
        <f>HYPERLINK("http://141.218.60.56/~jnz1568/getInfo.php?workbook=14_04.xlsx&amp;sheet=A0&amp;row=363&amp;col=6&amp;number=28180000&amp;sourceID=14","28180000")</f>
        <v>28180000</v>
      </c>
      <c r="G363" s="4" t="str">
        <f>HYPERLINK("http://141.218.60.56/~jnz1568/getInfo.php?workbook=14_04.xlsx&amp;sheet=A0&amp;row=363&amp;col=7&amp;number=0&amp;sourceID=14","0")</f>
        <v>0</v>
      </c>
    </row>
    <row r="364" spans="1:7">
      <c r="A364" s="3">
        <v>14</v>
      </c>
      <c r="B364" s="3">
        <v>4</v>
      </c>
      <c r="C364" s="3">
        <v>53</v>
      </c>
      <c r="D364" s="3">
        <v>6</v>
      </c>
      <c r="E364" s="3">
        <v>39.143</v>
      </c>
      <c r="F364" s="4" t="str">
        <f>HYPERLINK("http://141.218.60.56/~jnz1568/getInfo.php?workbook=14_04.xlsx&amp;sheet=A0&amp;row=364&amp;col=6&amp;number=0.09887&amp;sourceID=14","0.09887")</f>
        <v>0.09887</v>
      </c>
      <c r="G364" s="4" t="str">
        <f>HYPERLINK("http://141.218.60.56/~jnz1568/getInfo.php?workbook=14_04.xlsx&amp;sheet=A0&amp;row=364&amp;col=7&amp;number=0&amp;sourceID=14","0")</f>
        <v>0</v>
      </c>
    </row>
    <row r="365" spans="1:7">
      <c r="A365" s="3">
        <v>14</v>
      </c>
      <c r="B365" s="3">
        <v>4</v>
      </c>
      <c r="C365" s="3">
        <v>54</v>
      </c>
      <c r="D365" s="3">
        <v>6</v>
      </c>
      <c r="E365" s="3">
        <v>39.144</v>
      </c>
      <c r="F365" s="4" t="str">
        <f>HYPERLINK("http://141.218.60.56/~jnz1568/getInfo.php?workbook=14_04.xlsx&amp;sheet=A0&amp;row=365&amp;col=6&amp;number=55020&amp;sourceID=14","55020")</f>
        <v>55020</v>
      </c>
      <c r="G365" s="4" t="str">
        <f>HYPERLINK("http://141.218.60.56/~jnz1568/getInfo.php?workbook=14_04.xlsx&amp;sheet=A0&amp;row=365&amp;col=7&amp;number=0&amp;sourceID=14","0")</f>
        <v>0</v>
      </c>
    </row>
    <row r="366" spans="1:7">
      <c r="A366" s="3">
        <v>14</v>
      </c>
      <c r="B366" s="3">
        <v>4</v>
      </c>
      <c r="C366" s="3">
        <v>56</v>
      </c>
      <c r="D366" s="3">
        <v>6</v>
      </c>
      <c r="E366" s="3">
        <v>38.967</v>
      </c>
      <c r="F366" s="4" t="str">
        <f>HYPERLINK("http://141.218.60.56/~jnz1568/getInfo.php?workbook=14_04.xlsx&amp;sheet=A0&amp;row=366&amp;col=6&amp;number=4855&amp;sourceID=14","4855")</f>
        <v>4855</v>
      </c>
      <c r="G366" s="4" t="str">
        <f>HYPERLINK("http://141.218.60.56/~jnz1568/getInfo.php?workbook=14_04.xlsx&amp;sheet=A0&amp;row=366&amp;col=7&amp;number=0&amp;sourceID=14","0")</f>
        <v>0</v>
      </c>
    </row>
    <row r="367" spans="1:7">
      <c r="A367" s="3">
        <v>14</v>
      </c>
      <c r="B367" s="3">
        <v>4</v>
      </c>
      <c r="C367" s="3">
        <v>58</v>
      </c>
      <c r="D367" s="3">
        <v>6</v>
      </c>
      <c r="E367" s="3">
        <v>-37.005</v>
      </c>
      <c r="F367" s="4" t="str">
        <f>HYPERLINK("http://141.218.60.56/~jnz1568/getInfo.php?workbook=14_04.xlsx&amp;sheet=A0&amp;row=367&amp;col=6&amp;number=23720000000&amp;sourceID=14","23720000000")</f>
        <v>23720000000</v>
      </c>
      <c r="G367" s="4" t="str">
        <f>HYPERLINK("http://141.218.60.56/~jnz1568/getInfo.php?workbook=14_04.xlsx&amp;sheet=A0&amp;row=367&amp;col=7&amp;number=0&amp;sourceID=14","0")</f>
        <v>0</v>
      </c>
    </row>
    <row r="368" spans="1:7">
      <c r="A368" s="3">
        <v>14</v>
      </c>
      <c r="B368" s="3">
        <v>4</v>
      </c>
      <c r="C368" s="3">
        <v>60</v>
      </c>
      <c r="D368" s="3">
        <v>6</v>
      </c>
      <c r="E368" s="3">
        <v>-36.829</v>
      </c>
      <c r="F368" s="4" t="str">
        <f>HYPERLINK("http://141.218.60.56/~jnz1568/getInfo.php?workbook=14_04.xlsx&amp;sheet=A0&amp;row=368&amp;col=6&amp;number=1879000000&amp;sourceID=14","1879000000")</f>
        <v>1879000000</v>
      </c>
      <c r="G368" s="4" t="str">
        <f>HYPERLINK("http://141.218.60.56/~jnz1568/getInfo.php?workbook=14_04.xlsx&amp;sheet=A0&amp;row=368&amp;col=7&amp;number=0&amp;sourceID=14","0")</f>
        <v>0</v>
      </c>
    </row>
    <row r="369" spans="1:7">
      <c r="A369" s="3">
        <v>14</v>
      </c>
      <c r="B369" s="3">
        <v>4</v>
      </c>
      <c r="C369" s="3">
        <v>61</v>
      </c>
      <c r="D369" s="3">
        <v>6</v>
      </c>
      <c r="E369" s="3">
        <v>-36.668</v>
      </c>
      <c r="F369" s="4" t="str">
        <f>HYPERLINK("http://141.218.60.56/~jnz1568/getInfo.php?workbook=14_04.xlsx&amp;sheet=A0&amp;row=369&amp;col=6&amp;number=122.2&amp;sourceID=14","122.2")</f>
        <v>122.2</v>
      </c>
      <c r="G369" s="4" t="str">
        <f>HYPERLINK("http://141.218.60.56/~jnz1568/getInfo.php?workbook=14_04.xlsx&amp;sheet=A0&amp;row=369&amp;col=7&amp;number=0&amp;sourceID=14","0")</f>
        <v>0</v>
      </c>
    </row>
    <row r="370" spans="1:7">
      <c r="A370" s="3">
        <v>14</v>
      </c>
      <c r="B370" s="3">
        <v>4</v>
      </c>
      <c r="C370" s="3">
        <v>62</v>
      </c>
      <c r="D370" s="3">
        <v>6</v>
      </c>
      <c r="E370" s="3">
        <v>-36.727</v>
      </c>
      <c r="F370" s="4" t="str">
        <f>HYPERLINK("http://141.218.60.56/~jnz1568/getInfo.php?workbook=14_04.xlsx&amp;sheet=A0&amp;row=370&amp;col=6&amp;number=2.866&amp;sourceID=14","2.866")</f>
        <v>2.866</v>
      </c>
      <c r="G370" s="4" t="str">
        <f>HYPERLINK("http://141.218.60.56/~jnz1568/getInfo.php?workbook=14_04.xlsx&amp;sheet=A0&amp;row=370&amp;col=7&amp;number=0&amp;sourceID=14","0")</f>
        <v>0</v>
      </c>
    </row>
    <row r="371" spans="1:7">
      <c r="A371" s="3">
        <v>14</v>
      </c>
      <c r="B371" s="3">
        <v>4</v>
      </c>
      <c r="C371" s="3">
        <v>63</v>
      </c>
      <c r="D371" s="3">
        <v>6</v>
      </c>
      <c r="E371" s="3">
        <v>-36.665</v>
      </c>
      <c r="F371" s="4" t="str">
        <f>HYPERLINK("http://141.218.60.56/~jnz1568/getInfo.php?workbook=14_04.xlsx&amp;sheet=A0&amp;row=371&amp;col=6&amp;number=10540000&amp;sourceID=14","10540000")</f>
        <v>10540000</v>
      </c>
      <c r="G371" s="4" t="str">
        <f>HYPERLINK("http://141.218.60.56/~jnz1568/getInfo.php?workbook=14_04.xlsx&amp;sheet=A0&amp;row=371&amp;col=7&amp;number=0&amp;sourceID=14","0")</f>
        <v>0</v>
      </c>
    </row>
    <row r="372" spans="1:7">
      <c r="A372" s="3">
        <v>14</v>
      </c>
      <c r="B372" s="3">
        <v>4</v>
      </c>
      <c r="C372" s="3">
        <v>65</v>
      </c>
      <c r="D372" s="3">
        <v>6</v>
      </c>
      <c r="E372" s="3">
        <v>-36.568</v>
      </c>
      <c r="F372" s="4" t="str">
        <f>HYPERLINK("http://141.218.60.56/~jnz1568/getInfo.php?workbook=14_04.xlsx&amp;sheet=A0&amp;row=372&amp;col=6&amp;number=36.27&amp;sourceID=14","36.27")</f>
        <v>36.27</v>
      </c>
      <c r="G372" s="4" t="str">
        <f>HYPERLINK("http://141.218.60.56/~jnz1568/getInfo.php?workbook=14_04.xlsx&amp;sheet=A0&amp;row=372&amp;col=7&amp;number=0&amp;sourceID=14","0")</f>
        <v>0</v>
      </c>
    </row>
    <row r="373" spans="1:7">
      <c r="A373" s="3">
        <v>14</v>
      </c>
      <c r="B373" s="3">
        <v>4</v>
      </c>
      <c r="C373" s="3">
        <v>67</v>
      </c>
      <c r="D373" s="3">
        <v>6</v>
      </c>
      <c r="E373" s="3">
        <v>-36.51</v>
      </c>
      <c r="F373" s="4" t="str">
        <f>HYPERLINK("http://141.218.60.56/~jnz1568/getInfo.php?workbook=14_04.xlsx&amp;sheet=A0&amp;row=373&amp;col=6&amp;number=6.045&amp;sourceID=14","6.045")</f>
        <v>6.045</v>
      </c>
      <c r="G373" s="4" t="str">
        <f>HYPERLINK("http://141.218.60.56/~jnz1568/getInfo.php?workbook=14_04.xlsx&amp;sheet=A0&amp;row=373&amp;col=7&amp;number=0&amp;sourceID=14","0")</f>
        <v>0</v>
      </c>
    </row>
    <row r="374" spans="1:7">
      <c r="A374" s="3">
        <v>14</v>
      </c>
      <c r="B374" s="3">
        <v>4</v>
      </c>
      <c r="C374" s="3">
        <v>68</v>
      </c>
      <c r="D374" s="3">
        <v>6</v>
      </c>
      <c r="E374" s="3">
        <v>-36.499</v>
      </c>
      <c r="F374" s="4" t="str">
        <f>HYPERLINK("http://141.218.60.56/~jnz1568/getInfo.php?workbook=14_04.xlsx&amp;sheet=A0&amp;row=374&amp;col=6&amp;number=890100&amp;sourceID=14","890100")</f>
        <v>890100</v>
      </c>
      <c r="G374" s="4" t="str">
        <f>HYPERLINK("http://141.218.60.56/~jnz1568/getInfo.php?workbook=14_04.xlsx&amp;sheet=A0&amp;row=374&amp;col=7&amp;number=0&amp;sourceID=14","0")</f>
        <v>0</v>
      </c>
    </row>
    <row r="375" spans="1:7">
      <c r="A375" s="3">
        <v>14</v>
      </c>
      <c r="B375" s="3">
        <v>4</v>
      </c>
      <c r="C375" s="3">
        <v>72</v>
      </c>
      <c r="D375" s="3">
        <v>6</v>
      </c>
      <c r="E375" s="3">
        <v>-36.395</v>
      </c>
      <c r="F375" s="4" t="str">
        <f>HYPERLINK("http://141.218.60.56/~jnz1568/getInfo.php?workbook=14_04.xlsx&amp;sheet=A0&amp;row=375&amp;col=6&amp;number=2435000&amp;sourceID=14","2435000")</f>
        <v>2435000</v>
      </c>
      <c r="G375" s="4" t="str">
        <f>HYPERLINK("http://141.218.60.56/~jnz1568/getInfo.php?workbook=14_04.xlsx&amp;sheet=A0&amp;row=375&amp;col=7&amp;number=0&amp;sourceID=14","0")</f>
        <v>0</v>
      </c>
    </row>
    <row r="376" spans="1:7">
      <c r="A376" s="3">
        <v>14</v>
      </c>
      <c r="B376" s="3">
        <v>4</v>
      </c>
      <c r="C376" s="3">
        <v>74</v>
      </c>
      <c r="D376" s="3">
        <v>6</v>
      </c>
      <c r="E376" s="3">
        <v>-36.358</v>
      </c>
      <c r="F376" s="4" t="str">
        <f>HYPERLINK("http://141.218.60.56/~jnz1568/getInfo.php?workbook=14_04.xlsx&amp;sheet=A0&amp;row=376&amp;col=6&amp;number=414000000000&amp;sourceID=14","414000000000")</f>
        <v>414000000000</v>
      </c>
      <c r="G376" s="4" t="str">
        <f>HYPERLINK("http://141.218.60.56/~jnz1568/getInfo.php?workbook=14_04.xlsx&amp;sheet=A0&amp;row=376&amp;col=7&amp;number=0&amp;sourceID=14","0")</f>
        <v>0</v>
      </c>
    </row>
    <row r="377" spans="1:7">
      <c r="A377" s="3">
        <v>14</v>
      </c>
      <c r="B377" s="3">
        <v>4</v>
      </c>
      <c r="C377" s="3">
        <v>78</v>
      </c>
      <c r="D377" s="3">
        <v>6</v>
      </c>
      <c r="E377" s="3">
        <v>-36.255</v>
      </c>
      <c r="F377" s="4" t="str">
        <f>HYPERLINK("http://141.218.60.56/~jnz1568/getInfo.php?workbook=14_04.xlsx&amp;sheet=A0&amp;row=377&amp;col=6&amp;number=7622000000&amp;sourceID=14","7622000000")</f>
        <v>7622000000</v>
      </c>
      <c r="G377" s="4" t="str">
        <f>HYPERLINK("http://141.218.60.56/~jnz1568/getInfo.php?workbook=14_04.xlsx&amp;sheet=A0&amp;row=377&amp;col=7&amp;number=0&amp;sourceID=14","0")</f>
        <v>0</v>
      </c>
    </row>
    <row r="378" spans="1:7">
      <c r="A378" s="3">
        <v>14</v>
      </c>
      <c r="B378" s="3">
        <v>4</v>
      </c>
      <c r="C378" s="3">
        <v>82</v>
      </c>
      <c r="D378" s="3">
        <v>6</v>
      </c>
      <c r="E378" s="3">
        <v>-36.094</v>
      </c>
      <c r="F378" s="4" t="str">
        <f>HYPERLINK("http://141.218.60.56/~jnz1568/getInfo.php?workbook=14_04.xlsx&amp;sheet=A0&amp;row=378&amp;col=6&amp;number=11720000000&amp;sourceID=14","11720000000")</f>
        <v>11720000000</v>
      </c>
      <c r="G378" s="4" t="str">
        <f>HYPERLINK("http://141.218.60.56/~jnz1568/getInfo.php?workbook=14_04.xlsx&amp;sheet=A0&amp;row=378&amp;col=7&amp;number=0&amp;sourceID=14","0")</f>
        <v>0</v>
      </c>
    </row>
    <row r="379" spans="1:7">
      <c r="A379" s="3">
        <v>14</v>
      </c>
      <c r="B379" s="3">
        <v>4</v>
      </c>
      <c r="C379" s="3">
        <v>83</v>
      </c>
      <c r="D379" s="3">
        <v>6</v>
      </c>
      <c r="E379" s="3">
        <v>-35.317</v>
      </c>
      <c r="F379" s="4" t="str">
        <f>HYPERLINK("http://141.218.60.56/~jnz1568/getInfo.php?workbook=14_04.xlsx&amp;sheet=A0&amp;row=379&amp;col=6&amp;number=0.437&amp;sourceID=14","0.437")</f>
        <v>0.437</v>
      </c>
      <c r="G379" s="4" t="str">
        <f>HYPERLINK("http://141.218.60.56/~jnz1568/getInfo.php?workbook=14_04.xlsx&amp;sheet=A0&amp;row=379&amp;col=7&amp;number=0&amp;sourceID=14","0")</f>
        <v>0</v>
      </c>
    </row>
    <row r="380" spans="1:7">
      <c r="A380" s="3">
        <v>14</v>
      </c>
      <c r="B380" s="3">
        <v>4</v>
      </c>
      <c r="C380" s="3">
        <v>86</v>
      </c>
      <c r="D380" s="3">
        <v>6</v>
      </c>
      <c r="E380" s="3">
        <v>-35.136</v>
      </c>
      <c r="F380" s="4" t="str">
        <f>HYPERLINK("http://141.218.60.56/~jnz1568/getInfo.php?workbook=14_04.xlsx&amp;sheet=A0&amp;row=380&amp;col=6&amp;number=617900000&amp;sourceID=14","617900000")</f>
        <v>617900000</v>
      </c>
      <c r="G380" s="4" t="str">
        <f>HYPERLINK("http://141.218.60.56/~jnz1568/getInfo.php?workbook=14_04.xlsx&amp;sheet=A0&amp;row=380&amp;col=7&amp;number=0&amp;sourceID=14","0")</f>
        <v>0</v>
      </c>
    </row>
    <row r="381" spans="1:7">
      <c r="A381" s="3">
        <v>14</v>
      </c>
      <c r="B381" s="3">
        <v>4</v>
      </c>
      <c r="C381" s="3">
        <v>88</v>
      </c>
      <c r="D381" s="3">
        <v>6</v>
      </c>
      <c r="E381" s="3">
        <v>-35.1</v>
      </c>
      <c r="F381" s="4" t="str">
        <f>HYPERLINK("http://141.218.60.56/~jnz1568/getInfo.php?workbook=14_04.xlsx&amp;sheet=A0&amp;row=381&amp;col=6&amp;number=20540000&amp;sourceID=14","20540000")</f>
        <v>20540000</v>
      </c>
      <c r="G381" s="4" t="str">
        <f>HYPERLINK("http://141.218.60.56/~jnz1568/getInfo.php?workbook=14_04.xlsx&amp;sheet=A0&amp;row=381&amp;col=7&amp;number=0&amp;sourceID=14","0")</f>
        <v>0</v>
      </c>
    </row>
    <row r="382" spans="1:7">
      <c r="A382" s="3">
        <v>14</v>
      </c>
      <c r="B382" s="3">
        <v>4</v>
      </c>
      <c r="C382" s="3">
        <v>89</v>
      </c>
      <c r="D382" s="3">
        <v>6</v>
      </c>
      <c r="E382" s="3">
        <v>-35.032</v>
      </c>
      <c r="F382" s="4" t="str">
        <f>HYPERLINK("http://141.218.60.56/~jnz1568/getInfo.php?workbook=14_04.xlsx&amp;sheet=A0&amp;row=382&amp;col=6&amp;number=0.00558&amp;sourceID=14","0.00558")</f>
        <v>0.00558</v>
      </c>
      <c r="G382" s="4" t="str">
        <f>HYPERLINK("http://141.218.60.56/~jnz1568/getInfo.php?workbook=14_04.xlsx&amp;sheet=A0&amp;row=382&amp;col=7&amp;number=0&amp;sourceID=14","0")</f>
        <v>0</v>
      </c>
    </row>
    <row r="383" spans="1:7">
      <c r="A383" s="3">
        <v>14</v>
      </c>
      <c r="B383" s="3">
        <v>4</v>
      </c>
      <c r="C383" s="3">
        <v>90</v>
      </c>
      <c r="D383" s="3">
        <v>6</v>
      </c>
      <c r="E383" s="3">
        <v>34.956</v>
      </c>
      <c r="F383" s="4" t="str">
        <f>HYPERLINK("http://141.218.60.56/~jnz1568/getInfo.php?workbook=14_04.xlsx&amp;sheet=A0&amp;row=383&amp;col=6&amp;number=1080&amp;sourceID=14","1080")</f>
        <v>1080</v>
      </c>
      <c r="G383" s="4" t="str">
        <f>HYPERLINK("http://141.218.60.56/~jnz1568/getInfo.php?workbook=14_04.xlsx&amp;sheet=A0&amp;row=383&amp;col=7&amp;number=0&amp;sourceID=14","0")</f>
        <v>0</v>
      </c>
    </row>
    <row r="384" spans="1:7">
      <c r="A384" s="3">
        <v>14</v>
      </c>
      <c r="B384" s="3">
        <v>4</v>
      </c>
      <c r="C384" s="3">
        <v>92</v>
      </c>
      <c r="D384" s="3">
        <v>6</v>
      </c>
      <c r="E384" s="3">
        <v>34.909</v>
      </c>
      <c r="F384" s="4" t="str">
        <f>HYPERLINK("http://141.218.60.56/~jnz1568/getInfo.php?workbook=14_04.xlsx&amp;sheet=A0&amp;row=384&amp;col=6&amp;number=15310&amp;sourceID=14","15310")</f>
        <v>15310</v>
      </c>
      <c r="G384" s="4" t="str">
        <f>HYPERLINK("http://141.218.60.56/~jnz1568/getInfo.php?workbook=14_04.xlsx&amp;sheet=A0&amp;row=384&amp;col=7&amp;number=0&amp;sourceID=14","0")</f>
        <v>0</v>
      </c>
    </row>
    <row r="385" spans="1:7">
      <c r="A385" s="3">
        <v>14</v>
      </c>
      <c r="B385" s="3">
        <v>4</v>
      </c>
      <c r="C385" s="3">
        <v>8</v>
      </c>
      <c r="D385" s="3">
        <v>7</v>
      </c>
      <c r="E385" s="3">
        <v>22391.443</v>
      </c>
      <c r="F385" s="4" t="str">
        <f>HYPERLINK("http://141.218.60.56/~jnz1568/getInfo.php?workbook=14_04.xlsx&amp;sheet=A0&amp;row=385&amp;col=6&amp;number=1.194&amp;sourceID=14","1.194")</f>
        <v>1.194</v>
      </c>
      <c r="G385" s="4" t="str">
        <f>HYPERLINK("http://141.218.60.56/~jnz1568/getInfo.php?workbook=14_04.xlsx&amp;sheet=A0&amp;row=385&amp;col=7&amp;number=0&amp;sourceID=14","0")</f>
        <v>0</v>
      </c>
    </row>
    <row r="386" spans="1:7">
      <c r="A386" s="3">
        <v>14</v>
      </c>
      <c r="B386" s="3">
        <v>4</v>
      </c>
      <c r="C386" s="3">
        <v>9</v>
      </c>
      <c r="D386" s="3">
        <v>7</v>
      </c>
      <c r="E386" s="3">
        <v>2052.507</v>
      </c>
      <c r="F386" s="4" t="str">
        <f>HYPERLINK("http://141.218.60.56/~jnz1568/getInfo.php?workbook=14_04.xlsx&amp;sheet=A0&amp;row=386&amp;col=6&amp;number=9.55&amp;sourceID=14","9.55")</f>
        <v>9.55</v>
      </c>
      <c r="G386" s="4" t="str">
        <f>HYPERLINK("http://141.218.60.56/~jnz1568/getInfo.php?workbook=14_04.xlsx&amp;sheet=A0&amp;row=386&amp;col=7&amp;number=0&amp;sourceID=14","0")</f>
        <v>0</v>
      </c>
    </row>
    <row r="387" spans="1:7">
      <c r="A387" s="3">
        <v>14</v>
      </c>
      <c r="B387" s="3">
        <v>4</v>
      </c>
      <c r="C387" s="3">
        <v>10</v>
      </c>
      <c r="D387" s="3">
        <v>7</v>
      </c>
      <c r="E387" s="3">
        <v>618.35</v>
      </c>
      <c r="F387" s="4" t="str">
        <f>HYPERLINK("http://141.218.60.56/~jnz1568/getInfo.php?workbook=14_04.xlsx&amp;sheet=A0&amp;row=387&amp;col=6&amp;number=396.8&amp;sourceID=14","396.8")</f>
        <v>396.8</v>
      </c>
      <c r="G387" s="4" t="str">
        <f>HYPERLINK("http://141.218.60.56/~jnz1568/getInfo.php?workbook=14_04.xlsx&amp;sheet=A0&amp;row=387&amp;col=7&amp;number=0&amp;sourceID=14","0")</f>
        <v>0</v>
      </c>
    </row>
    <row r="388" spans="1:7">
      <c r="A388" s="3">
        <v>14</v>
      </c>
      <c r="B388" s="3">
        <v>4</v>
      </c>
      <c r="C388" s="3">
        <v>11</v>
      </c>
      <c r="D388" s="3">
        <v>7</v>
      </c>
      <c r="E388" s="3">
        <v>56.556</v>
      </c>
      <c r="F388" s="4" t="str">
        <f>HYPERLINK("http://141.218.60.56/~jnz1568/getInfo.php?workbook=14_04.xlsx&amp;sheet=A0&amp;row=388&amp;col=6&amp;number=11.15&amp;sourceID=14","11.15")</f>
        <v>11.15</v>
      </c>
      <c r="G388" s="4" t="str">
        <f>HYPERLINK("http://141.218.60.56/~jnz1568/getInfo.php?workbook=14_04.xlsx&amp;sheet=A0&amp;row=388&amp;col=7&amp;number=0&amp;sourceID=14","0")</f>
        <v>0</v>
      </c>
    </row>
    <row r="389" spans="1:7">
      <c r="A389" s="3">
        <v>14</v>
      </c>
      <c r="B389" s="3">
        <v>4</v>
      </c>
      <c r="C389" s="3">
        <v>12</v>
      </c>
      <c r="D389" s="3">
        <v>7</v>
      </c>
      <c r="E389" s="3">
        <v>55.693</v>
      </c>
      <c r="F389" s="4" t="str">
        <f>HYPERLINK("http://141.218.60.56/~jnz1568/getInfo.php?workbook=14_04.xlsx&amp;sheet=A0&amp;row=389&amp;col=6&amp;number=14.04&amp;sourceID=14","14.04")</f>
        <v>14.04</v>
      </c>
      <c r="G389" s="4" t="str">
        <f>HYPERLINK("http://141.218.60.56/~jnz1568/getInfo.php?workbook=14_04.xlsx&amp;sheet=A0&amp;row=389&amp;col=7&amp;number=0&amp;sourceID=14","0")</f>
        <v>0</v>
      </c>
    </row>
    <row r="390" spans="1:7">
      <c r="A390" s="3">
        <v>14</v>
      </c>
      <c r="B390" s="3">
        <v>4</v>
      </c>
      <c r="C390" s="3">
        <v>13</v>
      </c>
      <c r="D390" s="3">
        <v>7</v>
      </c>
      <c r="E390" s="3">
        <v>54.371</v>
      </c>
      <c r="F390" s="4" t="str">
        <f>HYPERLINK("http://141.218.60.56/~jnz1568/getInfo.php?workbook=14_04.xlsx&amp;sheet=A0&amp;row=390&amp;col=6&amp;number=74690000&amp;sourceID=14","74690000")</f>
        <v>74690000</v>
      </c>
      <c r="G390" s="4" t="str">
        <f>HYPERLINK("http://141.218.60.56/~jnz1568/getInfo.php?workbook=14_04.xlsx&amp;sheet=A0&amp;row=390&amp;col=7&amp;number=0&amp;sourceID=14","0")</f>
        <v>0</v>
      </c>
    </row>
    <row r="391" spans="1:7">
      <c r="A391" s="3">
        <v>14</v>
      </c>
      <c r="B391" s="3">
        <v>4</v>
      </c>
      <c r="C391" s="3">
        <v>14</v>
      </c>
      <c r="D391" s="3">
        <v>7</v>
      </c>
      <c r="E391" s="3">
        <v>-54.459</v>
      </c>
      <c r="F391" s="4" t="str">
        <f>HYPERLINK("http://141.218.60.56/~jnz1568/getInfo.php?workbook=14_04.xlsx&amp;sheet=A0&amp;row=391&amp;col=6&amp;number=2871000000&amp;sourceID=14","2871000000")</f>
        <v>2871000000</v>
      </c>
      <c r="G391" s="4" t="str">
        <f>HYPERLINK("http://141.218.60.56/~jnz1568/getInfo.php?workbook=14_04.xlsx&amp;sheet=A0&amp;row=391&amp;col=7&amp;number=0&amp;sourceID=14","0")</f>
        <v>0</v>
      </c>
    </row>
    <row r="392" spans="1:7">
      <c r="A392" s="3">
        <v>14</v>
      </c>
      <c r="B392" s="3">
        <v>4</v>
      </c>
      <c r="C392" s="3">
        <v>15</v>
      </c>
      <c r="D392" s="3">
        <v>7</v>
      </c>
      <c r="E392" s="3">
        <v>54.271</v>
      </c>
      <c r="F392" s="4" t="str">
        <f>HYPERLINK("http://141.218.60.56/~jnz1568/getInfo.php?workbook=14_04.xlsx&amp;sheet=A0&amp;row=392&amp;col=6&amp;number=640200000&amp;sourceID=14","640200000")</f>
        <v>640200000</v>
      </c>
      <c r="G392" s="4" t="str">
        <f>HYPERLINK("http://141.218.60.56/~jnz1568/getInfo.php?workbook=14_04.xlsx&amp;sheet=A0&amp;row=392&amp;col=7&amp;number=0&amp;sourceID=14","0")</f>
        <v>0</v>
      </c>
    </row>
    <row r="393" spans="1:7">
      <c r="A393" s="3">
        <v>14</v>
      </c>
      <c r="B393" s="3">
        <v>4</v>
      </c>
      <c r="C393" s="3">
        <v>16</v>
      </c>
      <c r="D393" s="3">
        <v>7</v>
      </c>
      <c r="E393" s="3">
        <v>54.305</v>
      </c>
      <c r="F393" s="4" t="str">
        <f>HYPERLINK("http://141.218.60.56/~jnz1568/getInfo.php?workbook=14_04.xlsx&amp;sheet=A0&amp;row=393&amp;col=6&amp;number=889300000&amp;sourceID=14","889300000")</f>
        <v>889300000</v>
      </c>
      <c r="G393" s="4" t="str">
        <f>HYPERLINK("http://141.218.60.56/~jnz1568/getInfo.php?workbook=14_04.xlsx&amp;sheet=A0&amp;row=393&amp;col=7&amp;number=0&amp;sourceID=14","0")</f>
        <v>0</v>
      </c>
    </row>
    <row r="394" spans="1:7">
      <c r="A394" s="3">
        <v>14</v>
      </c>
      <c r="B394" s="3">
        <v>4</v>
      </c>
      <c r="C394" s="3">
        <v>17</v>
      </c>
      <c r="D394" s="3">
        <v>7</v>
      </c>
      <c r="E394" s="3">
        <v>53.067</v>
      </c>
      <c r="F394" s="4" t="str">
        <f>HYPERLINK("http://141.218.60.56/~jnz1568/getInfo.php?workbook=14_04.xlsx&amp;sheet=A0&amp;row=394&amp;col=6&amp;number=360800&amp;sourceID=14","360800")</f>
        <v>360800</v>
      </c>
      <c r="G394" s="4" t="str">
        <f>HYPERLINK("http://141.218.60.56/~jnz1568/getInfo.php?workbook=14_04.xlsx&amp;sheet=A0&amp;row=394&amp;col=7&amp;number=0&amp;sourceID=14","0")</f>
        <v>0</v>
      </c>
    </row>
    <row r="395" spans="1:7">
      <c r="A395" s="3">
        <v>14</v>
      </c>
      <c r="B395" s="3">
        <v>4</v>
      </c>
      <c r="C395" s="3">
        <v>18</v>
      </c>
      <c r="D395" s="3">
        <v>7</v>
      </c>
      <c r="E395" s="3">
        <v>53.031</v>
      </c>
      <c r="F395" s="4" t="str">
        <f>HYPERLINK("http://141.218.60.56/~jnz1568/getInfo.php?workbook=14_04.xlsx&amp;sheet=A0&amp;row=395&amp;col=6&amp;number=39410&amp;sourceID=14","39410")</f>
        <v>39410</v>
      </c>
      <c r="G395" s="4" t="str">
        <f>HYPERLINK("http://141.218.60.56/~jnz1568/getInfo.php?workbook=14_04.xlsx&amp;sheet=A0&amp;row=395&amp;col=7&amp;number=0&amp;sourceID=14","0")</f>
        <v>0</v>
      </c>
    </row>
    <row r="396" spans="1:7">
      <c r="A396" s="3">
        <v>14</v>
      </c>
      <c r="B396" s="3">
        <v>4</v>
      </c>
      <c r="C396" s="3">
        <v>19</v>
      </c>
      <c r="D396" s="3">
        <v>7</v>
      </c>
      <c r="E396" s="3">
        <v>53.022</v>
      </c>
      <c r="F396" s="4" t="str">
        <f>HYPERLINK("http://141.218.60.56/~jnz1568/getInfo.php?workbook=14_04.xlsx&amp;sheet=A0&amp;row=396&amp;col=6&amp;number=136400&amp;sourceID=14","136400")</f>
        <v>136400</v>
      </c>
      <c r="G396" s="4" t="str">
        <f>HYPERLINK("http://141.218.60.56/~jnz1568/getInfo.php?workbook=14_04.xlsx&amp;sheet=A0&amp;row=396&amp;col=7&amp;number=0&amp;sourceID=14","0")</f>
        <v>0</v>
      </c>
    </row>
    <row r="397" spans="1:7">
      <c r="A397" s="3">
        <v>14</v>
      </c>
      <c r="B397" s="3">
        <v>4</v>
      </c>
      <c r="C397" s="3">
        <v>20</v>
      </c>
      <c r="D397" s="3">
        <v>7</v>
      </c>
      <c r="E397" s="3">
        <v>52.179</v>
      </c>
      <c r="F397" s="4" t="str">
        <f>HYPERLINK("http://141.218.60.56/~jnz1568/getInfo.php?workbook=14_04.xlsx&amp;sheet=A0&amp;row=397&amp;col=6&amp;number=213&amp;sourceID=14","213")</f>
        <v>213</v>
      </c>
      <c r="G397" s="4" t="str">
        <f>HYPERLINK("http://141.218.60.56/~jnz1568/getInfo.php?workbook=14_04.xlsx&amp;sheet=A0&amp;row=397&amp;col=7&amp;number=0&amp;sourceID=14","0")</f>
        <v>0</v>
      </c>
    </row>
    <row r="398" spans="1:7">
      <c r="A398" s="3">
        <v>14</v>
      </c>
      <c r="B398" s="3">
        <v>4</v>
      </c>
      <c r="C398" s="3">
        <v>21</v>
      </c>
      <c r="D398" s="3">
        <v>7</v>
      </c>
      <c r="E398" s="3">
        <v>50.524</v>
      </c>
      <c r="F398" s="4" t="str">
        <f>HYPERLINK("http://141.218.60.56/~jnz1568/getInfo.php?workbook=14_04.xlsx&amp;sheet=A0&amp;row=398&amp;col=6&amp;number=209700000000&amp;sourceID=14","209700000000")</f>
        <v>209700000000</v>
      </c>
      <c r="G398" s="4" t="str">
        <f>HYPERLINK("http://141.218.60.56/~jnz1568/getInfo.php?workbook=14_04.xlsx&amp;sheet=A0&amp;row=398&amp;col=7&amp;number=0&amp;sourceID=14","0")</f>
        <v>0</v>
      </c>
    </row>
    <row r="399" spans="1:7">
      <c r="A399" s="3">
        <v>14</v>
      </c>
      <c r="B399" s="3">
        <v>4</v>
      </c>
      <c r="C399" s="3">
        <v>22</v>
      </c>
      <c r="D399" s="3">
        <v>7</v>
      </c>
      <c r="E399" s="3">
        <v>-50.635</v>
      </c>
      <c r="F399" s="4" t="str">
        <f>HYPERLINK("http://141.218.60.56/~jnz1568/getInfo.php?workbook=14_04.xlsx&amp;sheet=A0&amp;row=399&amp;col=6&amp;number=50980000000&amp;sourceID=14","50980000000")</f>
        <v>50980000000</v>
      </c>
      <c r="G399" s="4" t="str">
        <f>HYPERLINK("http://141.218.60.56/~jnz1568/getInfo.php?workbook=14_04.xlsx&amp;sheet=A0&amp;row=399&amp;col=7&amp;number=0&amp;sourceID=14","0")</f>
        <v>0</v>
      </c>
    </row>
    <row r="400" spans="1:7">
      <c r="A400" s="3">
        <v>14</v>
      </c>
      <c r="B400" s="3">
        <v>4</v>
      </c>
      <c r="C400" s="3">
        <v>23</v>
      </c>
      <c r="D400" s="3">
        <v>7</v>
      </c>
      <c r="E400" s="3">
        <v>-50.489</v>
      </c>
      <c r="F400" s="4" t="str">
        <f>HYPERLINK("http://141.218.60.56/~jnz1568/getInfo.php?workbook=14_04.xlsx&amp;sheet=A0&amp;row=400&amp;col=6&amp;number=54810000000&amp;sourceID=14","54810000000")</f>
        <v>54810000000</v>
      </c>
      <c r="G400" s="4" t="str">
        <f>HYPERLINK("http://141.218.60.56/~jnz1568/getInfo.php?workbook=14_04.xlsx&amp;sheet=A0&amp;row=400&amp;col=7&amp;number=0&amp;sourceID=14","0")</f>
        <v>0</v>
      </c>
    </row>
    <row r="401" spans="1:7">
      <c r="A401" s="3">
        <v>14</v>
      </c>
      <c r="B401" s="3">
        <v>4</v>
      </c>
      <c r="C401" s="3">
        <v>24</v>
      </c>
      <c r="D401" s="3">
        <v>7</v>
      </c>
      <c r="E401" s="3">
        <v>-49.721</v>
      </c>
      <c r="F401" s="4" t="str">
        <f>HYPERLINK("http://141.218.60.56/~jnz1568/getInfo.php?workbook=14_04.xlsx&amp;sheet=A0&amp;row=401&amp;col=6&amp;number=546900000&amp;sourceID=14","546900000")</f>
        <v>546900000</v>
      </c>
      <c r="G401" s="4" t="str">
        <f>HYPERLINK("http://141.218.60.56/~jnz1568/getInfo.php?workbook=14_04.xlsx&amp;sheet=A0&amp;row=401&amp;col=7&amp;number=0&amp;sourceID=14","0")</f>
        <v>0</v>
      </c>
    </row>
    <row r="402" spans="1:7">
      <c r="A402" s="3">
        <v>14</v>
      </c>
      <c r="B402" s="3">
        <v>4</v>
      </c>
      <c r="C402" s="3">
        <v>25</v>
      </c>
      <c r="D402" s="3">
        <v>7</v>
      </c>
      <c r="E402" s="3">
        <v>-49.485</v>
      </c>
      <c r="F402" s="4" t="str">
        <f>HYPERLINK("http://141.218.60.56/~jnz1568/getInfo.php?workbook=14_04.xlsx&amp;sheet=A0&amp;row=402&amp;col=6&amp;number=4707000&amp;sourceID=14","4707000")</f>
        <v>4707000</v>
      </c>
      <c r="G402" s="4" t="str">
        <f>HYPERLINK("http://141.218.60.56/~jnz1568/getInfo.php?workbook=14_04.xlsx&amp;sheet=A0&amp;row=402&amp;col=7&amp;number=0&amp;sourceID=14","0")</f>
        <v>0</v>
      </c>
    </row>
    <row r="403" spans="1:7">
      <c r="A403" s="3">
        <v>14</v>
      </c>
      <c r="B403" s="3">
        <v>4</v>
      </c>
      <c r="C403" s="3">
        <v>26</v>
      </c>
      <c r="D403" s="3">
        <v>7</v>
      </c>
      <c r="E403" s="3">
        <v>-49.272</v>
      </c>
      <c r="F403" s="4" t="str">
        <f>HYPERLINK("http://141.218.60.56/~jnz1568/getInfo.php?workbook=14_04.xlsx&amp;sheet=A0&amp;row=403&amp;col=6&amp;number=33650000&amp;sourceID=14","33650000")</f>
        <v>33650000</v>
      </c>
      <c r="G403" s="4" t="str">
        <f>HYPERLINK("http://141.218.60.56/~jnz1568/getInfo.php?workbook=14_04.xlsx&amp;sheet=A0&amp;row=403&amp;col=7&amp;number=0&amp;sourceID=14","0")</f>
        <v>0</v>
      </c>
    </row>
    <row r="404" spans="1:7">
      <c r="A404" s="3">
        <v>14</v>
      </c>
      <c r="B404" s="3">
        <v>4</v>
      </c>
      <c r="C404" s="3">
        <v>27</v>
      </c>
      <c r="D404" s="3">
        <v>7</v>
      </c>
      <c r="E404" s="3">
        <v>49.122</v>
      </c>
      <c r="F404" s="4" t="str">
        <f>HYPERLINK("http://141.218.60.56/~jnz1568/getInfo.php?workbook=14_04.xlsx&amp;sheet=A0&amp;row=404&amp;col=6&amp;number=5025000&amp;sourceID=14","5025000")</f>
        <v>5025000</v>
      </c>
      <c r="G404" s="4" t="str">
        <f>HYPERLINK("http://141.218.60.56/~jnz1568/getInfo.php?workbook=14_04.xlsx&amp;sheet=A0&amp;row=404&amp;col=7&amp;number=0&amp;sourceID=14","0")</f>
        <v>0</v>
      </c>
    </row>
    <row r="405" spans="1:7">
      <c r="A405" s="3">
        <v>14</v>
      </c>
      <c r="B405" s="3">
        <v>4</v>
      </c>
      <c r="C405" s="3">
        <v>28</v>
      </c>
      <c r="D405" s="3">
        <v>7</v>
      </c>
      <c r="E405" s="3">
        <v>49.05</v>
      </c>
      <c r="F405" s="4" t="str">
        <f>HYPERLINK("http://141.218.60.56/~jnz1568/getInfo.php?workbook=14_04.xlsx&amp;sheet=A0&amp;row=405&amp;col=6&amp;number=16510000&amp;sourceID=14","16510000")</f>
        <v>16510000</v>
      </c>
      <c r="G405" s="4" t="str">
        <f>HYPERLINK("http://141.218.60.56/~jnz1568/getInfo.php?workbook=14_04.xlsx&amp;sheet=A0&amp;row=405&amp;col=7&amp;number=0&amp;sourceID=14","0")</f>
        <v>0</v>
      </c>
    </row>
    <row r="406" spans="1:7">
      <c r="A406" s="3">
        <v>14</v>
      </c>
      <c r="B406" s="3">
        <v>4</v>
      </c>
      <c r="C406" s="3">
        <v>29</v>
      </c>
      <c r="D406" s="3">
        <v>7</v>
      </c>
      <c r="E406" s="3">
        <v>48.687</v>
      </c>
      <c r="F406" s="4" t="str">
        <f>HYPERLINK("http://141.218.60.56/~jnz1568/getInfo.php?workbook=14_04.xlsx&amp;sheet=A0&amp;row=406&amp;col=6&amp;number=148400&amp;sourceID=14","148400")</f>
        <v>148400</v>
      </c>
      <c r="G406" s="4" t="str">
        <f>HYPERLINK("http://141.218.60.56/~jnz1568/getInfo.php?workbook=14_04.xlsx&amp;sheet=A0&amp;row=406&amp;col=7&amp;number=0&amp;sourceID=14","0")</f>
        <v>0</v>
      </c>
    </row>
    <row r="407" spans="1:7">
      <c r="A407" s="3">
        <v>14</v>
      </c>
      <c r="B407" s="3">
        <v>4</v>
      </c>
      <c r="C407" s="3">
        <v>30</v>
      </c>
      <c r="D407" s="3">
        <v>7</v>
      </c>
      <c r="E407" s="3">
        <v>-48.612</v>
      </c>
      <c r="F407" s="4" t="str">
        <f>HYPERLINK("http://141.218.60.56/~jnz1568/getInfo.php?workbook=14_04.xlsx&amp;sheet=A0&amp;row=407&amp;col=6&amp;number=130.7&amp;sourceID=14","130.7")</f>
        <v>130.7</v>
      </c>
      <c r="G407" s="4" t="str">
        <f>HYPERLINK("http://141.218.60.56/~jnz1568/getInfo.php?workbook=14_04.xlsx&amp;sheet=A0&amp;row=407&amp;col=7&amp;number=0&amp;sourceID=14","0")</f>
        <v>0</v>
      </c>
    </row>
    <row r="408" spans="1:7">
      <c r="A408" s="3">
        <v>14</v>
      </c>
      <c r="B408" s="3">
        <v>4</v>
      </c>
      <c r="C408" s="3">
        <v>31</v>
      </c>
      <c r="D408" s="3">
        <v>7</v>
      </c>
      <c r="E408" s="3">
        <v>48.406</v>
      </c>
      <c r="F408" s="4" t="str">
        <f>HYPERLINK("http://141.218.60.56/~jnz1568/getInfo.php?workbook=14_04.xlsx&amp;sheet=A0&amp;row=408&amp;col=6&amp;number=5522000&amp;sourceID=14","5522000")</f>
        <v>5522000</v>
      </c>
      <c r="G408" s="4" t="str">
        <f>HYPERLINK("http://141.218.60.56/~jnz1568/getInfo.php?workbook=14_04.xlsx&amp;sheet=A0&amp;row=408&amp;col=7&amp;number=0&amp;sourceID=14","0")</f>
        <v>0</v>
      </c>
    </row>
    <row r="409" spans="1:7">
      <c r="A409" s="3">
        <v>14</v>
      </c>
      <c r="B409" s="3">
        <v>4</v>
      </c>
      <c r="C409" s="3">
        <v>32</v>
      </c>
      <c r="D409" s="3">
        <v>7</v>
      </c>
      <c r="E409" s="3">
        <v>48.405</v>
      </c>
      <c r="F409" s="4" t="str">
        <f>HYPERLINK("http://141.218.60.56/~jnz1568/getInfo.php?workbook=14_04.xlsx&amp;sheet=A0&amp;row=409&amp;col=6&amp;number=11760000&amp;sourceID=14","11760000")</f>
        <v>11760000</v>
      </c>
      <c r="G409" s="4" t="str">
        <f>HYPERLINK("http://141.218.60.56/~jnz1568/getInfo.php?workbook=14_04.xlsx&amp;sheet=A0&amp;row=409&amp;col=7&amp;number=0&amp;sourceID=14","0")</f>
        <v>0</v>
      </c>
    </row>
    <row r="410" spans="1:7">
      <c r="A410" s="3">
        <v>14</v>
      </c>
      <c r="B410" s="3">
        <v>4</v>
      </c>
      <c r="C410" s="3">
        <v>33</v>
      </c>
      <c r="D410" s="3">
        <v>7</v>
      </c>
      <c r="E410" s="3">
        <v>-48.38</v>
      </c>
      <c r="F410" s="4" t="str">
        <f>HYPERLINK("http://141.218.60.56/~jnz1568/getInfo.php?workbook=14_04.xlsx&amp;sheet=A0&amp;row=410&amp;col=6&amp;number=1519000000&amp;sourceID=14","1519000000")</f>
        <v>1519000000</v>
      </c>
      <c r="G410" s="4" t="str">
        <f>HYPERLINK("http://141.218.60.56/~jnz1568/getInfo.php?workbook=14_04.xlsx&amp;sheet=A0&amp;row=410&amp;col=7&amp;number=0&amp;sourceID=14","0")</f>
        <v>0</v>
      </c>
    </row>
    <row r="411" spans="1:7">
      <c r="A411" s="3">
        <v>14</v>
      </c>
      <c r="B411" s="3">
        <v>4</v>
      </c>
      <c r="C411" s="3">
        <v>35</v>
      </c>
      <c r="D411" s="3">
        <v>7</v>
      </c>
      <c r="E411" s="3">
        <v>48.111</v>
      </c>
      <c r="F411" s="4" t="str">
        <f>HYPERLINK("http://141.218.60.56/~jnz1568/getInfo.php?workbook=14_04.xlsx&amp;sheet=A0&amp;row=411&amp;col=6&amp;number=17420000000&amp;sourceID=14","17420000000")</f>
        <v>17420000000</v>
      </c>
      <c r="G411" s="4" t="str">
        <f>HYPERLINK("http://141.218.60.56/~jnz1568/getInfo.php?workbook=14_04.xlsx&amp;sheet=A0&amp;row=411&amp;col=7&amp;number=0&amp;sourceID=14","0")</f>
        <v>0</v>
      </c>
    </row>
    <row r="412" spans="1:7">
      <c r="A412" s="3">
        <v>14</v>
      </c>
      <c r="B412" s="3">
        <v>4</v>
      </c>
      <c r="C412" s="3">
        <v>37</v>
      </c>
      <c r="D412" s="3">
        <v>7</v>
      </c>
      <c r="E412" s="3">
        <v>47.94</v>
      </c>
      <c r="F412" s="4" t="str">
        <f>HYPERLINK("http://141.218.60.56/~jnz1568/getInfo.php?workbook=14_04.xlsx&amp;sheet=A0&amp;row=412&amp;col=6&amp;number=209300&amp;sourceID=14","209300")</f>
        <v>209300</v>
      </c>
      <c r="G412" s="4" t="str">
        <f>HYPERLINK("http://141.218.60.56/~jnz1568/getInfo.php?workbook=14_04.xlsx&amp;sheet=A0&amp;row=412&amp;col=7&amp;number=0&amp;sourceID=14","0")</f>
        <v>0</v>
      </c>
    </row>
    <row r="413" spans="1:7">
      <c r="A413" s="3">
        <v>14</v>
      </c>
      <c r="B413" s="3">
        <v>4</v>
      </c>
      <c r="C413" s="3">
        <v>38</v>
      </c>
      <c r="D413" s="3">
        <v>7</v>
      </c>
      <c r="E413" s="3">
        <v>-47.737</v>
      </c>
      <c r="F413" s="4" t="str">
        <f>HYPERLINK("http://141.218.60.56/~jnz1568/getInfo.php?workbook=14_04.xlsx&amp;sheet=A0&amp;row=413&amp;col=6&amp;number=530700000000&amp;sourceID=14","530700000000")</f>
        <v>530700000000</v>
      </c>
      <c r="G413" s="4" t="str">
        <f>HYPERLINK("http://141.218.60.56/~jnz1568/getInfo.php?workbook=14_04.xlsx&amp;sheet=A0&amp;row=413&amp;col=7&amp;number=0&amp;sourceID=14","0")</f>
        <v>0</v>
      </c>
    </row>
    <row r="414" spans="1:7">
      <c r="A414" s="3">
        <v>14</v>
      </c>
      <c r="B414" s="3">
        <v>4</v>
      </c>
      <c r="C414" s="3">
        <v>39</v>
      </c>
      <c r="D414" s="3">
        <v>7</v>
      </c>
      <c r="E414" s="3">
        <v>47.702</v>
      </c>
      <c r="F414" s="4" t="str">
        <f>HYPERLINK("http://141.218.60.56/~jnz1568/getInfo.php?workbook=14_04.xlsx&amp;sheet=A0&amp;row=414&amp;col=6&amp;number=1444000000000&amp;sourceID=14","1444000000000")</f>
        <v>1444000000000</v>
      </c>
      <c r="G414" s="4" t="str">
        <f>HYPERLINK("http://141.218.60.56/~jnz1568/getInfo.php?workbook=14_04.xlsx&amp;sheet=A0&amp;row=414&amp;col=7&amp;number=0&amp;sourceID=14","0")</f>
        <v>0</v>
      </c>
    </row>
    <row r="415" spans="1:7">
      <c r="A415" s="3">
        <v>14</v>
      </c>
      <c r="B415" s="3">
        <v>4</v>
      </c>
      <c r="C415" s="3">
        <v>41</v>
      </c>
      <c r="D415" s="3">
        <v>7</v>
      </c>
      <c r="E415" s="3">
        <v>47.387</v>
      </c>
      <c r="F415" s="4" t="str">
        <f>HYPERLINK("http://141.218.60.56/~jnz1568/getInfo.php?workbook=14_04.xlsx&amp;sheet=A0&amp;row=415&amp;col=6&amp;number=13350000000&amp;sourceID=14","13350000000")</f>
        <v>13350000000</v>
      </c>
      <c r="G415" s="4" t="str">
        <f>HYPERLINK("http://141.218.60.56/~jnz1568/getInfo.php?workbook=14_04.xlsx&amp;sheet=A0&amp;row=415&amp;col=7&amp;number=0&amp;sourceID=14","0")</f>
        <v>0</v>
      </c>
    </row>
    <row r="416" spans="1:7">
      <c r="A416" s="3">
        <v>14</v>
      </c>
      <c r="B416" s="3">
        <v>4</v>
      </c>
      <c r="C416" s="3">
        <v>42</v>
      </c>
      <c r="D416" s="3">
        <v>7</v>
      </c>
      <c r="E416" s="3">
        <v>47.453</v>
      </c>
      <c r="F416" s="4" t="str">
        <f>HYPERLINK("http://141.218.60.56/~jnz1568/getInfo.php?workbook=14_04.xlsx&amp;sheet=A0&amp;row=416&amp;col=6&amp;number=390600000000&amp;sourceID=14","390600000000")</f>
        <v>390600000000</v>
      </c>
      <c r="G416" s="4" t="str">
        <f>HYPERLINK("http://141.218.60.56/~jnz1568/getInfo.php?workbook=14_04.xlsx&amp;sheet=A0&amp;row=416&amp;col=7&amp;number=0&amp;sourceID=14","0")</f>
        <v>0</v>
      </c>
    </row>
    <row r="417" spans="1:7">
      <c r="A417" s="3">
        <v>14</v>
      </c>
      <c r="B417" s="3">
        <v>4</v>
      </c>
      <c r="C417" s="3">
        <v>43</v>
      </c>
      <c r="D417" s="3">
        <v>7</v>
      </c>
      <c r="E417" s="3">
        <v>47.385</v>
      </c>
      <c r="F417" s="4" t="str">
        <f>HYPERLINK("http://141.218.60.56/~jnz1568/getInfo.php?workbook=14_04.xlsx&amp;sheet=A0&amp;row=417&amp;col=6&amp;number=897300000000&amp;sourceID=14","897300000000")</f>
        <v>897300000000</v>
      </c>
      <c r="G417" s="4" t="str">
        <f>HYPERLINK("http://141.218.60.56/~jnz1568/getInfo.php?workbook=14_04.xlsx&amp;sheet=A0&amp;row=417&amp;col=7&amp;number=0&amp;sourceID=14","0")</f>
        <v>0</v>
      </c>
    </row>
    <row r="418" spans="1:7">
      <c r="A418" s="3">
        <v>14</v>
      </c>
      <c r="B418" s="3">
        <v>4</v>
      </c>
      <c r="C418" s="3">
        <v>44</v>
      </c>
      <c r="D418" s="3">
        <v>7</v>
      </c>
      <c r="E418" s="3">
        <v>-47.063</v>
      </c>
      <c r="F418" s="4" t="str">
        <f>HYPERLINK("http://141.218.60.56/~jnz1568/getInfo.php?workbook=14_04.xlsx&amp;sheet=A0&amp;row=418&amp;col=6&amp;number=725.7&amp;sourceID=14","725.7")</f>
        <v>725.7</v>
      </c>
      <c r="G418" s="4" t="str">
        <f>HYPERLINK("http://141.218.60.56/~jnz1568/getInfo.php?workbook=14_04.xlsx&amp;sheet=A0&amp;row=418&amp;col=7&amp;number=0&amp;sourceID=14","0")</f>
        <v>0</v>
      </c>
    </row>
    <row r="419" spans="1:7">
      <c r="A419" s="3">
        <v>14</v>
      </c>
      <c r="B419" s="3">
        <v>4</v>
      </c>
      <c r="C419" s="3">
        <v>46</v>
      </c>
      <c r="D419" s="3">
        <v>7</v>
      </c>
      <c r="E419" s="3">
        <v>46.787</v>
      </c>
      <c r="F419" s="4" t="str">
        <f>HYPERLINK("http://141.218.60.56/~jnz1568/getInfo.php?workbook=14_04.xlsx&amp;sheet=A0&amp;row=419&amp;col=6&amp;number=1085000000&amp;sourceID=14","1085000000")</f>
        <v>1085000000</v>
      </c>
      <c r="G419" s="4" t="str">
        <f>HYPERLINK("http://141.218.60.56/~jnz1568/getInfo.php?workbook=14_04.xlsx&amp;sheet=A0&amp;row=419&amp;col=7&amp;number=0&amp;sourceID=14","0")</f>
        <v>0</v>
      </c>
    </row>
    <row r="420" spans="1:7">
      <c r="A420" s="3">
        <v>14</v>
      </c>
      <c r="B420" s="3">
        <v>4</v>
      </c>
      <c r="C420" s="3">
        <v>47</v>
      </c>
      <c r="D420" s="3">
        <v>7</v>
      </c>
      <c r="E420" s="3">
        <v>40.155</v>
      </c>
      <c r="F420" s="4" t="str">
        <f>HYPERLINK("http://141.218.60.56/~jnz1568/getInfo.php?workbook=14_04.xlsx&amp;sheet=A0&amp;row=420&amp;col=6&amp;number=14.65&amp;sourceID=14","14.65")</f>
        <v>14.65</v>
      </c>
      <c r="G420" s="4" t="str">
        <f>HYPERLINK("http://141.218.60.56/~jnz1568/getInfo.php?workbook=14_04.xlsx&amp;sheet=A0&amp;row=420&amp;col=7&amp;number=0&amp;sourceID=14","0")</f>
        <v>0</v>
      </c>
    </row>
    <row r="421" spans="1:7">
      <c r="A421" s="3">
        <v>14</v>
      </c>
      <c r="B421" s="3">
        <v>4</v>
      </c>
      <c r="C421" s="3">
        <v>48</v>
      </c>
      <c r="D421" s="3">
        <v>7</v>
      </c>
      <c r="E421" s="3">
        <v>40.133</v>
      </c>
      <c r="F421" s="4" t="str">
        <f>HYPERLINK("http://141.218.60.56/~jnz1568/getInfo.php?workbook=14_04.xlsx&amp;sheet=A0&amp;row=421&amp;col=6&amp;number=0.004703&amp;sourceID=14","0.004703")</f>
        <v>0.004703</v>
      </c>
      <c r="G421" s="4" t="str">
        <f>HYPERLINK("http://141.218.60.56/~jnz1568/getInfo.php?workbook=14_04.xlsx&amp;sheet=A0&amp;row=421&amp;col=7&amp;number=0&amp;sourceID=14","0")</f>
        <v>0</v>
      </c>
    </row>
    <row r="422" spans="1:7">
      <c r="A422" s="3">
        <v>14</v>
      </c>
      <c r="B422" s="3">
        <v>4</v>
      </c>
      <c r="C422" s="3">
        <v>49</v>
      </c>
      <c r="D422" s="3">
        <v>7</v>
      </c>
      <c r="E422" s="3">
        <v>39.379</v>
      </c>
      <c r="F422" s="4" t="str">
        <f>HYPERLINK("http://141.218.60.56/~jnz1568/getInfo.php?workbook=14_04.xlsx&amp;sheet=A0&amp;row=422&amp;col=6&amp;number=231700000&amp;sourceID=14","231700000")</f>
        <v>231700000</v>
      </c>
      <c r="G422" s="4" t="str">
        <f>HYPERLINK("http://141.218.60.56/~jnz1568/getInfo.php?workbook=14_04.xlsx&amp;sheet=A0&amp;row=422&amp;col=7&amp;number=0&amp;sourceID=14","0")</f>
        <v>0</v>
      </c>
    </row>
    <row r="423" spans="1:7">
      <c r="A423" s="3">
        <v>14</v>
      </c>
      <c r="B423" s="3">
        <v>4</v>
      </c>
      <c r="C423" s="3">
        <v>50</v>
      </c>
      <c r="D423" s="3">
        <v>7</v>
      </c>
      <c r="E423" s="3">
        <v>39.379</v>
      </c>
      <c r="F423" s="4" t="str">
        <f>HYPERLINK("http://141.218.60.56/~jnz1568/getInfo.php?workbook=14_04.xlsx&amp;sheet=A0&amp;row=423&amp;col=6&amp;number=59910000&amp;sourceID=14","59910000")</f>
        <v>59910000</v>
      </c>
      <c r="G423" s="4" t="str">
        <f>HYPERLINK("http://141.218.60.56/~jnz1568/getInfo.php?workbook=14_04.xlsx&amp;sheet=A0&amp;row=423&amp;col=7&amp;number=0&amp;sourceID=14","0")</f>
        <v>0</v>
      </c>
    </row>
    <row r="424" spans="1:7">
      <c r="A424" s="3">
        <v>14</v>
      </c>
      <c r="B424" s="3">
        <v>4</v>
      </c>
      <c r="C424" s="3">
        <v>51</v>
      </c>
      <c r="D424" s="3">
        <v>7</v>
      </c>
      <c r="E424" s="3">
        <v>39.368</v>
      </c>
      <c r="F424" s="4" t="str">
        <f>HYPERLINK("http://141.218.60.56/~jnz1568/getInfo.php?workbook=14_04.xlsx&amp;sheet=A0&amp;row=424&amp;col=6&amp;number=37620000&amp;sourceID=14","37620000")</f>
        <v>37620000</v>
      </c>
      <c r="G424" s="4" t="str">
        <f>HYPERLINK("http://141.218.60.56/~jnz1568/getInfo.php?workbook=14_04.xlsx&amp;sheet=A0&amp;row=424&amp;col=7&amp;number=0&amp;sourceID=14","0")</f>
        <v>0</v>
      </c>
    </row>
    <row r="425" spans="1:7">
      <c r="A425" s="3">
        <v>14</v>
      </c>
      <c r="B425" s="3">
        <v>4</v>
      </c>
      <c r="C425" s="3">
        <v>52</v>
      </c>
      <c r="D425" s="3">
        <v>7</v>
      </c>
      <c r="E425" s="3">
        <v>39.434</v>
      </c>
      <c r="F425" s="4" t="str">
        <f>HYPERLINK("http://141.218.60.56/~jnz1568/getInfo.php?workbook=14_04.xlsx&amp;sheet=A0&amp;row=425&amp;col=6&amp;number=923200&amp;sourceID=14","923200")</f>
        <v>923200</v>
      </c>
      <c r="G425" s="4" t="str">
        <f>HYPERLINK("http://141.218.60.56/~jnz1568/getInfo.php?workbook=14_04.xlsx&amp;sheet=A0&amp;row=425&amp;col=7&amp;number=0&amp;sourceID=14","0")</f>
        <v>0</v>
      </c>
    </row>
    <row r="426" spans="1:7">
      <c r="A426" s="3">
        <v>14</v>
      </c>
      <c r="B426" s="3">
        <v>4</v>
      </c>
      <c r="C426" s="3">
        <v>53</v>
      </c>
      <c r="D426" s="3">
        <v>7</v>
      </c>
      <c r="E426" s="3">
        <v>39.186</v>
      </c>
      <c r="F426" s="4" t="str">
        <f>HYPERLINK("http://141.218.60.56/~jnz1568/getInfo.php?workbook=14_04.xlsx&amp;sheet=A0&amp;row=426&amp;col=6&amp;number=124400&amp;sourceID=14","124400")</f>
        <v>124400</v>
      </c>
      <c r="G426" s="4" t="str">
        <f>HYPERLINK("http://141.218.60.56/~jnz1568/getInfo.php?workbook=14_04.xlsx&amp;sheet=A0&amp;row=426&amp;col=7&amp;number=0&amp;sourceID=14","0")</f>
        <v>0</v>
      </c>
    </row>
    <row r="427" spans="1:7">
      <c r="A427" s="3">
        <v>14</v>
      </c>
      <c r="B427" s="3">
        <v>4</v>
      </c>
      <c r="C427" s="3">
        <v>54</v>
      </c>
      <c r="D427" s="3">
        <v>7</v>
      </c>
      <c r="E427" s="3">
        <v>39.187</v>
      </c>
      <c r="F427" s="4" t="str">
        <f>HYPERLINK("http://141.218.60.56/~jnz1568/getInfo.php?workbook=14_04.xlsx&amp;sheet=A0&amp;row=427&amp;col=6&amp;number=13670&amp;sourceID=14","13670")</f>
        <v>13670</v>
      </c>
      <c r="G427" s="4" t="str">
        <f>HYPERLINK("http://141.218.60.56/~jnz1568/getInfo.php?workbook=14_04.xlsx&amp;sheet=A0&amp;row=427&amp;col=7&amp;number=0&amp;sourceID=14","0")</f>
        <v>0</v>
      </c>
    </row>
    <row r="428" spans="1:7">
      <c r="A428" s="3">
        <v>14</v>
      </c>
      <c r="B428" s="3">
        <v>4</v>
      </c>
      <c r="C428" s="3">
        <v>55</v>
      </c>
      <c r="D428" s="3">
        <v>7</v>
      </c>
      <c r="E428" s="3">
        <v>39.174</v>
      </c>
      <c r="F428" s="4" t="str">
        <f>HYPERLINK("http://141.218.60.56/~jnz1568/getInfo.php?workbook=14_04.xlsx&amp;sheet=A0&amp;row=428&amp;col=6&amp;number=52970&amp;sourceID=14","52970")</f>
        <v>52970</v>
      </c>
      <c r="G428" s="4" t="str">
        <f>HYPERLINK("http://141.218.60.56/~jnz1568/getInfo.php?workbook=14_04.xlsx&amp;sheet=A0&amp;row=428&amp;col=7&amp;number=0&amp;sourceID=14","0")</f>
        <v>0</v>
      </c>
    </row>
    <row r="429" spans="1:7">
      <c r="A429" s="3">
        <v>14</v>
      </c>
      <c r="B429" s="3">
        <v>4</v>
      </c>
      <c r="C429" s="3">
        <v>56</v>
      </c>
      <c r="D429" s="3">
        <v>7</v>
      </c>
      <c r="E429" s="3">
        <v>39.01</v>
      </c>
      <c r="F429" s="4" t="str">
        <f>HYPERLINK("http://141.218.60.56/~jnz1568/getInfo.php?workbook=14_04.xlsx&amp;sheet=A0&amp;row=429&amp;col=6&amp;number=31.6&amp;sourceID=14","31.6")</f>
        <v>31.6</v>
      </c>
      <c r="G429" s="4" t="str">
        <f>HYPERLINK("http://141.218.60.56/~jnz1568/getInfo.php?workbook=14_04.xlsx&amp;sheet=A0&amp;row=429&amp;col=7&amp;number=0&amp;sourceID=14","0")</f>
        <v>0</v>
      </c>
    </row>
    <row r="430" spans="1:7">
      <c r="A430" s="3">
        <v>14</v>
      </c>
      <c r="B430" s="3">
        <v>4</v>
      </c>
      <c r="C430" s="3">
        <v>57</v>
      </c>
      <c r="D430" s="3">
        <v>7</v>
      </c>
      <c r="E430" s="3">
        <v>-37.065</v>
      </c>
      <c r="F430" s="4" t="str">
        <f>HYPERLINK("http://141.218.60.56/~jnz1568/getInfo.php?workbook=14_04.xlsx&amp;sheet=A0&amp;row=430&amp;col=6&amp;number=74130000000&amp;sourceID=14","74130000000")</f>
        <v>74130000000</v>
      </c>
      <c r="G430" s="4" t="str">
        <f>HYPERLINK("http://141.218.60.56/~jnz1568/getInfo.php?workbook=14_04.xlsx&amp;sheet=A0&amp;row=430&amp;col=7&amp;number=0&amp;sourceID=14","0")</f>
        <v>0</v>
      </c>
    </row>
    <row r="431" spans="1:7">
      <c r="A431" s="3">
        <v>14</v>
      </c>
      <c r="B431" s="3">
        <v>4</v>
      </c>
      <c r="C431" s="3">
        <v>58</v>
      </c>
      <c r="D431" s="3">
        <v>7</v>
      </c>
      <c r="E431" s="3">
        <v>-37.045</v>
      </c>
      <c r="F431" s="4" t="str">
        <f>HYPERLINK("http://141.218.60.56/~jnz1568/getInfo.php?workbook=14_04.xlsx&amp;sheet=A0&amp;row=431&amp;col=6&amp;number=16370000000&amp;sourceID=14","16370000000")</f>
        <v>16370000000</v>
      </c>
      <c r="G431" s="4" t="str">
        <f>HYPERLINK("http://141.218.60.56/~jnz1568/getInfo.php?workbook=14_04.xlsx&amp;sheet=A0&amp;row=431&amp;col=7&amp;number=0&amp;sourceID=14","0")</f>
        <v>0</v>
      </c>
    </row>
    <row r="432" spans="1:7">
      <c r="A432" s="3">
        <v>14</v>
      </c>
      <c r="B432" s="3">
        <v>4</v>
      </c>
      <c r="C432" s="3">
        <v>59</v>
      </c>
      <c r="D432" s="3">
        <v>7</v>
      </c>
      <c r="E432" s="3">
        <v>36.999</v>
      </c>
      <c r="F432" s="4" t="str">
        <f>HYPERLINK("http://141.218.60.56/~jnz1568/getInfo.php?workbook=14_04.xlsx&amp;sheet=A0&amp;row=432&amp;col=6&amp;number=20960000000&amp;sourceID=14","20960000000")</f>
        <v>20960000000</v>
      </c>
      <c r="G432" s="4" t="str">
        <f>HYPERLINK("http://141.218.60.56/~jnz1568/getInfo.php?workbook=14_04.xlsx&amp;sheet=A0&amp;row=432&amp;col=7&amp;number=0&amp;sourceID=14","0")</f>
        <v>0</v>
      </c>
    </row>
    <row r="433" spans="1:7">
      <c r="A433" s="3">
        <v>14</v>
      </c>
      <c r="B433" s="3">
        <v>4</v>
      </c>
      <c r="C433" s="3">
        <v>60</v>
      </c>
      <c r="D433" s="3">
        <v>7</v>
      </c>
      <c r="E433" s="3">
        <v>-36.87</v>
      </c>
      <c r="F433" s="4" t="str">
        <f>HYPERLINK("http://141.218.60.56/~jnz1568/getInfo.php?workbook=14_04.xlsx&amp;sheet=A0&amp;row=433&amp;col=6&amp;number=1953000000&amp;sourceID=14","1953000000")</f>
        <v>1953000000</v>
      </c>
      <c r="G433" s="4" t="str">
        <f>HYPERLINK("http://141.218.60.56/~jnz1568/getInfo.php?workbook=14_04.xlsx&amp;sheet=A0&amp;row=433&amp;col=7&amp;number=0&amp;sourceID=14","0")</f>
        <v>0</v>
      </c>
    </row>
    <row r="434" spans="1:7">
      <c r="A434" s="3">
        <v>14</v>
      </c>
      <c r="B434" s="3">
        <v>4</v>
      </c>
      <c r="C434" s="3">
        <v>61</v>
      </c>
      <c r="D434" s="3">
        <v>7</v>
      </c>
      <c r="E434" s="3">
        <v>-36.708</v>
      </c>
      <c r="F434" s="4" t="str">
        <f>HYPERLINK("http://141.218.60.56/~jnz1568/getInfo.php?workbook=14_04.xlsx&amp;sheet=A0&amp;row=434&amp;col=6&amp;number=13020000&amp;sourceID=14","13020000")</f>
        <v>13020000</v>
      </c>
      <c r="G434" s="4" t="str">
        <f>HYPERLINK("http://141.218.60.56/~jnz1568/getInfo.php?workbook=14_04.xlsx&amp;sheet=A0&amp;row=434&amp;col=7&amp;number=0&amp;sourceID=14","0")</f>
        <v>0</v>
      </c>
    </row>
    <row r="435" spans="1:7">
      <c r="A435" s="3">
        <v>14</v>
      </c>
      <c r="B435" s="3">
        <v>4</v>
      </c>
      <c r="C435" s="3">
        <v>62</v>
      </c>
      <c r="D435" s="3">
        <v>7</v>
      </c>
      <c r="E435" s="3">
        <v>-36.767</v>
      </c>
      <c r="F435" s="4" t="str">
        <f>HYPERLINK("http://141.218.60.56/~jnz1568/getInfo.php?workbook=14_04.xlsx&amp;sheet=A0&amp;row=435&amp;col=6&amp;number=9725000&amp;sourceID=14","9725000")</f>
        <v>9725000</v>
      </c>
      <c r="G435" s="4" t="str">
        <f>HYPERLINK("http://141.218.60.56/~jnz1568/getInfo.php?workbook=14_04.xlsx&amp;sheet=A0&amp;row=435&amp;col=7&amp;number=0&amp;sourceID=14","0")</f>
        <v>0</v>
      </c>
    </row>
    <row r="436" spans="1:7">
      <c r="A436" s="3">
        <v>14</v>
      </c>
      <c r="B436" s="3">
        <v>4</v>
      </c>
      <c r="C436" s="3">
        <v>63</v>
      </c>
      <c r="D436" s="3">
        <v>7</v>
      </c>
      <c r="E436" s="3">
        <v>-36.705</v>
      </c>
      <c r="F436" s="4" t="str">
        <f>HYPERLINK("http://141.218.60.56/~jnz1568/getInfo.php?workbook=14_04.xlsx&amp;sheet=A0&amp;row=436&amp;col=6&amp;number=3866000&amp;sourceID=14","3866000")</f>
        <v>3866000</v>
      </c>
      <c r="G436" s="4" t="str">
        <f>HYPERLINK("http://141.218.60.56/~jnz1568/getInfo.php?workbook=14_04.xlsx&amp;sheet=A0&amp;row=436&amp;col=7&amp;number=0&amp;sourceID=14","0")</f>
        <v>0</v>
      </c>
    </row>
    <row r="437" spans="1:7">
      <c r="A437" s="3">
        <v>14</v>
      </c>
      <c r="B437" s="3">
        <v>4</v>
      </c>
      <c r="C437" s="3">
        <v>64</v>
      </c>
      <c r="D437" s="3">
        <v>7</v>
      </c>
      <c r="E437" s="3">
        <v>-36.632</v>
      </c>
      <c r="F437" s="4" t="str">
        <f>HYPERLINK("http://141.218.60.56/~jnz1568/getInfo.php?workbook=14_04.xlsx&amp;sheet=A0&amp;row=437&amp;col=6&amp;number=9311000&amp;sourceID=14","9311000")</f>
        <v>9311000</v>
      </c>
      <c r="G437" s="4" t="str">
        <f>HYPERLINK("http://141.218.60.56/~jnz1568/getInfo.php?workbook=14_04.xlsx&amp;sheet=A0&amp;row=437&amp;col=7&amp;number=0&amp;sourceID=14","0")</f>
        <v>0</v>
      </c>
    </row>
    <row r="438" spans="1:7">
      <c r="A438" s="3">
        <v>14</v>
      </c>
      <c r="B438" s="3">
        <v>4</v>
      </c>
      <c r="C438" s="3">
        <v>65</v>
      </c>
      <c r="D438" s="3">
        <v>7</v>
      </c>
      <c r="E438" s="3">
        <v>-36.608</v>
      </c>
      <c r="F438" s="4" t="str">
        <f>HYPERLINK("http://141.218.60.56/~jnz1568/getInfo.php?workbook=14_04.xlsx&amp;sheet=A0&amp;row=438&amp;col=6&amp;number=15350&amp;sourceID=14","15350")</f>
        <v>15350</v>
      </c>
      <c r="G438" s="4" t="str">
        <f>HYPERLINK("http://141.218.60.56/~jnz1568/getInfo.php?workbook=14_04.xlsx&amp;sheet=A0&amp;row=438&amp;col=7&amp;number=0&amp;sourceID=14","0")</f>
        <v>0</v>
      </c>
    </row>
    <row r="439" spans="1:7">
      <c r="A439" s="3">
        <v>14</v>
      </c>
      <c r="B439" s="3">
        <v>4</v>
      </c>
      <c r="C439" s="3">
        <v>66</v>
      </c>
      <c r="D439" s="3">
        <v>7</v>
      </c>
      <c r="E439" s="3">
        <v>-36.61</v>
      </c>
      <c r="F439" s="4" t="str">
        <f>HYPERLINK("http://141.218.60.56/~jnz1568/getInfo.php?workbook=14_04.xlsx&amp;sheet=A0&amp;row=439&amp;col=6&amp;number=109.7&amp;sourceID=14","109.7")</f>
        <v>109.7</v>
      </c>
      <c r="G439" s="4" t="str">
        <f>HYPERLINK("http://141.218.60.56/~jnz1568/getInfo.php?workbook=14_04.xlsx&amp;sheet=A0&amp;row=439&amp;col=7&amp;number=0&amp;sourceID=14","0")</f>
        <v>0</v>
      </c>
    </row>
    <row r="440" spans="1:7">
      <c r="A440" s="3">
        <v>14</v>
      </c>
      <c r="B440" s="3">
        <v>4</v>
      </c>
      <c r="C440" s="3">
        <v>67</v>
      </c>
      <c r="D440" s="3">
        <v>7</v>
      </c>
      <c r="E440" s="3">
        <v>-36.55</v>
      </c>
      <c r="F440" s="4" t="str">
        <f>HYPERLINK("http://141.218.60.56/~jnz1568/getInfo.php?workbook=14_04.xlsx&amp;sheet=A0&amp;row=440&amp;col=6&amp;number=1300000&amp;sourceID=14","1300000")</f>
        <v>1300000</v>
      </c>
      <c r="G440" s="4" t="str">
        <f>HYPERLINK("http://141.218.60.56/~jnz1568/getInfo.php?workbook=14_04.xlsx&amp;sheet=A0&amp;row=440&amp;col=7&amp;number=0&amp;sourceID=14","0")</f>
        <v>0</v>
      </c>
    </row>
    <row r="441" spans="1:7">
      <c r="A441" s="3">
        <v>14</v>
      </c>
      <c r="B441" s="3">
        <v>4</v>
      </c>
      <c r="C441" s="3">
        <v>68</v>
      </c>
      <c r="D441" s="3">
        <v>7</v>
      </c>
      <c r="E441" s="3">
        <v>-36.539</v>
      </c>
      <c r="F441" s="4" t="str">
        <f>HYPERLINK("http://141.218.60.56/~jnz1568/getInfo.php?workbook=14_04.xlsx&amp;sheet=A0&amp;row=441&amp;col=6&amp;number=4914000&amp;sourceID=14","4914000")</f>
        <v>4914000</v>
      </c>
      <c r="G441" s="4" t="str">
        <f>HYPERLINK("http://141.218.60.56/~jnz1568/getInfo.php?workbook=14_04.xlsx&amp;sheet=A0&amp;row=441&amp;col=7&amp;number=0&amp;sourceID=14","0")</f>
        <v>0</v>
      </c>
    </row>
    <row r="442" spans="1:7">
      <c r="A442" s="3">
        <v>14</v>
      </c>
      <c r="B442" s="3">
        <v>4</v>
      </c>
      <c r="C442" s="3">
        <v>69</v>
      </c>
      <c r="D442" s="3">
        <v>7</v>
      </c>
      <c r="E442" s="3">
        <v>-36.528</v>
      </c>
      <c r="F442" s="4" t="str">
        <f>HYPERLINK("http://141.218.60.56/~jnz1568/getInfo.php?workbook=14_04.xlsx&amp;sheet=A0&amp;row=442&amp;col=6&amp;number=1614000000&amp;sourceID=14","1614000000")</f>
        <v>1614000000</v>
      </c>
      <c r="G442" s="4" t="str">
        <f>HYPERLINK("http://141.218.60.56/~jnz1568/getInfo.php?workbook=14_04.xlsx&amp;sheet=A0&amp;row=442&amp;col=7&amp;number=0&amp;sourceID=14","0")</f>
        <v>0</v>
      </c>
    </row>
    <row r="443" spans="1:7">
      <c r="A443" s="3">
        <v>14</v>
      </c>
      <c r="B443" s="3">
        <v>4</v>
      </c>
      <c r="C443" s="3">
        <v>71</v>
      </c>
      <c r="D443" s="3">
        <v>7</v>
      </c>
      <c r="E443" s="3">
        <v>-36.464</v>
      </c>
      <c r="F443" s="4" t="str">
        <f>HYPERLINK("http://141.218.60.56/~jnz1568/getInfo.php?workbook=14_04.xlsx&amp;sheet=A0&amp;row=443&amp;col=6&amp;number=104000000000&amp;sourceID=14","104000000000")</f>
        <v>104000000000</v>
      </c>
      <c r="G443" s="4" t="str">
        <f>HYPERLINK("http://141.218.60.56/~jnz1568/getInfo.php?workbook=14_04.xlsx&amp;sheet=A0&amp;row=443&amp;col=7&amp;number=0&amp;sourceID=14","0")</f>
        <v>0</v>
      </c>
    </row>
    <row r="444" spans="1:7">
      <c r="A444" s="3">
        <v>14</v>
      </c>
      <c r="B444" s="3">
        <v>4</v>
      </c>
      <c r="C444" s="3">
        <v>72</v>
      </c>
      <c r="D444" s="3">
        <v>7</v>
      </c>
      <c r="E444" s="3">
        <v>-36.435</v>
      </c>
      <c r="F444" s="4" t="str">
        <f>HYPERLINK("http://141.218.60.56/~jnz1568/getInfo.php?workbook=14_04.xlsx&amp;sheet=A0&amp;row=444&amp;col=6&amp;number=54160&amp;sourceID=14","54160")</f>
        <v>54160</v>
      </c>
      <c r="G444" s="4" t="str">
        <f>HYPERLINK("http://141.218.60.56/~jnz1568/getInfo.php?workbook=14_04.xlsx&amp;sheet=A0&amp;row=444&amp;col=7&amp;number=0&amp;sourceID=14","0")</f>
        <v>0</v>
      </c>
    </row>
    <row r="445" spans="1:7">
      <c r="A445" s="3">
        <v>14</v>
      </c>
      <c r="B445" s="3">
        <v>4</v>
      </c>
      <c r="C445" s="3">
        <v>74</v>
      </c>
      <c r="D445" s="3">
        <v>7</v>
      </c>
      <c r="E445" s="3">
        <v>-36.397</v>
      </c>
      <c r="F445" s="4" t="str">
        <f>HYPERLINK("http://141.218.60.56/~jnz1568/getInfo.php?workbook=14_04.xlsx&amp;sheet=A0&amp;row=445&amp;col=6&amp;number=124800000000&amp;sourceID=14","124800000000")</f>
        <v>124800000000</v>
      </c>
      <c r="G445" s="4" t="str">
        <f>HYPERLINK("http://141.218.60.56/~jnz1568/getInfo.php?workbook=14_04.xlsx&amp;sheet=A0&amp;row=445&amp;col=7&amp;number=0&amp;sourceID=14","0")</f>
        <v>0</v>
      </c>
    </row>
    <row r="446" spans="1:7">
      <c r="A446" s="3">
        <v>14</v>
      </c>
      <c r="B446" s="3">
        <v>4</v>
      </c>
      <c r="C446" s="3">
        <v>75</v>
      </c>
      <c r="D446" s="3">
        <v>7</v>
      </c>
      <c r="E446" s="3">
        <v>-36.372</v>
      </c>
      <c r="F446" s="4" t="str">
        <f>HYPERLINK("http://141.218.60.56/~jnz1568/getInfo.php?workbook=14_04.xlsx&amp;sheet=A0&amp;row=446&amp;col=6&amp;number=391400000000&amp;sourceID=14","391400000000")</f>
        <v>391400000000</v>
      </c>
      <c r="G446" s="4" t="str">
        <f>HYPERLINK("http://141.218.60.56/~jnz1568/getInfo.php?workbook=14_04.xlsx&amp;sheet=A0&amp;row=446&amp;col=7&amp;number=0&amp;sourceID=14","0")</f>
        <v>0</v>
      </c>
    </row>
    <row r="447" spans="1:7">
      <c r="A447" s="3">
        <v>14</v>
      </c>
      <c r="B447" s="3">
        <v>4</v>
      </c>
      <c r="C447" s="3">
        <v>77</v>
      </c>
      <c r="D447" s="3">
        <v>7</v>
      </c>
      <c r="E447" s="3">
        <v>36.247</v>
      </c>
      <c r="F447" s="4" t="str">
        <f>HYPERLINK("http://141.218.60.56/~jnz1568/getInfo.php?workbook=14_04.xlsx&amp;sheet=A0&amp;row=447&amp;col=6&amp;number=23160000000&amp;sourceID=14","23160000000")</f>
        <v>23160000000</v>
      </c>
      <c r="G447" s="4" t="str">
        <f>HYPERLINK("http://141.218.60.56/~jnz1568/getInfo.php?workbook=14_04.xlsx&amp;sheet=A0&amp;row=447&amp;col=7&amp;number=0&amp;sourceID=14","0")</f>
        <v>0</v>
      </c>
    </row>
    <row r="448" spans="1:7">
      <c r="A448" s="3">
        <v>14</v>
      </c>
      <c r="B448" s="3">
        <v>4</v>
      </c>
      <c r="C448" s="3">
        <v>78</v>
      </c>
      <c r="D448" s="3">
        <v>7</v>
      </c>
      <c r="E448" s="3">
        <v>-36.294</v>
      </c>
      <c r="F448" s="4" t="str">
        <f>HYPERLINK("http://141.218.60.56/~jnz1568/getInfo.php?workbook=14_04.xlsx&amp;sheet=A0&amp;row=448&amp;col=6&amp;number=198900000000&amp;sourceID=14","198900000000")</f>
        <v>198900000000</v>
      </c>
      <c r="G448" s="4" t="str">
        <f>HYPERLINK("http://141.218.60.56/~jnz1568/getInfo.php?workbook=14_04.xlsx&amp;sheet=A0&amp;row=448&amp;col=7&amp;number=0&amp;sourceID=14","0")</f>
        <v>0</v>
      </c>
    </row>
    <row r="449" spans="1:7">
      <c r="A449" s="3">
        <v>14</v>
      </c>
      <c r="B449" s="3">
        <v>4</v>
      </c>
      <c r="C449" s="3">
        <v>79</v>
      </c>
      <c r="D449" s="3">
        <v>7</v>
      </c>
      <c r="E449" s="3">
        <v>-36.288</v>
      </c>
      <c r="F449" s="4" t="str">
        <f>HYPERLINK("http://141.218.60.56/~jnz1568/getInfo.php?workbook=14_04.xlsx&amp;sheet=A0&amp;row=449&amp;col=6&amp;number=317000000000&amp;sourceID=14","317000000000")</f>
        <v>317000000000</v>
      </c>
      <c r="G449" s="4" t="str">
        <f>HYPERLINK("http://141.218.60.56/~jnz1568/getInfo.php?workbook=14_04.xlsx&amp;sheet=A0&amp;row=449&amp;col=7&amp;number=0&amp;sourceID=14","0")</f>
        <v>0</v>
      </c>
    </row>
    <row r="450" spans="1:7">
      <c r="A450" s="3">
        <v>14</v>
      </c>
      <c r="B450" s="3">
        <v>4</v>
      </c>
      <c r="C450" s="3">
        <v>80</v>
      </c>
      <c r="D450" s="3">
        <v>7</v>
      </c>
      <c r="E450" s="3">
        <v>36.383</v>
      </c>
      <c r="F450" s="4" t="str">
        <f>HYPERLINK("http://141.218.60.56/~jnz1568/getInfo.php?workbook=14_04.xlsx&amp;sheet=A0&amp;row=450&amp;col=6&amp;number=392.7&amp;sourceID=14","392.7")</f>
        <v>392.7</v>
      </c>
      <c r="G450" s="4" t="str">
        <f>HYPERLINK("http://141.218.60.56/~jnz1568/getInfo.php?workbook=14_04.xlsx&amp;sheet=A0&amp;row=450&amp;col=7&amp;number=0&amp;sourceID=14","0")</f>
        <v>0</v>
      </c>
    </row>
    <row r="451" spans="1:7">
      <c r="A451" s="3">
        <v>14</v>
      </c>
      <c r="B451" s="3">
        <v>4</v>
      </c>
      <c r="C451" s="3">
        <v>82</v>
      </c>
      <c r="D451" s="3">
        <v>7</v>
      </c>
      <c r="E451" s="3">
        <v>-36.133</v>
      </c>
      <c r="F451" s="4" t="str">
        <f>HYPERLINK("http://141.218.60.56/~jnz1568/getInfo.php?workbook=14_04.xlsx&amp;sheet=A0&amp;row=451&amp;col=6&amp;number=2252000000&amp;sourceID=14","2252000000")</f>
        <v>2252000000</v>
      </c>
      <c r="G451" s="4" t="str">
        <f>HYPERLINK("http://141.218.60.56/~jnz1568/getInfo.php?workbook=14_04.xlsx&amp;sheet=A0&amp;row=451&amp;col=7&amp;number=0&amp;sourceID=14","0")</f>
        <v>0</v>
      </c>
    </row>
    <row r="452" spans="1:7">
      <c r="A452" s="3">
        <v>14</v>
      </c>
      <c r="B452" s="3">
        <v>4</v>
      </c>
      <c r="C452" s="3">
        <v>83</v>
      </c>
      <c r="D452" s="3">
        <v>7</v>
      </c>
      <c r="E452" s="3">
        <v>-35.355</v>
      </c>
      <c r="F452" s="4" t="str">
        <f>HYPERLINK("http://141.218.60.56/~jnz1568/getInfo.php?workbook=14_04.xlsx&amp;sheet=A0&amp;row=452&amp;col=6&amp;number=70.42&amp;sourceID=14","70.42")</f>
        <v>70.42</v>
      </c>
      <c r="G452" s="4" t="str">
        <f>HYPERLINK("http://141.218.60.56/~jnz1568/getInfo.php?workbook=14_04.xlsx&amp;sheet=A0&amp;row=452&amp;col=7&amp;number=0&amp;sourceID=14","0")</f>
        <v>0</v>
      </c>
    </row>
    <row r="453" spans="1:7">
      <c r="A453" s="3">
        <v>14</v>
      </c>
      <c r="B453" s="3">
        <v>4</v>
      </c>
      <c r="C453" s="3">
        <v>84</v>
      </c>
      <c r="D453" s="3">
        <v>7</v>
      </c>
      <c r="E453" s="3">
        <v>-35.265</v>
      </c>
      <c r="F453" s="4" t="str">
        <f>HYPERLINK("http://141.218.60.56/~jnz1568/getInfo.php?workbook=14_04.xlsx&amp;sheet=A0&amp;row=453&amp;col=6&amp;number=17.64&amp;sourceID=14","17.64")</f>
        <v>17.64</v>
      </c>
      <c r="G453" s="4" t="str">
        <f>HYPERLINK("http://141.218.60.56/~jnz1568/getInfo.php?workbook=14_04.xlsx&amp;sheet=A0&amp;row=453&amp;col=7&amp;number=0&amp;sourceID=14","0")</f>
        <v>0</v>
      </c>
    </row>
    <row r="454" spans="1:7">
      <c r="A454" s="3">
        <v>14</v>
      </c>
      <c r="B454" s="3">
        <v>4</v>
      </c>
      <c r="C454" s="3">
        <v>85</v>
      </c>
      <c r="D454" s="3">
        <v>7</v>
      </c>
      <c r="E454" s="3">
        <v>-35.174</v>
      </c>
      <c r="F454" s="4" t="str">
        <f>HYPERLINK("http://141.218.60.56/~jnz1568/getInfo.php?workbook=14_04.xlsx&amp;sheet=A0&amp;row=454&amp;col=6&amp;number=2035000000&amp;sourceID=14","2035000000")</f>
        <v>2035000000</v>
      </c>
      <c r="G454" s="4" t="str">
        <f>HYPERLINK("http://141.218.60.56/~jnz1568/getInfo.php?workbook=14_04.xlsx&amp;sheet=A0&amp;row=454&amp;col=7&amp;number=0&amp;sourceID=14","0")</f>
        <v>0</v>
      </c>
    </row>
    <row r="455" spans="1:7">
      <c r="A455" s="3">
        <v>14</v>
      </c>
      <c r="B455" s="3">
        <v>4</v>
      </c>
      <c r="C455" s="3">
        <v>86</v>
      </c>
      <c r="D455" s="3">
        <v>7</v>
      </c>
      <c r="E455" s="3">
        <v>-35.172</v>
      </c>
      <c r="F455" s="4" t="str">
        <f>HYPERLINK("http://141.218.60.56/~jnz1568/getInfo.php?workbook=14_04.xlsx&amp;sheet=A0&amp;row=455&amp;col=6&amp;number=534700000&amp;sourceID=14","534700000")</f>
        <v>534700000</v>
      </c>
      <c r="G455" s="4" t="str">
        <f>HYPERLINK("http://141.218.60.56/~jnz1568/getInfo.php?workbook=14_04.xlsx&amp;sheet=A0&amp;row=455&amp;col=7&amp;number=0&amp;sourceID=14","0")</f>
        <v>0</v>
      </c>
    </row>
    <row r="456" spans="1:7">
      <c r="A456" s="3">
        <v>14</v>
      </c>
      <c r="B456" s="3">
        <v>4</v>
      </c>
      <c r="C456" s="3">
        <v>87</v>
      </c>
      <c r="D456" s="3">
        <v>7</v>
      </c>
      <c r="E456" s="3">
        <v>35.047</v>
      </c>
      <c r="F456" s="4" t="str">
        <f>HYPERLINK("http://141.218.60.56/~jnz1568/getInfo.php?workbook=14_04.xlsx&amp;sheet=A0&amp;row=456&amp;col=6&amp;number=392500000&amp;sourceID=14","392500000")</f>
        <v>392500000</v>
      </c>
      <c r="G456" s="4" t="str">
        <f>HYPERLINK("http://141.218.60.56/~jnz1568/getInfo.php?workbook=14_04.xlsx&amp;sheet=A0&amp;row=456&amp;col=7&amp;number=0&amp;sourceID=14","0")</f>
        <v>0</v>
      </c>
    </row>
    <row r="457" spans="1:7">
      <c r="A457" s="3">
        <v>14</v>
      </c>
      <c r="B457" s="3">
        <v>4</v>
      </c>
      <c r="C457" s="3">
        <v>88</v>
      </c>
      <c r="D457" s="3">
        <v>7</v>
      </c>
      <c r="E457" s="3">
        <v>-35.137</v>
      </c>
      <c r="F457" s="4" t="str">
        <f>HYPERLINK("http://141.218.60.56/~jnz1568/getInfo.php?workbook=14_04.xlsx&amp;sheet=A0&amp;row=457&amp;col=6&amp;number=1009000&amp;sourceID=14","1009000")</f>
        <v>1009000</v>
      </c>
      <c r="G457" s="4" t="str">
        <f>HYPERLINK("http://141.218.60.56/~jnz1568/getInfo.php?workbook=14_04.xlsx&amp;sheet=A0&amp;row=457&amp;col=7&amp;number=0&amp;sourceID=14","0")</f>
        <v>0</v>
      </c>
    </row>
    <row r="458" spans="1:7">
      <c r="A458" s="3">
        <v>14</v>
      </c>
      <c r="B458" s="3">
        <v>4</v>
      </c>
      <c r="C458" s="3">
        <v>89</v>
      </c>
      <c r="D458" s="3">
        <v>7</v>
      </c>
      <c r="E458" s="3">
        <v>-35.068</v>
      </c>
      <c r="F458" s="4" t="str">
        <f>HYPERLINK("http://141.218.60.56/~jnz1568/getInfo.php?workbook=14_04.xlsx&amp;sheet=A0&amp;row=458&amp;col=6&amp;number=1993&amp;sourceID=14","1993")</f>
        <v>1993</v>
      </c>
      <c r="G458" s="4" t="str">
        <f>HYPERLINK("http://141.218.60.56/~jnz1568/getInfo.php?workbook=14_04.xlsx&amp;sheet=A0&amp;row=458&amp;col=7&amp;number=0&amp;sourceID=14","0")</f>
        <v>0</v>
      </c>
    </row>
    <row r="459" spans="1:7">
      <c r="A459" s="3">
        <v>14</v>
      </c>
      <c r="B459" s="3">
        <v>4</v>
      </c>
      <c r="C459" s="3">
        <v>90</v>
      </c>
      <c r="D459" s="3">
        <v>7</v>
      </c>
      <c r="E459" s="3">
        <v>34.99</v>
      </c>
      <c r="F459" s="4" t="str">
        <f>HYPERLINK("http://141.218.60.56/~jnz1568/getInfo.php?workbook=14_04.xlsx&amp;sheet=A0&amp;row=459&amp;col=6&amp;number=201.2&amp;sourceID=14","201.2")</f>
        <v>201.2</v>
      </c>
      <c r="G459" s="4" t="str">
        <f>HYPERLINK("http://141.218.60.56/~jnz1568/getInfo.php?workbook=14_04.xlsx&amp;sheet=A0&amp;row=459&amp;col=7&amp;number=0&amp;sourceID=14","0")</f>
        <v>0</v>
      </c>
    </row>
    <row r="460" spans="1:7">
      <c r="A460" s="3">
        <v>14</v>
      </c>
      <c r="B460" s="3">
        <v>4</v>
      </c>
      <c r="C460" s="3">
        <v>91</v>
      </c>
      <c r="D460" s="3">
        <v>7</v>
      </c>
      <c r="E460" s="3">
        <v>34.992</v>
      </c>
      <c r="F460" s="4" t="str">
        <f>HYPERLINK("http://141.218.60.56/~jnz1568/getInfo.php?workbook=14_04.xlsx&amp;sheet=A0&amp;row=460&amp;col=6&amp;number=841.6&amp;sourceID=14","841.6")</f>
        <v>841.6</v>
      </c>
      <c r="G460" s="4" t="str">
        <f>HYPERLINK("http://141.218.60.56/~jnz1568/getInfo.php?workbook=14_04.xlsx&amp;sheet=A0&amp;row=460&amp;col=7&amp;number=0&amp;sourceID=14","0")</f>
        <v>0</v>
      </c>
    </row>
    <row r="461" spans="1:7">
      <c r="A461" s="3">
        <v>14</v>
      </c>
      <c r="B461" s="3">
        <v>4</v>
      </c>
      <c r="C461" s="3">
        <v>92</v>
      </c>
      <c r="D461" s="3">
        <v>7</v>
      </c>
      <c r="E461" s="3">
        <v>34.943</v>
      </c>
      <c r="F461" s="4" t="str">
        <f>HYPERLINK("http://141.218.60.56/~jnz1568/getInfo.php?workbook=14_04.xlsx&amp;sheet=A0&amp;row=461&amp;col=6&amp;number=11.51&amp;sourceID=14","11.51")</f>
        <v>11.51</v>
      </c>
      <c r="G461" s="4" t="str">
        <f>HYPERLINK("http://141.218.60.56/~jnz1568/getInfo.php?workbook=14_04.xlsx&amp;sheet=A0&amp;row=461&amp;col=7&amp;number=0&amp;sourceID=14","0")</f>
        <v>0</v>
      </c>
    </row>
    <row r="462" spans="1:7">
      <c r="A462" s="3">
        <v>14</v>
      </c>
      <c r="B462" s="3">
        <v>4</v>
      </c>
      <c r="C462" s="3">
        <v>9</v>
      </c>
      <c r="D462" s="3">
        <v>8</v>
      </c>
      <c r="E462" s="3">
        <v>2259.636</v>
      </c>
      <c r="F462" s="4" t="str">
        <f>HYPERLINK("http://141.218.60.56/~jnz1568/getInfo.php?workbook=14_04.xlsx&amp;sheet=A0&amp;row=462&amp;col=6&amp;number=21.35&amp;sourceID=14","21.35")</f>
        <v>21.35</v>
      </c>
      <c r="G462" s="4" t="str">
        <f>HYPERLINK("http://141.218.60.56/~jnz1568/getInfo.php?workbook=14_04.xlsx&amp;sheet=A0&amp;row=462&amp;col=7&amp;number=0&amp;sourceID=14","0")</f>
        <v>0</v>
      </c>
    </row>
    <row r="463" spans="1:7">
      <c r="A463" s="3">
        <v>14</v>
      </c>
      <c r="B463" s="3">
        <v>4</v>
      </c>
      <c r="C463" s="3">
        <v>10</v>
      </c>
      <c r="D463" s="3">
        <v>8</v>
      </c>
      <c r="E463" s="3">
        <v>635.911</v>
      </c>
      <c r="F463" s="4" t="str">
        <f>HYPERLINK("http://141.218.60.56/~jnz1568/getInfo.php?workbook=14_04.xlsx&amp;sheet=A0&amp;row=463&amp;col=6&amp;number=2.244&amp;sourceID=14","2.244")</f>
        <v>2.244</v>
      </c>
      <c r="G463" s="4" t="str">
        <f>HYPERLINK("http://141.218.60.56/~jnz1568/getInfo.php?workbook=14_04.xlsx&amp;sheet=A0&amp;row=463&amp;col=7&amp;number=0&amp;sourceID=14","0")</f>
        <v>0</v>
      </c>
    </row>
    <row r="464" spans="1:7">
      <c r="A464" s="3">
        <v>14</v>
      </c>
      <c r="B464" s="3">
        <v>4</v>
      </c>
      <c r="C464" s="3">
        <v>11</v>
      </c>
      <c r="D464" s="3">
        <v>8</v>
      </c>
      <c r="E464" s="3">
        <v>56.699</v>
      </c>
      <c r="F464" s="4" t="str">
        <f>HYPERLINK("http://141.218.60.56/~jnz1568/getInfo.php?workbook=14_04.xlsx&amp;sheet=A0&amp;row=464&amp;col=6&amp;number=44.71&amp;sourceID=14","44.71")</f>
        <v>44.71</v>
      </c>
      <c r="G464" s="4" t="str">
        <f>HYPERLINK("http://141.218.60.56/~jnz1568/getInfo.php?workbook=14_04.xlsx&amp;sheet=A0&amp;row=464&amp;col=7&amp;number=0&amp;sourceID=14","0")</f>
        <v>0</v>
      </c>
    </row>
    <row r="465" spans="1:7">
      <c r="A465" s="3">
        <v>14</v>
      </c>
      <c r="B465" s="3">
        <v>4</v>
      </c>
      <c r="C465" s="3">
        <v>12</v>
      </c>
      <c r="D465" s="3">
        <v>8</v>
      </c>
      <c r="E465" s="3">
        <v>55.832</v>
      </c>
      <c r="F465" s="4" t="str">
        <f>HYPERLINK("http://141.218.60.56/~jnz1568/getInfo.php?workbook=14_04.xlsx&amp;sheet=A0&amp;row=465&amp;col=6&amp;number=44620&amp;sourceID=14","44620")</f>
        <v>44620</v>
      </c>
      <c r="G465" s="4" t="str">
        <f>HYPERLINK("http://141.218.60.56/~jnz1568/getInfo.php?workbook=14_04.xlsx&amp;sheet=A0&amp;row=465&amp;col=7&amp;number=0&amp;sourceID=14","0")</f>
        <v>0</v>
      </c>
    </row>
    <row r="466" spans="1:7">
      <c r="A466" s="3">
        <v>14</v>
      </c>
      <c r="B466" s="3">
        <v>4</v>
      </c>
      <c r="C466" s="3">
        <v>13</v>
      </c>
      <c r="D466" s="3">
        <v>8</v>
      </c>
      <c r="E466" s="3">
        <v>54.503</v>
      </c>
      <c r="F466" s="4" t="str">
        <f>HYPERLINK("http://141.218.60.56/~jnz1568/getInfo.php?workbook=14_04.xlsx&amp;sheet=A0&amp;row=466&amp;col=6&amp;number=696400000&amp;sourceID=14","696400000")</f>
        <v>696400000</v>
      </c>
      <c r="G466" s="4" t="str">
        <f>HYPERLINK("http://141.218.60.56/~jnz1568/getInfo.php?workbook=14_04.xlsx&amp;sheet=A0&amp;row=466&amp;col=7&amp;number=0&amp;sourceID=14","0")</f>
        <v>0</v>
      </c>
    </row>
    <row r="467" spans="1:7">
      <c r="A467" s="3">
        <v>14</v>
      </c>
      <c r="B467" s="3">
        <v>4</v>
      </c>
      <c r="C467" s="3">
        <v>15</v>
      </c>
      <c r="D467" s="3">
        <v>8</v>
      </c>
      <c r="E467" s="3">
        <v>54.403</v>
      </c>
      <c r="F467" s="4" t="str">
        <f>HYPERLINK("http://141.218.60.56/~jnz1568/getInfo.php?workbook=14_04.xlsx&amp;sheet=A0&amp;row=467&amp;col=6&amp;number=826200000&amp;sourceID=14","826200000")</f>
        <v>826200000</v>
      </c>
      <c r="G467" s="4" t="str">
        <f>HYPERLINK("http://141.218.60.56/~jnz1568/getInfo.php?workbook=14_04.xlsx&amp;sheet=A0&amp;row=467&amp;col=7&amp;number=0&amp;sourceID=14","0")</f>
        <v>0</v>
      </c>
    </row>
    <row r="468" spans="1:7">
      <c r="A468" s="3">
        <v>14</v>
      </c>
      <c r="B468" s="3">
        <v>4</v>
      </c>
      <c r="C468" s="3">
        <v>16</v>
      </c>
      <c r="D468" s="3">
        <v>8</v>
      </c>
      <c r="E468" s="3">
        <v>54.437</v>
      </c>
      <c r="F468" s="4" t="str">
        <f>HYPERLINK("http://141.218.60.56/~jnz1568/getInfo.php?workbook=14_04.xlsx&amp;sheet=A0&amp;row=468&amp;col=6&amp;number=2342000000&amp;sourceID=14","2342000000")</f>
        <v>2342000000</v>
      </c>
      <c r="G468" s="4" t="str">
        <f>HYPERLINK("http://141.218.60.56/~jnz1568/getInfo.php?workbook=14_04.xlsx&amp;sheet=A0&amp;row=468&amp;col=7&amp;number=0&amp;sourceID=14","0")</f>
        <v>0</v>
      </c>
    </row>
    <row r="469" spans="1:7">
      <c r="A469" s="3">
        <v>14</v>
      </c>
      <c r="B469" s="3">
        <v>4</v>
      </c>
      <c r="C469" s="3">
        <v>17</v>
      </c>
      <c r="D469" s="3">
        <v>8</v>
      </c>
      <c r="E469" s="3">
        <v>53.193</v>
      </c>
      <c r="F469" s="4" t="str">
        <f>HYPERLINK("http://141.218.60.56/~jnz1568/getInfo.php?workbook=14_04.xlsx&amp;sheet=A0&amp;row=469&amp;col=6&amp;number=117300&amp;sourceID=14","117300")</f>
        <v>117300</v>
      </c>
      <c r="G469" s="4" t="str">
        <f>HYPERLINK("http://141.218.60.56/~jnz1568/getInfo.php?workbook=14_04.xlsx&amp;sheet=A0&amp;row=469&amp;col=7&amp;number=0&amp;sourceID=14","0")</f>
        <v>0</v>
      </c>
    </row>
    <row r="470" spans="1:7">
      <c r="A470" s="3">
        <v>14</v>
      </c>
      <c r="B470" s="3">
        <v>4</v>
      </c>
      <c r="C470" s="3">
        <v>18</v>
      </c>
      <c r="D470" s="3">
        <v>8</v>
      </c>
      <c r="E470" s="3">
        <v>53.157</v>
      </c>
      <c r="F470" s="4" t="str">
        <f>HYPERLINK("http://141.218.60.56/~jnz1568/getInfo.php?workbook=14_04.xlsx&amp;sheet=A0&amp;row=470&amp;col=6&amp;number=257600&amp;sourceID=14","257600")</f>
        <v>257600</v>
      </c>
      <c r="G470" s="4" t="str">
        <f>HYPERLINK("http://141.218.60.56/~jnz1568/getInfo.php?workbook=14_04.xlsx&amp;sheet=A0&amp;row=470&amp;col=7&amp;number=0&amp;sourceID=14","0")</f>
        <v>0</v>
      </c>
    </row>
    <row r="471" spans="1:7">
      <c r="A471" s="3">
        <v>14</v>
      </c>
      <c r="B471" s="3">
        <v>4</v>
      </c>
      <c r="C471" s="3">
        <v>19</v>
      </c>
      <c r="D471" s="3">
        <v>8</v>
      </c>
      <c r="E471" s="3">
        <v>53.148</v>
      </c>
      <c r="F471" s="4" t="str">
        <f>HYPERLINK("http://141.218.60.56/~jnz1568/getInfo.php?workbook=14_04.xlsx&amp;sheet=A0&amp;row=471&amp;col=6&amp;number=273200&amp;sourceID=14","273200")</f>
        <v>273200</v>
      </c>
      <c r="G471" s="4" t="str">
        <f>HYPERLINK("http://141.218.60.56/~jnz1568/getInfo.php?workbook=14_04.xlsx&amp;sheet=A0&amp;row=471&amp;col=7&amp;number=0&amp;sourceID=14","0")</f>
        <v>0</v>
      </c>
    </row>
    <row r="472" spans="1:7">
      <c r="A472" s="3">
        <v>14</v>
      </c>
      <c r="B472" s="3">
        <v>4</v>
      </c>
      <c r="C472" s="3">
        <v>20</v>
      </c>
      <c r="D472" s="3">
        <v>8</v>
      </c>
      <c r="E472" s="3">
        <v>52.3</v>
      </c>
      <c r="F472" s="4" t="str">
        <f>HYPERLINK("http://141.218.60.56/~jnz1568/getInfo.php?workbook=14_04.xlsx&amp;sheet=A0&amp;row=472&amp;col=6&amp;number=8022&amp;sourceID=14","8022")</f>
        <v>8022</v>
      </c>
      <c r="G472" s="4" t="str">
        <f>HYPERLINK("http://141.218.60.56/~jnz1568/getInfo.php?workbook=14_04.xlsx&amp;sheet=A0&amp;row=472&amp;col=7&amp;number=0&amp;sourceID=14","0")</f>
        <v>0</v>
      </c>
    </row>
    <row r="473" spans="1:7">
      <c r="A473" s="3">
        <v>14</v>
      </c>
      <c r="B473" s="3">
        <v>4</v>
      </c>
      <c r="C473" s="3">
        <v>22</v>
      </c>
      <c r="D473" s="3">
        <v>8</v>
      </c>
      <c r="E473" s="3">
        <v>-50.755</v>
      </c>
      <c r="F473" s="4" t="str">
        <f>HYPERLINK("http://141.218.60.56/~jnz1568/getInfo.php?workbook=14_04.xlsx&amp;sheet=A0&amp;row=473&amp;col=6&amp;number=88020000000&amp;sourceID=14","88020000000")</f>
        <v>88020000000</v>
      </c>
      <c r="G473" s="4" t="str">
        <f>HYPERLINK("http://141.218.60.56/~jnz1568/getInfo.php?workbook=14_04.xlsx&amp;sheet=A0&amp;row=473&amp;col=7&amp;number=0&amp;sourceID=14","0")</f>
        <v>0</v>
      </c>
    </row>
    <row r="474" spans="1:7">
      <c r="A474" s="3">
        <v>14</v>
      </c>
      <c r="B474" s="3">
        <v>4</v>
      </c>
      <c r="C474" s="3">
        <v>23</v>
      </c>
      <c r="D474" s="3">
        <v>8</v>
      </c>
      <c r="E474" s="3">
        <v>-50.609</v>
      </c>
      <c r="F474" s="4" t="str">
        <f>HYPERLINK("http://141.218.60.56/~jnz1568/getInfo.php?workbook=14_04.xlsx&amp;sheet=A0&amp;row=474&amp;col=6&amp;number=158700000000&amp;sourceID=14","158700000000")</f>
        <v>158700000000</v>
      </c>
      <c r="G474" s="4" t="str">
        <f>HYPERLINK("http://141.218.60.56/~jnz1568/getInfo.php?workbook=14_04.xlsx&amp;sheet=A0&amp;row=474&amp;col=7&amp;number=0&amp;sourceID=14","0")</f>
        <v>0</v>
      </c>
    </row>
    <row r="475" spans="1:7">
      <c r="A475" s="3">
        <v>14</v>
      </c>
      <c r="B475" s="3">
        <v>4</v>
      </c>
      <c r="C475" s="3">
        <v>24</v>
      </c>
      <c r="D475" s="3">
        <v>8</v>
      </c>
      <c r="E475" s="3">
        <v>-49.838</v>
      </c>
      <c r="F475" s="4" t="str">
        <f>HYPERLINK("http://141.218.60.56/~jnz1568/getInfo.php?workbook=14_04.xlsx&amp;sheet=A0&amp;row=475&amp;col=6&amp;number=1044000&amp;sourceID=14","1044000")</f>
        <v>1044000</v>
      </c>
      <c r="G475" s="4" t="str">
        <f>HYPERLINK("http://141.218.60.56/~jnz1568/getInfo.php?workbook=14_04.xlsx&amp;sheet=A0&amp;row=475&amp;col=7&amp;number=0&amp;sourceID=14","0")</f>
        <v>0</v>
      </c>
    </row>
    <row r="476" spans="1:7">
      <c r="A476" s="3">
        <v>14</v>
      </c>
      <c r="B476" s="3">
        <v>4</v>
      </c>
      <c r="C476" s="3">
        <v>25</v>
      </c>
      <c r="D476" s="3">
        <v>8</v>
      </c>
      <c r="E476" s="3">
        <v>-49.6</v>
      </c>
      <c r="F476" s="4" t="str">
        <f>HYPERLINK("http://141.218.60.56/~jnz1568/getInfo.php?workbook=14_04.xlsx&amp;sheet=A0&amp;row=476&amp;col=6&amp;number=4205000&amp;sourceID=14","4205000")</f>
        <v>4205000</v>
      </c>
      <c r="G476" s="4" t="str">
        <f>HYPERLINK("http://141.218.60.56/~jnz1568/getInfo.php?workbook=14_04.xlsx&amp;sheet=A0&amp;row=476&amp;col=7&amp;number=0&amp;sourceID=14","0")</f>
        <v>0</v>
      </c>
    </row>
    <row r="477" spans="1:7">
      <c r="A477" s="3">
        <v>14</v>
      </c>
      <c r="B477" s="3">
        <v>4</v>
      </c>
      <c r="C477" s="3">
        <v>26</v>
      </c>
      <c r="D477" s="3">
        <v>8</v>
      </c>
      <c r="E477" s="3">
        <v>-49.386</v>
      </c>
      <c r="F477" s="4" t="str">
        <f>HYPERLINK("http://141.218.60.56/~jnz1568/getInfo.php?workbook=14_04.xlsx&amp;sheet=A0&amp;row=477&amp;col=6&amp;number=7332000&amp;sourceID=14","7332000")</f>
        <v>7332000</v>
      </c>
      <c r="G477" s="4" t="str">
        <f>HYPERLINK("http://141.218.60.56/~jnz1568/getInfo.php?workbook=14_04.xlsx&amp;sheet=A0&amp;row=477&amp;col=7&amp;number=0&amp;sourceID=14","0")</f>
        <v>0</v>
      </c>
    </row>
    <row r="478" spans="1:7">
      <c r="A478" s="3">
        <v>14</v>
      </c>
      <c r="B478" s="3">
        <v>4</v>
      </c>
      <c r="C478" s="3">
        <v>27</v>
      </c>
      <c r="D478" s="3">
        <v>8</v>
      </c>
      <c r="E478" s="3">
        <v>49.23</v>
      </c>
      <c r="F478" s="4" t="str">
        <f>HYPERLINK("http://141.218.60.56/~jnz1568/getInfo.php?workbook=14_04.xlsx&amp;sheet=A0&amp;row=478&amp;col=6&amp;number=26940000&amp;sourceID=14","26940000")</f>
        <v>26940000</v>
      </c>
      <c r="G478" s="4" t="str">
        <f>HYPERLINK("http://141.218.60.56/~jnz1568/getInfo.php?workbook=14_04.xlsx&amp;sheet=A0&amp;row=478&amp;col=7&amp;number=0&amp;sourceID=14","0")</f>
        <v>0</v>
      </c>
    </row>
    <row r="479" spans="1:7">
      <c r="A479" s="3">
        <v>14</v>
      </c>
      <c r="B479" s="3">
        <v>4</v>
      </c>
      <c r="C479" s="3">
        <v>28</v>
      </c>
      <c r="D479" s="3">
        <v>8</v>
      </c>
      <c r="E479" s="3">
        <v>49.158</v>
      </c>
      <c r="F479" s="4" t="str">
        <f>HYPERLINK("http://141.218.60.56/~jnz1568/getInfo.php?workbook=14_04.xlsx&amp;sheet=A0&amp;row=479&amp;col=6&amp;number=32820000&amp;sourceID=14","32820000")</f>
        <v>32820000</v>
      </c>
      <c r="G479" s="4" t="str">
        <f>HYPERLINK("http://141.218.60.56/~jnz1568/getInfo.php?workbook=14_04.xlsx&amp;sheet=A0&amp;row=479&amp;col=7&amp;number=0&amp;sourceID=14","0")</f>
        <v>0</v>
      </c>
    </row>
    <row r="480" spans="1:7">
      <c r="A480" s="3">
        <v>14</v>
      </c>
      <c r="B480" s="3">
        <v>4</v>
      </c>
      <c r="C480" s="3">
        <v>29</v>
      </c>
      <c r="D480" s="3">
        <v>8</v>
      </c>
      <c r="E480" s="3">
        <v>48.793</v>
      </c>
      <c r="F480" s="4" t="str">
        <f>HYPERLINK("http://141.218.60.56/~jnz1568/getInfo.php?workbook=14_04.xlsx&amp;sheet=A0&amp;row=480&amp;col=6&amp;number=1008000&amp;sourceID=14","1008000")</f>
        <v>1008000</v>
      </c>
      <c r="G480" s="4" t="str">
        <f>HYPERLINK("http://141.218.60.56/~jnz1568/getInfo.php?workbook=14_04.xlsx&amp;sheet=A0&amp;row=480&amp;col=7&amp;number=0&amp;sourceID=14","0")</f>
        <v>0</v>
      </c>
    </row>
    <row r="481" spans="1:7">
      <c r="A481" s="3">
        <v>14</v>
      </c>
      <c r="B481" s="3">
        <v>4</v>
      </c>
      <c r="C481" s="3">
        <v>30</v>
      </c>
      <c r="D481" s="3">
        <v>8</v>
      </c>
      <c r="E481" s="3">
        <v>-48.724</v>
      </c>
      <c r="F481" s="4" t="str">
        <f>HYPERLINK("http://141.218.60.56/~jnz1568/getInfo.php?workbook=14_04.xlsx&amp;sheet=A0&amp;row=481&amp;col=6&amp;number=28600000&amp;sourceID=14","28600000")</f>
        <v>28600000</v>
      </c>
      <c r="G481" s="4" t="str">
        <f>HYPERLINK("http://141.218.60.56/~jnz1568/getInfo.php?workbook=14_04.xlsx&amp;sheet=A0&amp;row=481&amp;col=7&amp;number=0&amp;sourceID=14","0")</f>
        <v>0</v>
      </c>
    </row>
    <row r="482" spans="1:7">
      <c r="A482" s="3">
        <v>14</v>
      </c>
      <c r="B482" s="3">
        <v>4</v>
      </c>
      <c r="C482" s="3">
        <v>31</v>
      </c>
      <c r="D482" s="3">
        <v>8</v>
      </c>
      <c r="E482" s="3">
        <v>48.511</v>
      </c>
      <c r="F482" s="4" t="str">
        <f>HYPERLINK("http://141.218.60.56/~jnz1568/getInfo.php?workbook=14_04.xlsx&amp;sheet=A0&amp;row=482&amp;col=6&amp;number=21620000&amp;sourceID=14","21620000")</f>
        <v>21620000</v>
      </c>
      <c r="G482" s="4" t="str">
        <f>HYPERLINK("http://141.218.60.56/~jnz1568/getInfo.php?workbook=14_04.xlsx&amp;sheet=A0&amp;row=482&amp;col=7&amp;number=0&amp;sourceID=14","0")</f>
        <v>0</v>
      </c>
    </row>
    <row r="483" spans="1:7">
      <c r="A483" s="3">
        <v>14</v>
      </c>
      <c r="B483" s="3">
        <v>4</v>
      </c>
      <c r="C483" s="3">
        <v>32</v>
      </c>
      <c r="D483" s="3">
        <v>8</v>
      </c>
      <c r="E483" s="3">
        <v>48.51</v>
      </c>
      <c r="F483" s="4" t="str">
        <f>HYPERLINK("http://141.218.60.56/~jnz1568/getInfo.php?workbook=14_04.xlsx&amp;sheet=A0&amp;row=483&amp;col=6&amp;number=11770000&amp;sourceID=14","11770000")</f>
        <v>11770000</v>
      </c>
      <c r="G483" s="4" t="str">
        <f>HYPERLINK("http://141.218.60.56/~jnz1568/getInfo.php?workbook=14_04.xlsx&amp;sheet=A0&amp;row=483&amp;col=7&amp;number=0&amp;sourceID=14","0")</f>
        <v>0</v>
      </c>
    </row>
    <row r="484" spans="1:7">
      <c r="A484" s="3">
        <v>14</v>
      </c>
      <c r="B484" s="3">
        <v>4</v>
      </c>
      <c r="C484" s="3">
        <v>33</v>
      </c>
      <c r="D484" s="3">
        <v>8</v>
      </c>
      <c r="E484" s="3">
        <v>-48.49</v>
      </c>
      <c r="F484" s="4" t="str">
        <f>HYPERLINK("http://141.218.60.56/~jnz1568/getInfo.php?workbook=14_04.xlsx&amp;sheet=A0&amp;row=484&amp;col=6&amp;number=6110000000&amp;sourceID=14","6110000000")</f>
        <v>6110000000</v>
      </c>
      <c r="G484" s="4" t="str">
        <f>HYPERLINK("http://141.218.60.56/~jnz1568/getInfo.php?workbook=14_04.xlsx&amp;sheet=A0&amp;row=484&amp;col=7&amp;number=0&amp;sourceID=14","0")</f>
        <v>0</v>
      </c>
    </row>
    <row r="485" spans="1:7">
      <c r="A485" s="3">
        <v>14</v>
      </c>
      <c r="B485" s="3">
        <v>4</v>
      </c>
      <c r="C485" s="3">
        <v>34</v>
      </c>
      <c r="D485" s="3">
        <v>8</v>
      </c>
      <c r="E485" s="3">
        <v>-48.394</v>
      </c>
      <c r="F485" s="4" t="str">
        <f>HYPERLINK("http://141.218.60.56/~jnz1568/getInfo.php?workbook=14_04.xlsx&amp;sheet=A0&amp;row=485&amp;col=6&amp;number=15730000000&amp;sourceID=14","15730000000")</f>
        <v>15730000000</v>
      </c>
      <c r="G485" s="4" t="str">
        <f>HYPERLINK("http://141.218.60.56/~jnz1568/getInfo.php?workbook=14_04.xlsx&amp;sheet=A0&amp;row=485&amp;col=7&amp;number=0&amp;sourceID=14","0")</f>
        <v>0</v>
      </c>
    </row>
    <row r="486" spans="1:7">
      <c r="A486" s="3">
        <v>14</v>
      </c>
      <c r="B486" s="3">
        <v>4</v>
      </c>
      <c r="C486" s="3">
        <v>35</v>
      </c>
      <c r="D486" s="3">
        <v>8</v>
      </c>
      <c r="E486" s="3">
        <v>48.214</v>
      </c>
      <c r="F486" s="4" t="str">
        <f>HYPERLINK("http://141.218.60.56/~jnz1568/getInfo.php?workbook=14_04.xlsx&amp;sheet=A0&amp;row=486&amp;col=6&amp;number=4447000000&amp;sourceID=14","4447000000")</f>
        <v>4447000000</v>
      </c>
      <c r="G486" s="4" t="str">
        <f>HYPERLINK("http://141.218.60.56/~jnz1568/getInfo.php?workbook=14_04.xlsx&amp;sheet=A0&amp;row=486&amp;col=7&amp;number=0&amp;sourceID=14","0")</f>
        <v>0</v>
      </c>
    </row>
    <row r="487" spans="1:7">
      <c r="A487" s="3">
        <v>14</v>
      </c>
      <c r="B487" s="3">
        <v>4</v>
      </c>
      <c r="C487" s="3">
        <v>37</v>
      </c>
      <c r="D487" s="3">
        <v>8</v>
      </c>
      <c r="E487" s="3">
        <v>48.043</v>
      </c>
      <c r="F487" s="4" t="str">
        <f>HYPERLINK("http://141.218.60.56/~jnz1568/getInfo.php?workbook=14_04.xlsx&amp;sheet=A0&amp;row=487&amp;col=6&amp;number=319000&amp;sourceID=14","319000")</f>
        <v>319000</v>
      </c>
      <c r="G487" s="4" t="str">
        <f>HYPERLINK("http://141.218.60.56/~jnz1568/getInfo.php?workbook=14_04.xlsx&amp;sheet=A0&amp;row=487&amp;col=7&amp;number=0&amp;sourceID=14","0")</f>
        <v>0</v>
      </c>
    </row>
    <row r="488" spans="1:7">
      <c r="A488" s="3">
        <v>14</v>
      </c>
      <c r="B488" s="3">
        <v>4</v>
      </c>
      <c r="C488" s="3">
        <v>38</v>
      </c>
      <c r="D488" s="3">
        <v>8</v>
      </c>
      <c r="E488" s="3">
        <v>-47.845</v>
      </c>
      <c r="F488" s="4" t="str">
        <f>HYPERLINK("http://141.218.60.56/~jnz1568/getInfo.php?workbook=14_04.xlsx&amp;sheet=A0&amp;row=488&amp;col=6&amp;number=8906000000&amp;sourceID=14","8906000000")</f>
        <v>8906000000</v>
      </c>
      <c r="G488" s="4" t="str">
        <f>HYPERLINK("http://141.218.60.56/~jnz1568/getInfo.php?workbook=14_04.xlsx&amp;sheet=A0&amp;row=488&amp;col=7&amp;number=0&amp;sourceID=14","0")</f>
        <v>0</v>
      </c>
    </row>
    <row r="489" spans="1:7">
      <c r="A489" s="3">
        <v>14</v>
      </c>
      <c r="B489" s="3">
        <v>4</v>
      </c>
      <c r="C489" s="3">
        <v>39</v>
      </c>
      <c r="D489" s="3">
        <v>8</v>
      </c>
      <c r="E489" s="3">
        <v>47.804</v>
      </c>
      <c r="F489" s="4" t="str">
        <f>HYPERLINK("http://141.218.60.56/~jnz1568/getInfo.php?workbook=14_04.xlsx&amp;sheet=A0&amp;row=489&amp;col=6&amp;number=146300000000&amp;sourceID=14","146300000000")</f>
        <v>146300000000</v>
      </c>
      <c r="G489" s="4" t="str">
        <f>HYPERLINK("http://141.218.60.56/~jnz1568/getInfo.php?workbook=14_04.xlsx&amp;sheet=A0&amp;row=489&amp;col=7&amp;number=0&amp;sourceID=14","0")</f>
        <v>0</v>
      </c>
    </row>
    <row r="490" spans="1:7">
      <c r="A490" s="3">
        <v>14</v>
      </c>
      <c r="B490" s="3">
        <v>4</v>
      </c>
      <c r="C490" s="3">
        <v>40</v>
      </c>
      <c r="D490" s="3">
        <v>8</v>
      </c>
      <c r="E490" s="3">
        <v>47.735</v>
      </c>
      <c r="F490" s="4" t="str">
        <f>HYPERLINK("http://141.218.60.56/~jnz1568/getInfo.php?workbook=14_04.xlsx&amp;sheet=A0&amp;row=490&amp;col=6&amp;number=1663000000000&amp;sourceID=14","1663000000000")</f>
        <v>1663000000000</v>
      </c>
      <c r="G490" s="4" t="str">
        <f>HYPERLINK("http://141.218.60.56/~jnz1568/getInfo.php?workbook=14_04.xlsx&amp;sheet=A0&amp;row=490&amp;col=7&amp;number=0&amp;sourceID=14","0")</f>
        <v>0</v>
      </c>
    </row>
    <row r="491" spans="1:7">
      <c r="A491" s="3">
        <v>14</v>
      </c>
      <c r="B491" s="3">
        <v>4</v>
      </c>
      <c r="C491" s="3">
        <v>41</v>
      </c>
      <c r="D491" s="3">
        <v>8</v>
      </c>
      <c r="E491" s="3">
        <v>47.488</v>
      </c>
      <c r="F491" s="4" t="str">
        <f>HYPERLINK("http://141.218.60.56/~jnz1568/getInfo.php?workbook=14_04.xlsx&amp;sheet=A0&amp;row=491&amp;col=6&amp;number=929700000000&amp;sourceID=14","929700000000")</f>
        <v>929700000000</v>
      </c>
      <c r="G491" s="4" t="str">
        <f>HYPERLINK("http://141.218.60.56/~jnz1568/getInfo.php?workbook=14_04.xlsx&amp;sheet=A0&amp;row=491&amp;col=7&amp;number=0&amp;sourceID=14","0")</f>
        <v>0</v>
      </c>
    </row>
    <row r="492" spans="1:7">
      <c r="A492" s="3">
        <v>14</v>
      </c>
      <c r="B492" s="3">
        <v>4</v>
      </c>
      <c r="C492" s="3">
        <v>42</v>
      </c>
      <c r="D492" s="3">
        <v>8</v>
      </c>
      <c r="E492" s="3">
        <v>47.554</v>
      </c>
      <c r="F492" s="4" t="str">
        <f>HYPERLINK("http://141.218.60.56/~jnz1568/getInfo.php?workbook=14_04.xlsx&amp;sheet=A0&amp;row=492&amp;col=6&amp;number=406800000000&amp;sourceID=14","406800000000")</f>
        <v>406800000000</v>
      </c>
      <c r="G492" s="4" t="str">
        <f>HYPERLINK("http://141.218.60.56/~jnz1568/getInfo.php?workbook=14_04.xlsx&amp;sheet=A0&amp;row=492&amp;col=7&amp;number=0&amp;sourceID=14","0")</f>
        <v>0</v>
      </c>
    </row>
    <row r="493" spans="1:7">
      <c r="A493" s="3">
        <v>14</v>
      </c>
      <c r="B493" s="3">
        <v>4</v>
      </c>
      <c r="C493" s="3">
        <v>44</v>
      </c>
      <c r="D493" s="3">
        <v>8</v>
      </c>
      <c r="E493" s="3">
        <v>-47.168</v>
      </c>
      <c r="F493" s="4" t="str">
        <f>HYPERLINK("http://141.218.60.56/~jnz1568/getInfo.php?workbook=14_04.xlsx&amp;sheet=A0&amp;row=493&amp;col=6&amp;number=164000&amp;sourceID=14","164000")</f>
        <v>164000</v>
      </c>
      <c r="G493" s="4" t="str">
        <f>HYPERLINK("http://141.218.60.56/~jnz1568/getInfo.php?workbook=14_04.xlsx&amp;sheet=A0&amp;row=493&amp;col=7&amp;number=0&amp;sourceID=14","0")</f>
        <v>0</v>
      </c>
    </row>
    <row r="494" spans="1:7">
      <c r="A494" s="3">
        <v>14</v>
      </c>
      <c r="B494" s="3">
        <v>4</v>
      </c>
      <c r="C494" s="3">
        <v>45</v>
      </c>
      <c r="D494" s="3">
        <v>8</v>
      </c>
      <c r="E494" s="3">
        <v>46.905</v>
      </c>
      <c r="F494" s="4" t="str">
        <f>HYPERLINK("http://141.218.60.56/~jnz1568/getInfo.php?workbook=14_04.xlsx&amp;sheet=A0&amp;row=494&amp;col=6&amp;number=1396000000&amp;sourceID=14","1396000000")</f>
        <v>1396000000</v>
      </c>
      <c r="G494" s="4" t="str">
        <f>HYPERLINK("http://141.218.60.56/~jnz1568/getInfo.php?workbook=14_04.xlsx&amp;sheet=A0&amp;row=494&amp;col=7&amp;number=0&amp;sourceID=14","0")</f>
        <v>0</v>
      </c>
    </row>
    <row r="495" spans="1:7">
      <c r="A495" s="3">
        <v>14</v>
      </c>
      <c r="B495" s="3">
        <v>4</v>
      </c>
      <c r="C495" s="3">
        <v>46</v>
      </c>
      <c r="D495" s="3">
        <v>8</v>
      </c>
      <c r="E495" s="3">
        <v>46.885</v>
      </c>
      <c r="F495" s="4" t="str">
        <f>HYPERLINK("http://141.218.60.56/~jnz1568/getInfo.php?workbook=14_04.xlsx&amp;sheet=A0&amp;row=495&amp;col=6&amp;number=455300&amp;sourceID=14","455300")</f>
        <v>455300</v>
      </c>
      <c r="G495" s="4" t="str">
        <f>HYPERLINK("http://141.218.60.56/~jnz1568/getInfo.php?workbook=14_04.xlsx&amp;sheet=A0&amp;row=495&amp;col=7&amp;number=0&amp;sourceID=14","0")</f>
        <v>0</v>
      </c>
    </row>
    <row r="496" spans="1:7">
      <c r="A496" s="3">
        <v>14</v>
      </c>
      <c r="B496" s="3">
        <v>4</v>
      </c>
      <c r="C496" s="3">
        <v>47</v>
      </c>
      <c r="D496" s="3">
        <v>8</v>
      </c>
      <c r="E496" s="3">
        <v>40.227</v>
      </c>
      <c r="F496" s="4" t="str">
        <f>HYPERLINK("http://141.218.60.56/~jnz1568/getInfo.php?workbook=14_04.xlsx&amp;sheet=A0&amp;row=496&amp;col=6&amp;number=53.03&amp;sourceID=14","53.03")</f>
        <v>53.03</v>
      </c>
      <c r="G496" s="4" t="str">
        <f>HYPERLINK("http://141.218.60.56/~jnz1568/getInfo.php?workbook=14_04.xlsx&amp;sheet=A0&amp;row=496&amp;col=7&amp;number=0&amp;sourceID=14","0")</f>
        <v>0</v>
      </c>
    </row>
    <row r="497" spans="1:7">
      <c r="A497" s="3">
        <v>14</v>
      </c>
      <c r="B497" s="3">
        <v>4</v>
      </c>
      <c r="C497" s="3">
        <v>48</v>
      </c>
      <c r="D497" s="3">
        <v>8</v>
      </c>
      <c r="E497" s="3">
        <v>40.205</v>
      </c>
      <c r="F497" s="4" t="str">
        <f>HYPERLINK("http://141.218.60.56/~jnz1568/getInfo.php?workbook=14_04.xlsx&amp;sheet=A0&amp;row=497&amp;col=6&amp;number=29410&amp;sourceID=14","29410")</f>
        <v>29410</v>
      </c>
      <c r="G497" s="4" t="str">
        <f>HYPERLINK("http://141.218.60.56/~jnz1568/getInfo.php?workbook=14_04.xlsx&amp;sheet=A0&amp;row=497&amp;col=7&amp;number=0&amp;sourceID=14","0")</f>
        <v>0</v>
      </c>
    </row>
    <row r="498" spans="1:7">
      <c r="A498" s="3">
        <v>14</v>
      </c>
      <c r="B498" s="3">
        <v>4</v>
      </c>
      <c r="C498" s="3">
        <v>50</v>
      </c>
      <c r="D498" s="3">
        <v>8</v>
      </c>
      <c r="E498" s="3">
        <v>39.449</v>
      </c>
      <c r="F498" s="4" t="str">
        <f>HYPERLINK("http://141.218.60.56/~jnz1568/getInfo.php?workbook=14_04.xlsx&amp;sheet=A0&amp;row=498&amp;col=6&amp;number=78240000&amp;sourceID=14","78240000")</f>
        <v>78240000</v>
      </c>
      <c r="G498" s="4" t="str">
        <f>HYPERLINK("http://141.218.60.56/~jnz1568/getInfo.php?workbook=14_04.xlsx&amp;sheet=A0&amp;row=498&amp;col=7&amp;number=0&amp;sourceID=14","0")</f>
        <v>0</v>
      </c>
    </row>
    <row r="499" spans="1:7">
      <c r="A499" s="3">
        <v>14</v>
      </c>
      <c r="B499" s="3">
        <v>4</v>
      </c>
      <c r="C499" s="3">
        <v>51</v>
      </c>
      <c r="D499" s="3">
        <v>8</v>
      </c>
      <c r="E499" s="3">
        <v>39.438</v>
      </c>
      <c r="F499" s="4" t="str">
        <f>HYPERLINK("http://141.218.60.56/~jnz1568/getInfo.php?workbook=14_04.xlsx&amp;sheet=A0&amp;row=499&amp;col=6&amp;number=153400000&amp;sourceID=14","153400000")</f>
        <v>153400000</v>
      </c>
      <c r="G499" s="4" t="str">
        <f>HYPERLINK("http://141.218.60.56/~jnz1568/getInfo.php?workbook=14_04.xlsx&amp;sheet=A0&amp;row=499&amp;col=7&amp;number=0&amp;sourceID=14","0")</f>
        <v>0</v>
      </c>
    </row>
    <row r="500" spans="1:7">
      <c r="A500" s="3">
        <v>14</v>
      </c>
      <c r="B500" s="3">
        <v>4</v>
      </c>
      <c r="C500" s="3">
        <v>52</v>
      </c>
      <c r="D500" s="3">
        <v>8</v>
      </c>
      <c r="E500" s="3">
        <v>39.503</v>
      </c>
      <c r="F500" s="4" t="str">
        <f>HYPERLINK("http://141.218.60.56/~jnz1568/getInfo.php?workbook=14_04.xlsx&amp;sheet=A0&amp;row=500&amp;col=6&amp;number=59270000&amp;sourceID=14","59270000")</f>
        <v>59270000</v>
      </c>
      <c r="G500" s="4" t="str">
        <f>HYPERLINK("http://141.218.60.56/~jnz1568/getInfo.php?workbook=14_04.xlsx&amp;sheet=A0&amp;row=500&amp;col=7&amp;number=0&amp;sourceID=14","0")</f>
        <v>0</v>
      </c>
    </row>
    <row r="501" spans="1:7">
      <c r="A501" s="3">
        <v>14</v>
      </c>
      <c r="B501" s="3">
        <v>4</v>
      </c>
      <c r="C501" s="3">
        <v>53</v>
      </c>
      <c r="D501" s="3">
        <v>8</v>
      </c>
      <c r="E501" s="3">
        <v>39.255</v>
      </c>
      <c r="F501" s="4" t="str">
        <f>HYPERLINK("http://141.218.60.56/~jnz1568/getInfo.php?workbook=14_04.xlsx&amp;sheet=A0&amp;row=501&amp;col=6&amp;number=40640&amp;sourceID=14","40640")</f>
        <v>40640</v>
      </c>
      <c r="G501" s="4" t="str">
        <f>HYPERLINK("http://141.218.60.56/~jnz1568/getInfo.php?workbook=14_04.xlsx&amp;sheet=A0&amp;row=501&amp;col=7&amp;number=0&amp;sourceID=14","0")</f>
        <v>0</v>
      </c>
    </row>
    <row r="502" spans="1:7">
      <c r="A502" s="3">
        <v>14</v>
      </c>
      <c r="B502" s="3">
        <v>4</v>
      </c>
      <c r="C502" s="3">
        <v>54</v>
      </c>
      <c r="D502" s="3">
        <v>8</v>
      </c>
      <c r="E502" s="3">
        <v>39.255</v>
      </c>
      <c r="F502" s="4" t="str">
        <f>HYPERLINK("http://141.218.60.56/~jnz1568/getInfo.php?workbook=14_04.xlsx&amp;sheet=A0&amp;row=502&amp;col=6&amp;number=92710&amp;sourceID=14","92710")</f>
        <v>92710</v>
      </c>
      <c r="G502" s="4" t="str">
        <f>HYPERLINK("http://141.218.60.56/~jnz1568/getInfo.php?workbook=14_04.xlsx&amp;sheet=A0&amp;row=502&amp;col=7&amp;number=0&amp;sourceID=14","0")</f>
        <v>0</v>
      </c>
    </row>
    <row r="503" spans="1:7">
      <c r="A503" s="3">
        <v>14</v>
      </c>
      <c r="B503" s="3">
        <v>4</v>
      </c>
      <c r="C503" s="3">
        <v>55</v>
      </c>
      <c r="D503" s="3">
        <v>8</v>
      </c>
      <c r="E503" s="3">
        <v>39.243</v>
      </c>
      <c r="F503" s="4" t="str">
        <f>HYPERLINK("http://141.218.60.56/~jnz1568/getInfo.php?workbook=14_04.xlsx&amp;sheet=A0&amp;row=503&amp;col=6&amp;number=104200&amp;sourceID=14","104200")</f>
        <v>104200</v>
      </c>
      <c r="G503" s="4" t="str">
        <f>HYPERLINK("http://141.218.60.56/~jnz1568/getInfo.php?workbook=14_04.xlsx&amp;sheet=A0&amp;row=503&amp;col=7&amp;number=0&amp;sourceID=14","0")</f>
        <v>0</v>
      </c>
    </row>
    <row r="504" spans="1:7">
      <c r="A504" s="3">
        <v>14</v>
      </c>
      <c r="B504" s="3">
        <v>4</v>
      </c>
      <c r="C504" s="3">
        <v>56</v>
      </c>
      <c r="D504" s="3">
        <v>8</v>
      </c>
      <c r="E504" s="3">
        <v>39.078</v>
      </c>
      <c r="F504" s="4" t="str">
        <f>HYPERLINK("http://141.218.60.56/~jnz1568/getInfo.php?workbook=14_04.xlsx&amp;sheet=A0&amp;row=504&amp;col=6&amp;number=5849&amp;sourceID=14","5849")</f>
        <v>5849</v>
      </c>
      <c r="G504" s="4" t="str">
        <f>HYPERLINK("http://141.218.60.56/~jnz1568/getInfo.php?workbook=14_04.xlsx&amp;sheet=A0&amp;row=504&amp;col=7&amp;number=0&amp;sourceID=14","0")</f>
        <v>0</v>
      </c>
    </row>
    <row r="505" spans="1:7">
      <c r="A505" s="3">
        <v>14</v>
      </c>
      <c r="B505" s="3">
        <v>4</v>
      </c>
      <c r="C505" s="3">
        <v>58</v>
      </c>
      <c r="D505" s="3">
        <v>8</v>
      </c>
      <c r="E505" s="3">
        <v>-37.11</v>
      </c>
      <c r="F505" s="4" t="str">
        <f>HYPERLINK("http://141.218.60.56/~jnz1568/getInfo.php?workbook=14_04.xlsx&amp;sheet=A0&amp;row=505&amp;col=6&amp;number=30820000000&amp;sourceID=14","30820000000")</f>
        <v>30820000000</v>
      </c>
      <c r="G505" s="4" t="str">
        <f>HYPERLINK("http://141.218.60.56/~jnz1568/getInfo.php?workbook=14_04.xlsx&amp;sheet=A0&amp;row=505&amp;col=7&amp;number=0&amp;sourceID=14","0")</f>
        <v>0</v>
      </c>
    </row>
    <row r="506" spans="1:7">
      <c r="A506" s="3">
        <v>14</v>
      </c>
      <c r="B506" s="3">
        <v>4</v>
      </c>
      <c r="C506" s="3">
        <v>59</v>
      </c>
      <c r="D506" s="3">
        <v>8</v>
      </c>
      <c r="E506" s="3">
        <v>37.06</v>
      </c>
      <c r="F506" s="4" t="str">
        <f>HYPERLINK("http://141.218.60.56/~jnz1568/getInfo.php?workbook=14_04.xlsx&amp;sheet=A0&amp;row=506&amp;col=6&amp;number=58210000000&amp;sourceID=14","58210000000")</f>
        <v>58210000000</v>
      </c>
      <c r="G506" s="4" t="str">
        <f>HYPERLINK("http://141.218.60.56/~jnz1568/getInfo.php?workbook=14_04.xlsx&amp;sheet=A0&amp;row=506&amp;col=7&amp;number=0&amp;sourceID=14","0")</f>
        <v>0</v>
      </c>
    </row>
    <row r="507" spans="1:7">
      <c r="A507" s="3">
        <v>14</v>
      </c>
      <c r="B507" s="3">
        <v>4</v>
      </c>
      <c r="C507" s="3">
        <v>60</v>
      </c>
      <c r="D507" s="3">
        <v>8</v>
      </c>
      <c r="E507" s="3">
        <v>-36.934</v>
      </c>
      <c r="F507" s="4" t="str">
        <f>HYPERLINK("http://141.218.60.56/~jnz1568/getInfo.php?workbook=14_04.xlsx&amp;sheet=A0&amp;row=507&amp;col=6&amp;number=1278000000&amp;sourceID=14","1278000000")</f>
        <v>1278000000</v>
      </c>
      <c r="G507" s="4" t="str">
        <f>HYPERLINK("http://141.218.60.56/~jnz1568/getInfo.php?workbook=14_04.xlsx&amp;sheet=A0&amp;row=507&amp;col=7&amp;number=0&amp;sourceID=14","0")</f>
        <v>0</v>
      </c>
    </row>
    <row r="508" spans="1:7">
      <c r="A508" s="3">
        <v>14</v>
      </c>
      <c r="B508" s="3">
        <v>4</v>
      </c>
      <c r="C508" s="3">
        <v>61</v>
      </c>
      <c r="D508" s="3">
        <v>8</v>
      </c>
      <c r="E508" s="3">
        <v>-36.772</v>
      </c>
      <c r="F508" s="4" t="str">
        <f>HYPERLINK("http://141.218.60.56/~jnz1568/getInfo.php?workbook=14_04.xlsx&amp;sheet=A0&amp;row=508&amp;col=6&amp;number=151200&amp;sourceID=14","151200")</f>
        <v>151200</v>
      </c>
      <c r="G508" s="4" t="str">
        <f>HYPERLINK("http://141.218.60.56/~jnz1568/getInfo.php?workbook=14_04.xlsx&amp;sheet=A0&amp;row=508&amp;col=7&amp;number=0&amp;sourceID=14","0")</f>
        <v>0</v>
      </c>
    </row>
    <row r="509" spans="1:7">
      <c r="A509" s="3">
        <v>14</v>
      </c>
      <c r="B509" s="3">
        <v>4</v>
      </c>
      <c r="C509" s="3">
        <v>62</v>
      </c>
      <c r="D509" s="3">
        <v>8</v>
      </c>
      <c r="E509" s="3">
        <v>-36.831</v>
      </c>
      <c r="F509" s="4" t="str">
        <f>HYPERLINK("http://141.218.60.56/~jnz1568/getInfo.php?workbook=14_04.xlsx&amp;sheet=A0&amp;row=509&amp;col=6&amp;number=5196000&amp;sourceID=14","5196000")</f>
        <v>5196000</v>
      </c>
      <c r="G509" s="4" t="str">
        <f>HYPERLINK("http://141.218.60.56/~jnz1568/getInfo.php?workbook=14_04.xlsx&amp;sheet=A0&amp;row=509&amp;col=7&amp;number=0&amp;sourceID=14","0")</f>
        <v>0</v>
      </c>
    </row>
    <row r="510" spans="1:7">
      <c r="A510" s="3">
        <v>14</v>
      </c>
      <c r="B510" s="3">
        <v>4</v>
      </c>
      <c r="C510" s="3">
        <v>63</v>
      </c>
      <c r="D510" s="3">
        <v>8</v>
      </c>
      <c r="E510" s="3">
        <v>-36.768</v>
      </c>
      <c r="F510" s="4" t="str">
        <f>HYPERLINK("http://141.218.60.56/~jnz1568/getInfo.php?workbook=14_04.xlsx&amp;sheet=A0&amp;row=510&amp;col=6&amp;number=11770000&amp;sourceID=14","11770000")</f>
        <v>11770000</v>
      </c>
      <c r="G510" s="4" t="str">
        <f>HYPERLINK("http://141.218.60.56/~jnz1568/getInfo.php?workbook=14_04.xlsx&amp;sheet=A0&amp;row=510&amp;col=7&amp;number=0&amp;sourceID=14","0")</f>
        <v>0</v>
      </c>
    </row>
    <row r="511" spans="1:7">
      <c r="A511" s="3">
        <v>14</v>
      </c>
      <c r="B511" s="3">
        <v>4</v>
      </c>
      <c r="C511" s="3">
        <v>64</v>
      </c>
      <c r="D511" s="3">
        <v>8</v>
      </c>
      <c r="E511" s="3">
        <v>-36.695</v>
      </c>
      <c r="F511" s="4" t="str">
        <f>HYPERLINK("http://141.218.60.56/~jnz1568/getInfo.php?workbook=14_04.xlsx&amp;sheet=A0&amp;row=511&amp;col=6&amp;number=18140000&amp;sourceID=14","18140000")</f>
        <v>18140000</v>
      </c>
      <c r="G511" s="4" t="str">
        <f>HYPERLINK("http://141.218.60.56/~jnz1568/getInfo.php?workbook=14_04.xlsx&amp;sheet=A0&amp;row=511&amp;col=7&amp;number=0&amp;sourceID=14","0")</f>
        <v>0</v>
      </c>
    </row>
    <row r="512" spans="1:7">
      <c r="A512" s="3">
        <v>14</v>
      </c>
      <c r="B512" s="3">
        <v>4</v>
      </c>
      <c r="C512" s="3">
        <v>65</v>
      </c>
      <c r="D512" s="3">
        <v>8</v>
      </c>
      <c r="E512" s="3">
        <v>-36.671</v>
      </c>
      <c r="F512" s="4" t="str">
        <f>HYPERLINK("http://141.218.60.56/~jnz1568/getInfo.php?workbook=14_04.xlsx&amp;sheet=A0&amp;row=512&amp;col=6&amp;number=4577000&amp;sourceID=14","4577000")</f>
        <v>4577000</v>
      </c>
      <c r="G512" s="4" t="str">
        <f>HYPERLINK("http://141.218.60.56/~jnz1568/getInfo.php?workbook=14_04.xlsx&amp;sheet=A0&amp;row=512&amp;col=7&amp;number=0&amp;sourceID=14","0")</f>
        <v>0</v>
      </c>
    </row>
    <row r="513" spans="1:7">
      <c r="A513" s="3">
        <v>14</v>
      </c>
      <c r="B513" s="3">
        <v>4</v>
      </c>
      <c r="C513" s="3">
        <v>66</v>
      </c>
      <c r="D513" s="3">
        <v>8</v>
      </c>
      <c r="E513" s="3">
        <v>-36.673</v>
      </c>
      <c r="F513" s="4" t="str">
        <f>HYPERLINK("http://141.218.60.56/~jnz1568/getInfo.php?workbook=14_04.xlsx&amp;sheet=A0&amp;row=513&amp;col=6&amp;number=16160000&amp;sourceID=14","16160000")</f>
        <v>16160000</v>
      </c>
      <c r="G513" s="4" t="str">
        <f>HYPERLINK("http://141.218.60.56/~jnz1568/getInfo.php?workbook=14_04.xlsx&amp;sheet=A0&amp;row=513&amp;col=7&amp;number=0&amp;sourceID=14","0")</f>
        <v>0</v>
      </c>
    </row>
    <row r="514" spans="1:7">
      <c r="A514" s="3">
        <v>14</v>
      </c>
      <c r="B514" s="3">
        <v>4</v>
      </c>
      <c r="C514" s="3">
        <v>67</v>
      </c>
      <c r="D514" s="3">
        <v>8</v>
      </c>
      <c r="E514" s="3">
        <v>-36.612</v>
      </c>
      <c r="F514" s="4" t="str">
        <f>HYPERLINK("http://141.218.60.56/~jnz1568/getInfo.php?workbook=14_04.xlsx&amp;sheet=A0&amp;row=514&amp;col=6&amp;number=8745000&amp;sourceID=14","8745000")</f>
        <v>8745000</v>
      </c>
      <c r="G514" s="4" t="str">
        <f>HYPERLINK("http://141.218.60.56/~jnz1568/getInfo.php?workbook=14_04.xlsx&amp;sheet=A0&amp;row=514&amp;col=7&amp;number=0&amp;sourceID=14","0")</f>
        <v>0</v>
      </c>
    </row>
    <row r="515" spans="1:7">
      <c r="A515" s="3">
        <v>14</v>
      </c>
      <c r="B515" s="3">
        <v>4</v>
      </c>
      <c r="C515" s="3">
        <v>68</v>
      </c>
      <c r="D515" s="3">
        <v>8</v>
      </c>
      <c r="E515" s="3">
        <v>-36.602</v>
      </c>
      <c r="F515" s="4" t="str">
        <f>HYPERLINK("http://141.218.60.56/~jnz1568/getInfo.php?workbook=14_04.xlsx&amp;sheet=A0&amp;row=515&amp;col=6&amp;number=9422000&amp;sourceID=14","9422000")</f>
        <v>9422000</v>
      </c>
      <c r="G515" s="4" t="str">
        <f>HYPERLINK("http://141.218.60.56/~jnz1568/getInfo.php?workbook=14_04.xlsx&amp;sheet=A0&amp;row=515&amp;col=7&amp;number=0&amp;sourceID=14","0")</f>
        <v>0</v>
      </c>
    </row>
    <row r="516" spans="1:7">
      <c r="A516" s="3">
        <v>14</v>
      </c>
      <c r="B516" s="3">
        <v>4</v>
      </c>
      <c r="C516" s="3">
        <v>69</v>
      </c>
      <c r="D516" s="3">
        <v>8</v>
      </c>
      <c r="E516" s="3">
        <v>-36.591</v>
      </c>
      <c r="F516" s="4" t="str">
        <f>HYPERLINK("http://141.218.60.56/~jnz1568/getInfo.php?workbook=14_04.xlsx&amp;sheet=A0&amp;row=516&amp;col=6&amp;number=7019000000&amp;sourceID=14","7019000000")</f>
        <v>7019000000</v>
      </c>
      <c r="G516" s="4" t="str">
        <f>HYPERLINK("http://141.218.60.56/~jnz1568/getInfo.php?workbook=14_04.xlsx&amp;sheet=A0&amp;row=516&amp;col=7&amp;number=0&amp;sourceID=14","0")</f>
        <v>0</v>
      </c>
    </row>
    <row r="517" spans="1:7">
      <c r="A517" s="3">
        <v>14</v>
      </c>
      <c r="B517" s="3">
        <v>4</v>
      </c>
      <c r="C517" s="3">
        <v>70</v>
      </c>
      <c r="D517" s="3">
        <v>8</v>
      </c>
      <c r="E517" s="3">
        <v>-36.545</v>
      </c>
      <c r="F517" s="4" t="str">
        <f>HYPERLINK("http://141.218.60.56/~jnz1568/getInfo.php?workbook=14_04.xlsx&amp;sheet=A0&amp;row=517&amp;col=6&amp;number=43620000000&amp;sourceID=14","43620000000")</f>
        <v>43620000000</v>
      </c>
      <c r="G517" s="4" t="str">
        <f>HYPERLINK("http://141.218.60.56/~jnz1568/getInfo.php?workbook=14_04.xlsx&amp;sheet=A0&amp;row=517&amp;col=7&amp;number=0&amp;sourceID=14","0")</f>
        <v>0</v>
      </c>
    </row>
    <row r="518" spans="1:7">
      <c r="A518" s="3">
        <v>14</v>
      </c>
      <c r="B518" s="3">
        <v>4</v>
      </c>
      <c r="C518" s="3">
        <v>71</v>
      </c>
      <c r="D518" s="3">
        <v>8</v>
      </c>
      <c r="E518" s="3">
        <v>-36.526</v>
      </c>
      <c r="F518" s="4" t="str">
        <f>HYPERLINK("http://141.218.60.56/~jnz1568/getInfo.php?workbook=14_04.xlsx&amp;sheet=A0&amp;row=518&amp;col=6&amp;number=2103000000&amp;sourceID=14","2103000000")</f>
        <v>2103000000</v>
      </c>
      <c r="G518" s="4" t="str">
        <f>HYPERLINK("http://141.218.60.56/~jnz1568/getInfo.php?workbook=14_04.xlsx&amp;sheet=A0&amp;row=518&amp;col=7&amp;number=0&amp;sourceID=14","0")</f>
        <v>0</v>
      </c>
    </row>
    <row r="519" spans="1:7">
      <c r="A519" s="3">
        <v>14</v>
      </c>
      <c r="B519" s="3">
        <v>4</v>
      </c>
      <c r="C519" s="3">
        <v>72</v>
      </c>
      <c r="D519" s="3">
        <v>8</v>
      </c>
      <c r="E519" s="3">
        <v>-36.497</v>
      </c>
      <c r="F519" s="4" t="str">
        <f>HYPERLINK("http://141.218.60.56/~jnz1568/getInfo.php?workbook=14_04.xlsx&amp;sheet=A0&amp;row=519&amp;col=6&amp;number=98310&amp;sourceID=14","98310")</f>
        <v>98310</v>
      </c>
      <c r="G519" s="4" t="str">
        <f>HYPERLINK("http://141.218.60.56/~jnz1568/getInfo.php?workbook=14_04.xlsx&amp;sheet=A0&amp;row=519&amp;col=7&amp;number=0&amp;sourceID=14","0")</f>
        <v>0</v>
      </c>
    </row>
    <row r="520" spans="1:7">
      <c r="A520" s="3">
        <v>14</v>
      </c>
      <c r="B520" s="3">
        <v>4</v>
      </c>
      <c r="C520" s="3">
        <v>74</v>
      </c>
      <c r="D520" s="3">
        <v>8</v>
      </c>
      <c r="E520" s="3">
        <v>-36.459</v>
      </c>
      <c r="F520" s="4" t="str">
        <f>HYPERLINK("http://141.218.60.56/~jnz1568/getInfo.php?workbook=14_04.xlsx&amp;sheet=A0&amp;row=520&amp;col=6&amp;number=202100000&amp;sourceID=14","202100000")</f>
        <v>202100000</v>
      </c>
      <c r="G520" s="4" t="str">
        <f>HYPERLINK("http://141.218.60.56/~jnz1568/getInfo.php?workbook=14_04.xlsx&amp;sheet=A0&amp;row=520&amp;col=7&amp;number=0&amp;sourceID=14","0")</f>
        <v>0</v>
      </c>
    </row>
    <row r="521" spans="1:7">
      <c r="A521" s="3">
        <v>14</v>
      </c>
      <c r="B521" s="3">
        <v>4</v>
      </c>
      <c r="C521" s="3">
        <v>75</v>
      </c>
      <c r="D521" s="3">
        <v>8</v>
      </c>
      <c r="E521" s="3">
        <v>-36.434</v>
      </c>
      <c r="F521" s="4" t="str">
        <f>HYPERLINK("http://141.218.60.56/~jnz1568/getInfo.php?workbook=14_04.xlsx&amp;sheet=A0&amp;row=521&amp;col=6&amp;number=4465000000&amp;sourceID=14","4465000000")</f>
        <v>4465000000</v>
      </c>
      <c r="G521" s="4" t="str">
        <f>HYPERLINK("http://141.218.60.56/~jnz1568/getInfo.php?workbook=14_04.xlsx&amp;sheet=A0&amp;row=521&amp;col=7&amp;number=0&amp;sourceID=14","0")</f>
        <v>0</v>
      </c>
    </row>
    <row r="522" spans="1:7">
      <c r="A522" s="3">
        <v>14</v>
      </c>
      <c r="B522" s="3">
        <v>4</v>
      </c>
      <c r="C522" s="3">
        <v>76</v>
      </c>
      <c r="D522" s="3">
        <v>8</v>
      </c>
      <c r="E522" s="3">
        <v>36.318</v>
      </c>
      <c r="F522" s="4" t="str">
        <f>HYPERLINK("http://141.218.60.56/~jnz1568/getInfo.php?workbook=14_04.xlsx&amp;sheet=A0&amp;row=522&amp;col=6&amp;number=552000000000&amp;sourceID=14","552000000000")</f>
        <v>552000000000</v>
      </c>
      <c r="G522" s="4" t="str">
        <f>HYPERLINK("http://141.218.60.56/~jnz1568/getInfo.php?workbook=14_04.xlsx&amp;sheet=A0&amp;row=522&amp;col=7&amp;number=0&amp;sourceID=14","0")</f>
        <v>0</v>
      </c>
    </row>
    <row r="523" spans="1:7">
      <c r="A523" s="3">
        <v>14</v>
      </c>
      <c r="B523" s="3">
        <v>4</v>
      </c>
      <c r="C523" s="3">
        <v>77</v>
      </c>
      <c r="D523" s="3">
        <v>8</v>
      </c>
      <c r="E523" s="3">
        <v>36.306</v>
      </c>
      <c r="F523" s="4" t="str">
        <f>HYPERLINK("http://141.218.60.56/~jnz1568/getInfo.php?workbook=14_04.xlsx&amp;sheet=A0&amp;row=523&amp;col=6&amp;number=368800000000&amp;sourceID=14","368800000000")</f>
        <v>368800000000</v>
      </c>
      <c r="G523" s="4" t="str">
        <f>HYPERLINK("http://141.218.60.56/~jnz1568/getInfo.php?workbook=14_04.xlsx&amp;sheet=A0&amp;row=523&amp;col=7&amp;number=0&amp;sourceID=14","0")</f>
        <v>0</v>
      </c>
    </row>
    <row r="524" spans="1:7">
      <c r="A524" s="3">
        <v>14</v>
      </c>
      <c r="B524" s="3">
        <v>4</v>
      </c>
      <c r="C524" s="3">
        <v>78</v>
      </c>
      <c r="D524" s="3">
        <v>8</v>
      </c>
      <c r="E524" s="3">
        <v>-36.356</v>
      </c>
      <c r="F524" s="4" t="str">
        <f>HYPERLINK("http://141.218.60.56/~jnz1568/getInfo.php?workbook=14_04.xlsx&amp;sheet=A0&amp;row=524&amp;col=6&amp;number=146600000000&amp;sourceID=14","146600000000")</f>
        <v>146600000000</v>
      </c>
      <c r="G524" s="4" t="str">
        <f>HYPERLINK("http://141.218.60.56/~jnz1568/getInfo.php?workbook=14_04.xlsx&amp;sheet=A0&amp;row=524&amp;col=7&amp;number=0&amp;sourceID=14","0")</f>
        <v>0</v>
      </c>
    </row>
    <row r="525" spans="1:7">
      <c r="A525" s="3">
        <v>14</v>
      </c>
      <c r="B525" s="3">
        <v>4</v>
      </c>
      <c r="C525" s="3">
        <v>80</v>
      </c>
      <c r="D525" s="3">
        <v>8</v>
      </c>
      <c r="E525" s="3">
        <v>36.443</v>
      </c>
      <c r="F525" s="4" t="str">
        <f>HYPERLINK("http://141.218.60.56/~jnz1568/getInfo.php?workbook=14_04.xlsx&amp;sheet=A0&amp;row=525&amp;col=6&amp;number=5733&amp;sourceID=14","5733")</f>
        <v>5733</v>
      </c>
      <c r="G525" s="4" t="str">
        <f>HYPERLINK("http://141.218.60.56/~jnz1568/getInfo.php?workbook=14_04.xlsx&amp;sheet=A0&amp;row=525&amp;col=7&amp;number=0&amp;sourceID=14","0")</f>
        <v>0</v>
      </c>
    </row>
    <row r="526" spans="1:7">
      <c r="A526" s="3">
        <v>14</v>
      </c>
      <c r="B526" s="3">
        <v>4</v>
      </c>
      <c r="C526" s="3">
        <v>81</v>
      </c>
      <c r="D526" s="3">
        <v>8</v>
      </c>
      <c r="E526" s="3">
        <v>36.173</v>
      </c>
      <c r="F526" s="4" t="str">
        <f>HYPERLINK("http://141.218.60.56/~jnz1568/getInfo.php?workbook=14_04.xlsx&amp;sheet=A0&amp;row=526&amp;col=6&amp;number=1309000000&amp;sourceID=14","1309000000")</f>
        <v>1309000000</v>
      </c>
      <c r="G526" s="4" t="str">
        <f>HYPERLINK("http://141.218.60.56/~jnz1568/getInfo.php?workbook=14_04.xlsx&amp;sheet=A0&amp;row=526&amp;col=7&amp;number=0&amp;sourceID=14","0")</f>
        <v>0</v>
      </c>
    </row>
    <row r="527" spans="1:7">
      <c r="A527" s="3">
        <v>14</v>
      </c>
      <c r="B527" s="3">
        <v>4</v>
      </c>
      <c r="C527" s="3">
        <v>82</v>
      </c>
      <c r="D527" s="3">
        <v>8</v>
      </c>
      <c r="E527" s="3">
        <v>-36.194</v>
      </c>
      <c r="F527" s="4" t="str">
        <f>HYPERLINK("http://141.218.60.56/~jnz1568/getInfo.php?workbook=14_04.xlsx&amp;sheet=A0&amp;row=527&amp;col=6&amp;number=105800000&amp;sourceID=14","105800000")</f>
        <v>105800000</v>
      </c>
      <c r="G527" s="4" t="str">
        <f>HYPERLINK("http://141.218.60.56/~jnz1568/getInfo.php?workbook=14_04.xlsx&amp;sheet=A0&amp;row=527&amp;col=7&amp;number=0&amp;sourceID=14","0")</f>
        <v>0</v>
      </c>
    </row>
    <row r="528" spans="1:7">
      <c r="A528" s="3">
        <v>14</v>
      </c>
      <c r="B528" s="3">
        <v>4</v>
      </c>
      <c r="C528" s="3">
        <v>83</v>
      </c>
      <c r="D528" s="3">
        <v>8</v>
      </c>
      <c r="E528" s="3">
        <v>-35.413</v>
      </c>
      <c r="F528" s="4" t="str">
        <f>HYPERLINK("http://141.218.60.56/~jnz1568/getInfo.php?workbook=14_04.xlsx&amp;sheet=A0&amp;row=528&amp;col=6&amp;number=247.8&amp;sourceID=14","247.8")</f>
        <v>247.8</v>
      </c>
      <c r="G528" s="4" t="str">
        <f>HYPERLINK("http://141.218.60.56/~jnz1568/getInfo.php?workbook=14_04.xlsx&amp;sheet=A0&amp;row=528&amp;col=7&amp;number=0&amp;sourceID=14","0")</f>
        <v>0</v>
      </c>
    </row>
    <row r="529" spans="1:7">
      <c r="A529" s="3">
        <v>14</v>
      </c>
      <c r="B529" s="3">
        <v>4</v>
      </c>
      <c r="C529" s="3">
        <v>84</v>
      </c>
      <c r="D529" s="3">
        <v>8</v>
      </c>
      <c r="E529" s="3">
        <v>-35.323</v>
      </c>
      <c r="F529" s="4" t="str">
        <f>HYPERLINK("http://141.218.60.56/~jnz1568/getInfo.php?workbook=14_04.xlsx&amp;sheet=A0&amp;row=529&amp;col=6&amp;number=665200&amp;sourceID=14","665200")</f>
        <v>665200</v>
      </c>
      <c r="G529" s="4" t="str">
        <f>HYPERLINK("http://141.218.60.56/~jnz1568/getInfo.php?workbook=14_04.xlsx&amp;sheet=A0&amp;row=529&amp;col=7&amp;number=0&amp;sourceID=14","0")</f>
        <v>0</v>
      </c>
    </row>
    <row r="530" spans="1:7">
      <c r="A530" s="3">
        <v>14</v>
      </c>
      <c r="B530" s="3">
        <v>4</v>
      </c>
      <c r="C530" s="3">
        <v>86</v>
      </c>
      <c r="D530" s="3">
        <v>8</v>
      </c>
      <c r="E530" s="3">
        <v>-35.23</v>
      </c>
      <c r="F530" s="4" t="str">
        <f>HYPERLINK("http://141.218.60.56/~jnz1568/getInfo.php?workbook=14_04.xlsx&amp;sheet=A0&amp;row=530&amp;col=6&amp;number=790300000&amp;sourceID=14","790300000")</f>
        <v>790300000</v>
      </c>
      <c r="G530" s="4" t="str">
        <f>HYPERLINK("http://141.218.60.56/~jnz1568/getInfo.php?workbook=14_04.xlsx&amp;sheet=A0&amp;row=530&amp;col=7&amp;number=0&amp;sourceID=14","0")</f>
        <v>0</v>
      </c>
    </row>
    <row r="531" spans="1:7">
      <c r="A531" s="3">
        <v>14</v>
      </c>
      <c r="B531" s="3">
        <v>4</v>
      </c>
      <c r="C531" s="3">
        <v>87</v>
      </c>
      <c r="D531" s="3">
        <v>8</v>
      </c>
      <c r="E531" s="3">
        <v>35.102</v>
      </c>
      <c r="F531" s="4" t="str">
        <f>HYPERLINK("http://141.218.60.56/~jnz1568/getInfo.php?workbook=14_04.xlsx&amp;sheet=A0&amp;row=531&amp;col=6&amp;number=1448000000&amp;sourceID=14","1448000000")</f>
        <v>1448000000</v>
      </c>
      <c r="G531" s="4" t="str">
        <f>HYPERLINK("http://141.218.60.56/~jnz1568/getInfo.php?workbook=14_04.xlsx&amp;sheet=A0&amp;row=531&amp;col=7&amp;number=0&amp;sourceID=14","0")</f>
        <v>0</v>
      </c>
    </row>
    <row r="532" spans="1:7">
      <c r="A532" s="3">
        <v>14</v>
      </c>
      <c r="B532" s="3">
        <v>4</v>
      </c>
      <c r="C532" s="3">
        <v>88</v>
      </c>
      <c r="D532" s="3">
        <v>8</v>
      </c>
      <c r="E532" s="3">
        <v>-35.195</v>
      </c>
      <c r="F532" s="4" t="str">
        <f>HYPERLINK("http://141.218.60.56/~jnz1568/getInfo.php?workbook=14_04.xlsx&amp;sheet=A0&amp;row=532&amp;col=6&amp;number=94110000&amp;sourceID=14","94110000")</f>
        <v>94110000</v>
      </c>
      <c r="G532" s="4" t="str">
        <f>HYPERLINK("http://141.218.60.56/~jnz1568/getInfo.php?workbook=14_04.xlsx&amp;sheet=A0&amp;row=532&amp;col=7&amp;number=0&amp;sourceID=14","0")</f>
        <v>0</v>
      </c>
    </row>
    <row r="533" spans="1:7">
      <c r="A533" s="3">
        <v>14</v>
      </c>
      <c r="B533" s="3">
        <v>4</v>
      </c>
      <c r="C533" s="3">
        <v>89</v>
      </c>
      <c r="D533" s="3">
        <v>8</v>
      </c>
      <c r="E533" s="3">
        <v>-35.126</v>
      </c>
      <c r="F533" s="4" t="str">
        <f>HYPERLINK("http://141.218.60.56/~jnz1568/getInfo.php?workbook=14_04.xlsx&amp;sheet=A0&amp;row=533&amp;col=6&amp;number=542.5&amp;sourceID=14","542.5")</f>
        <v>542.5</v>
      </c>
      <c r="G533" s="4" t="str">
        <f>HYPERLINK("http://141.218.60.56/~jnz1568/getInfo.php?workbook=14_04.xlsx&amp;sheet=A0&amp;row=533&amp;col=7&amp;number=0&amp;sourceID=14","0")</f>
        <v>0</v>
      </c>
    </row>
    <row r="534" spans="1:7">
      <c r="A534" s="3">
        <v>14</v>
      </c>
      <c r="B534" s="3">
        <v>4</v>
      </c>
      <c r="C534" s="3">
        <v>90</v>
      </c>
      <c r="D534" s="3">
        <v>8</v>
      </c>
      <c r="E534" s="3">
        <v>35.045</v>
      </c>
      <c r="F534" s="4" t="str">
        <f>HYPERLINK("http://141.218.60.56/~jnz1568/getInfo.php?workbook=14_04.xlsx&amp;sheet=A0&amp;row=534&amp;col=6&amp;number=899.7&amp;sourceID=14","899.7")</f>
        <v>899.7</v>
      </c>
      <c r="G534" s="4" t="str">
        <f>HYPERLINK("http://141.218.60.56/~jnz1568/getInfo.php?workbook=14_04.xlsx&amp;sheet=A0&amp;row=534&amp;col=7&amp;number=0&amp;sourceID=14","0")</f>
        <v>0</v>
      </c>
    </row>
    <row r="535" spans="1:7">
      <c r="A535" s="3">
        <v>14</v>
      </c>
      <c r="B535" s="3">
        <v>4</v>
      </c>
      <c r="C535" s="3">
        <v>91</v>
      </c>
      <c r="D535" s="3">
        <v>8</v>
      </c>
      <c r="E535" s="3">
        <v>35.046</v>
      </c>
      <c r="F535" s="4" t="str">
        <f>HYPERLINK("http://141.218.60.56/~jnz1568/getInfo.php?workbook=14_04.xlsx&amp;sheet=A0&amp;row=535&amp;col=6&amp;number=1261&amp;sourceID=14","1261")</f>
        <v>1261</v>
      </c>
      <c r="G535" s="4" t="str">
        <f>HYPERLINK("http://141.218.60.56/~jnz1568/getInfo.php?workbook=14_04.xlsx&amp;sheet=A0&amp;row=535&amp;col=7&amp;number=0&amp;sourceID=14","0")</f>
        <v>0</v>
      </c>
    </row>
    <row r="536" spans="1:7">
      <c r="A536" s="3">
        <v>14</v>
      </c>
      <c r="B536" s="3">
        <v>4</v>
      </c>
      <c r="C536" s="3">
        <v>92</v>
      </c>
      <c r="D536" s="3">
        <v>8</v>
      </c>
      <c r="E536" s="3">
        <v>34.998</v>
      </c>
      <c r="F536" s="4" t="str">
        <f>HYPERLINK("http://141.218.60.56/~jnz1568/getInfo.php?workbook=14_04.xlsx&amp;sheet=A0&amp;row=536&amp;col=6&amp;number=149400&amp;sourceID=14","149400")</f>
        <v>149400</v>
      </c>
      <c r="G536" s="4" t="str">
        <f>HYPERLINK("http://141.218.60.56/~jnz1568/getInfo.php?workbook=14_04.xlsx&amp;sheet=A0&amp;row=536&amp;col=7&amp;number=0&amp;sourceID=14","0")</f>
        <v>0</v>
      </c>
    </row>
    <row r="537" spans="1:7">
      <c r="A537" s="3">
        <v>14</v>
      </c>
      <c r="B537" s="3">
        <v>4</v>
      </c>
      <c r="C537" s="3">
        <v>10</v>
      </c>
      <c r="D537" s="3">
        <v>9</v>
      </c>
      <c r="E537" s="3">
        <v>884.957</v>
      </c>
      <c r="F537" s="4" t="str">
        <f>HYPERLINK("http://141.218.60.56/~jnz1568/getInfo.php?workbook=14_04.xlsx&amp;sheet=A0&amp;row=537&amp;col=6&amp;number=138.3&amp;sourceID=14","138.3")</f>
        <v>138.3</v>
      </c>
      <c r="G537" s="4" t="str">
        <f>HYPERLINK("http://141.218.60.56/~jnz1568/getInfo.php?workbook=14_04.xlsx&amp;sheet=A0&amp;row=537&amp;col=7&amp;number=0&amp;sourceID=14","0")</f>
        <v>0</v>
      </c>
    </row>
    <row r="538" spans="1:7">
      <c r="A538" s="3">
        <v>14</v>
      </c>
      <c r="B538" s="3">
        <v>4</v>
      </c>
      <c r="C538" s="3">
        <v>11</v>
      </c>
      <c r="D538" s="3">
        <v>9</v>
      </c>
      <c r="E538" s="3">
        <v>58.159</v>
      </c>
      <c r="F538" s="4" t="str">
        <f>HYPERLINK("http://141.218.60.56/~jnz1568/getInfo.php?workbook=14_04.xlsx&amp;sheet=A0&amp;row=538&amp;col=6&amp;number=179.4&amp;sourceID=14","179.4")</f>
        <v>179.4</v>
      </c>
      <c r="G538" s="4" t="str">
        <f>HYPERLINK("http://141.218.60.56/~jnz1568/getInfo.php?workbook=14_04.xlsx&amp;sheet=A0&amp;row=538&amp;col=7&amp;number=0&amp;sourceID=14","0")</f>
        <v>0</v>
      </c>
    </row>
    <row r="539" spans="1:7">
      <c r="A539" s="3">
        <v>14</v>
      </c>
      <c r="B539" s="3">
        <v>4</v>
      </c>
      <c r="C539" s="3">
        <v>12</v>
      </c>
      <c r="D539" s="3">
        <v>9</v>
      </c>
      <c r="E539" s="3">
        <v>57.246</v>
      </c>
      <c r="F539" s="4" t="str">
        <f>HYPERLINK("http://141.218.60.56/~jnz1568/getInfo.php?workbook=14_04.xlsx&amp;sheet=A0&amp;row=539&amp;col=6&amp;number=5930000&amp;sourceID=14","5930000")</f>
        <v>5930000</v>
      </c>
      <c r="G539" s="4" t="str">
        <f>HYPERLINK("http://141.218.60.56/~jnz1568/getInfo.php?workbook=14_04.xlsx&amp;sheet=A0&amp;row=539&amp;col=7&amp;number=0&amp;sourceID=14","0")</f>
        <v>0</v>
      </c>
    </row>
    <row r="540" spans="1:7">
      <c r="A540" s="3">
        <v>14</v>
      </c>
      <c r="B540" s="3">
        <v>4</v>
      </c>
      <c r="C540" s="3">
        <v>13</v>
      </c>
      <c r="D540" s="3">
        <v>9</v>
      </c>
      <c r="E540" s="3">
        <v>55.85</v>
      </c>
      <c r="F540" s="4" t="str">
        <f>HYPERLINK("http://141.218.60.56/~jnz1568/getInfo.php?workbook=14_04.xlsx&amp;sheet=A0&amp;row=540&amp;col=6&amp;number=34790000000&amp;sourceID=14","34790000000")</f>
        <v>34790000000</v>
      </c>
      <c r="G540" s="4" t="str">
        <f>HYPERLINK("http://141.218.60.56/~jnz1568/getInfo.php?workbook=14_04.xlsx&amp;sheet=A0&amp;row=540&amp;col=7&amp;number=0&amp;sourceID=14","0")</f>
        <v>0</v>
      </c>
    </row>
    <row r="541" spans="1:7">
      <c r="A541" s="3">
        <v>14</v>
      </c>
      <c r="B541" s="3">
        <v>4</v>
      </c>
      <c r="C541" s="3">
        <v>15</v>
      </c>
      <c r="D541" s="3">
        <v>9</v>
      </c>
      <c r="E541" s="3">
        <v>55.745</v>
      </c>
      <c r="F541" s="4" t="str">
        <f>HYPERLINK("http://141.218.60.56/~jnz1568/getInfo.php?workbook=14_04.xlsx&amp;sheet=A0&amp;row=541&amp;col=6&amp;number=3327000000&amp;sourceID=14","3327000000")</f>
        <v>3327000000</v>
      </c>
      <c r="G541" s="4" t="str">
        <f>HYPERLINK("http://141.218.60.56/~jnz1568/getInfo.php?workbook=14_04.xlsx&amp;sheet=A0&amp;row=541&amp;col=7&amp;number=0&amp;sourceID=14","0")</f>
        <v>0</v>
      </c>
    </row>
    <row r="542" spans="1:7">
      <c r="A542" s="3">
        <v>14</v>
      </c>
      <c r="B542" s="3">
        <v>4</v>
      </c>
      <c r="C542" s="3">
        <v>16</v>
      </c>
      <c r="D542" s="3">
        <v>9</v>
      </c>
      <c r="E542" s="3">
        <v>55.781</v>
      </c>
      <c r="F542" s="4" t="str">
        <f>HYPERLINK("http://141.218.60.56/~jnz1568/getInfo.php?workbook=14_04.xlsx&amp;sheet=A0&amp;row=542&amp;col=6&amp;number=7945000&amp;sourceID=14","7945000")</f>
        <v>7945000</v>
      </c>
      <c r="G542" s="4" t="str">
        <f>HYPERLINK("http://141.218.60.56/~jnz1568/getInfo.php?workbook=14_04.xlsx&amp;sheet=A0&amp;row=542&amp;col=7&amp;number=0&amp;sourceID=14","0")</f>
        <v>0</v>
      </c>
    </row>
    <row r="543" spans="1:7">
      <c r="A543" s="3">
        <v>14</v>
      </c>
      <c r="B543" s="3">
        <v>4</v>
      </c>
      <c r="C543" s="3">
        <v>17</v>
      </c>
      <c r="D543" s="3">
        <v>9</v>
      </c>
      <c r="E543" s="3">
        <v>54.475</v>
      </c>
      <c r="F543" s="4" t="str">
        <f>HYPERLINK("http://141.218.60.56/~jnz1568/getInfo.php?workbook=14_04.xlsx&amp;sheet=A0&amp;row=543&amp;col=6&amp;number=7.149&amp;sourceID=14","7.149")</f>
        <v>7.149</v>
      </c>
      <c r="G543" s="4" t="str">
        <f>HYPERLINK("http://141.218.60.56/~jnz1568/getInfo.php?workbook=14_04.xlsx&amp;sheet=A0&amp;row=543&amp;col=7&amp;number=0&amp;sourceID=14","0")</f>
        <v>0</v>
      </c>
    </row>
    <row r="544" spans="1:7">
      <c r="A544" s="3">
        <v>14</v>
      </c>
      <c r="B544" s="3">
        <v>4</v>
      </c>
      <c r="C544" s="3">
        <v>18</v>
      </c>
      <c r="D544" s="3">
        <v>9</v>
      </c>
      <c r="E544" s="3">
        <v>54.438</v>
      </c>
      <c r="F544" s="4" t="str">
        <f>HYPERLINK("http://141.218.60.56/~jnz1568/getInfo.php?workbook=14_04.xlsx&amp;sheet=A0&amp;row=544&amp;col=6&amp;number=1468&amp;sourceID=14","1468")</f>
        <v>1468</v>
      </c>
      <c r="G544" s="4" t="str">
        <f>HYPERLINK("http://141.218.60.56/~jnz1568/getInfo.php?workbook=14_04.xlsx&amp;sheet=A0&amp;row=544&amp;col=7&amp;number=0&amp;sourceID=14","0")</f>
        <v>0</v>
      </c>
    </row>
    <row r="545" spans="1:7">
      <c r="A545" s="3">
        <v>14</v>
      </c>
      <c r="B545" s="3">
        <v>4</v>
      </c>
      <c r="C545" s="3">
        <v>19</v>
      </c>
      <c r="D545" s="3">
        <v>9</v>
      </c>
      <c r="E545" s="3">
        <v>54.428</v>
      </c>
      <c r="F545" s="4" t="str">
        <f>HYPERLINK("http://141.218.60.56/~jnz1568/getInfo.php?workbook=14_04.xlsx&amp;sheet=A0&amp;row=545&amp;col=6&amp;number=1760&amp;sourceID=14","1760")</f>
        <v>1760</v>
      </c>
      <c r="G545" s="4" t="str">
        <f>HYPERLINK("http://141.218.60.56/~jnz1568/getInfo.php?workbook=14_04.xlsx&amp;sheet=A0&amp;row=545&amp;col=7&amp;number=0&amp;sourceID=14","0")</f>
        <v>0</v>
      </c>
    </row>
    <row r="546" spans="1:7">
      <c r="A546" s="3">
        <v>14</v>
      </c>
      <c r="B546" s="3">
        <v>4</v>
      </c>
      <c r="C546" s="3">
        <v>20</v>
      </c>
      <c r="D546" s="3">
        <v>9</v>
      </c>
      <c r="E546" s="3">
        <v>53.54</v>
      </c>
      <c r="F546" s="4" t="str">
        <f>HYPERLINK("http://141.218.60.56/~jnz1568/getInfo.php?workbook=14_04.xlsx&amp;sheet=A0&amp;row=546&amp;col=6&amp;number=1066000&amp;sourceID=14","1066000")</f>
        <v>1066000</v>
      </c>
      <c r="G546" s="4" t="str">
        <f>HYPERLINK("http://141.218.60.56/~jnz1568/getInfo.php?workbook=14_04.xlsx&amp;sheet=A0&amp;row=546&amp;col=7&amp;number=0&amp;sourceID=14","0")</f>
        <v>0</v>
      </c>
    </row>
    <row r="547" spans="1:7">
      <c r="A547" s="3">
        <v>14</v>
      </c>
      <c r="B547" s="3">
        <v>4</v>
      </c>
      <c r="C547" s="3">
        <v>22</v>
      </c>
      <c r="D547" s="3">
        <v>9</v>
      </c>
      <c r="E547" s="3">
        <v>-52.046</v>
      </c>
      <c r="F547" s="4" t="str">
        <f>HYPERLINK("http://141.218.60.56/~jnz1568/getInfo.php?workbook=14_04.xlsx&amp;sheet=A0&amp;row=547&amp;col=6&amp;number=299100000&amp;sourceID=14","299100000")</f>
        <v>299100000</v>
      </c>
      <c r="G547" s="4" t="str">
        <f>HYPERLINK("http://141.218.60.56/~jnz1568/getInfo.php?workbook=14_04.xlsx&amp;sheet=A0&amp;row=547&amp;col=7&amp;number=0&amp;sourceID=14","0")</f>
        <v>0</v>
      </c>
    </row>
    <row r="548" spans="1:7">
      <c r="A548" s="3">
        <v>14</v>
      </c>
      <c r="B548" s="3">
        <v>4</v>
      </c>
      <c r="C548" s="3">
        <v>23</v>
      </c>
      <c r="D548" s="3">
        <v>9</v>
      </c>
      <c r="E548" s="3">
        <v>-51.892</v>
      </c>
      <c r="F548" s="4" t="str">
        <f>HYPERLINK("http://141.218.60.56/~jnz1568/getInfo.php?workbook=14_04.xlsx&amp;sheet=A0&amp;row=548&amp;col=6&amp;number=890100000&amp;sourceID=14","890100000")</f>
        <v>890100000</v>
      </c>
      <c r="G548" s="4" t="str">
        <f>HYPERLINK("http://141.218.60.56/~jnz1568/getInfo.php?workbook=14_04.xlsx&amp;sheet=A0&amp;row=548&amp;col=7&amp;number=0&amp;sourceID=14","0")</f>
        <v>0</v>
      </c>
    </row>
    <row r="549" spans="1:7">
      <c r="A549" s="3">
        <v>14</v>
      </c>
      <c r="B549" s="3">
        <v>4</v>
      </c>
      <c r="C549" s="3">
        <v>24</v>
      </c>
      <c r="D549" s="3">
        <v>9</v>
      </c>
      <c r="E549" s="3">
        <v>-51.082</v>
      </c>
      <c r="F549" s="4" t="str">
        <f>HYPERLINK("http://141.218.60.56/~jnz1568/getInfo.php?workbook=14_04.xlsx&amp;sheet=A0&amp;row=549&amp;col=6&amp;number=165400000000&amp;sourceID=14","165400000000")</f>
        <v>165400000000</v>
      </c>
      <c r="G549" s="4" t="str">
        <f>HYPERLINK("http://141.218.60.56/~jnz1568/getInfo.php?workbook=14_04.xlsx&amp;sheet=A0&amp;row=549&amp;col=7&amp;number=0&amp;sourceID=14","0")</f>
        <v>0</v>
      </c>
    </row>
    <row r="550" spans="1:7">
      <c r="A550" s="3">
        <v>14</v>
      </c>
      <c r="B550" s="3">
        <v>4</v>
      </c>
      <c r="C550" s="3">
        <v>25</v>
      </c>
      <c r="D550" s="3">
        <v>9</v>
      </c>
      <c r="E550" s="3">
        <v>-50.833</v>
      </c>
      <c r="F550" s="4" t="str">
        <f>HYPERLINK("http://141.218.60.56/~jnz1568/getInfo.php?workbook=14_04.xlsx&amp;sheet=A0&amp;row=550&amp;col=6&amp;number=62990000&amp;sourceID=14","62990000")</f>
        <v>62990000</v>
      </c>
      <c r="G550" s="4" t="str">
        <f>HYPERLINK("http://141.218.60.56/~jnz1568/getInfo.php?workbook=14_04.xlsx&amp;sheet=A0&amp;row=550&amp;col=7&amp;number=0&amp;sourceID=14","0")</f>
        <v>0</v>
      </c>
    </row>
    <row r="551" spans="1:7">
      <c r="A551" s="3">
        <v>14</v>
      </c>
      <c r="B551" s="3">
        <v>4</v>
      </c>
      <c r="C551" s="3">
        <v>26</v>
      </c>
      <c r="D551" s="3">
        <v>9</v>
      </c>
      <c r="E551" s="3">
        <v>-50.607</v>
      </c>
      <c r="F551" s="4" t="str">
        <f>HYPERLINK("http://141.218.60.56/~jnz1568/getInfo.php?workbook=14_04.xlsx&amp;sheet=A0&amp;row=551&amp;col=6&amp;number=11540000&amp;sourceID=14","11540000")</f>
        <v>11540000</v>
      </c>
      <c r="G551" s="4" t="str">
        <f>HYPERLINK("http://141.218.60.56/~jnz1568/getInfo.php?workbook=14_04.xlsx&amp;sheet=A0&amp;row=551&amp;col=7&amp;number=0&amp;sourceID=14","0")</f>
        <v>0</v>
      </c>
    </row>
    <row r="552" spans="1:7">
      <c r="A552" s="3">
        <v>14</v>
      </c>
      <c r="B552" s="3">
        <v>4</v>
      </c>
      <c r="C552" s="3">
        <v>27</v>
      </c>
      <c r="D552" s="3">
        <v>9</v>
      </c>
      <c r="E552" s="3">
        <v>50.326</v>
      </c>
      <c r="F552" s="4" t="str">
        <f>HYPERLINK("http://141.218.60.56/~jnz1568/getInfo.php?workbook=14_04.xlsx&amp;sheet=A0&amp;row=552&amp;col=6&amp;number=14400&amp;sourceID=14","14400")</f>
        <v>14400</v>
      </c>
      <c r="G552" s="4" t="str">
        <f>HYPERLINK("http://141.218.60.56/~jnz1568/getInfo.php?workbook=14_04.xlsx&amp;sheet=A0&amp;row=552&amp;col=7&amp;number=0&amp;sourceID=14","0")</f>
        <v>0</v>
      </c>
    </row>
    <row r="553" spans="1:7">
      <c r="A553" s="3">
        <v>14</v>
      </c>
      <c r="B553" s="3">
        <v>4</v>
      </c>
      <c r="C553" s="3">
        <v>28</v>
      </c>
      <c r="D553" s="3">
        <v>9</v>
      </c>
      <c r="E553" s="3">
        <v>50.251</v>
      </c>
      <c r="F553" s="4" t="str">
        <f>HYPERLINK("http://141.218.60.56/~jnz1568/getInfo.php?workbook=14_04.xlsx&amp;sheet=A0&amp;row=553&amp;col=6&amp;number=202100&amp;sourceID=14","202100")</f>
        <v>202100</v>
      </c>
      <c r="G553" s="4" t="str">
        <f>HYPERLINK("http://141.218.60.56/~jnz1568/getInfo.php?workbook=14_04.xlsx&amp;sheet=A0&amp;row=553&amp;col=7&amp;number=0&amp;sourceID=14","0")</f>
        <v>0</v>
      </c>
    </row>
    <row r="554" spans="1:7">
      <c r="A554" s="3">
        <v>14</v>
      </c>
      <c r="B554" s="3">
        <v>4</v>
      </c>
      <c r="C554" s="3">
        <v>29</v>
      </c>
      <c r="D554" s="3">
        <v>9</v>
      </c>
      <c r="E554" s="3">
        <v>49.87</v>
      </c>
      <c r="F554" s="4" t="str">
        <f>HYPERLINK("http://141.218.60.56/~jnz1568/getInfo.php?workbook=14_04.xlsx&amp;sheet=A0&amp;row=554&amp;col=6&amp;number=1168000&amp;sourceID=14","1168000")</f>
        <v>1168000</v>
      </c>
      <c r="G554" s="4" t="str">
        <f>HYPERLINK("http://141.218.60.56/~jnz1568/getInfo.php?workbook=14_04.xlsx&amp;sheet=A0&amp;row=554&amp;col=7&amp;number=0&amp;sourceID=14","0")</f>
        <v>0</v>
      </c>
    </row>
    <row r="555" spans="1:7">
      <c r="A555" s="3">
        <v>14</v>
      </c>
      <c r="B555" s="3">
        <v>4</v>
      </c>
      <c r="C555" s="3">
        <v>30</v>
      </c>
      <c r="D555" s="3">
        <v>9</v>
      </c>
      <c r="E555" s="3">
        <v>-49.912</v>
      </c>
      <c r="F555" s="4" t="str">
        <f>HYPERLINK("http://141.218.60.56/~jnz1568/getInfo.php?workbook=14_04.xlsx&amp;sheet=A0&amp;row=555&amp;col=6&amp;number=82330&amp;sourceID=14","82330")</f>
        <v>82330</v>
      </c>
      <c r="G555" s="4" t="str">
        <f>HYPERLINK("http://141.218.60.56/~jnz1568/getInfo.php?workbook=14_04.xlsx&amp;sheet=A0&amp;row=555&amp;col=7&amp;number=0&amp;sourceID=14","0")</f>
        <v>0</v>
      </c>
    </row>
    <row r="556" spans="1:7">
      <c r="A556" s="3">
        <v>14</v>
      </c>
      <c r="B556" s="3">
        <v>4</v>
      </c>
      <c r="C556" s="3">
        <v>31</v>
      </c>
      <c r="D556" s="3">
        <v>9</v>
      </c>
      <c r="E556" s="3">
        <v>49.575</v>
      </c>
      <c r="F556" s="4" t="str">
        <f>HYPERLINK("http://141.218.60.56/~jnz1568/getInfo.php?workbook=14_04.xlsx&amp;sheet=A0&amp;row=556&amp;col=6&amp;number=346200&amp;sourceID=14","346200")</f>
        <v>346200</v>
      </c>
      <c r="G556" s="4" t="str">
        <f>HYPERLINK("http://141.218.60.56/~jnz1568/getInfo.php?workbook=14_04.xlsx&amp;sheet=A0&amp;row=556&amp;col=7&amp;number=0&amp;sourceID=14","0")</f>
        <v>0</v>
      </c>
    </row>
    <row r="557" spans="1:7">
      <c r="A557" s="3">
        <v>14</v>
      </c>
      <c r="B557" s="3">
        <v>4</v>
      </c>
      <c r="C557" s="3">
        <v>32</v>
      </c>
      <c r="D557" s="3">
        <v>9</v>
      </c>
      <c r="E557" s="3">
        <v>49.574</v>
      </c>
      <c r="F557" s="4" t="str">
        <f>HYPERLINK("http://141.218.60.56/~jnz1568/getInfo.php?workbook=14_04.xlsx&amp;sheet=A0&amp;row=557&amp;col=6&amp;number=770300&amp;sourceID=14","770300")</f>
        <v>770300</v>
      </c>
      <c r="G557" s="4" t="str">
        <f>HYPERLINK("http://141.218.60.56/~jnz1568/getInfo.php?workbook=14_04.xlsx&amp;sheet=A0&amp;row=557&amp;col=7&amp;number=0&amp;sourceID=14","0")</f>
        <v>0</v>
      </c>
    </row>
    <row r="558" spans="1:7">
      <c r="A558" s="3">
        <v>14</v>
      </c>
      <c r="B558" s="3">
        <v>4</v>
      </c>
      <c r="C558" s="3">
        <v>33</v>
      </c>
      <c r="D558" s="3">
        <v>9</v>
      </c>
      <c r="E558" s="3">
        <v>-49.667</v>
      </c>
      <c r="F558" s="4" t="str">
        <f>HYPERLINK("http://141.218.60.56/~jnz1568/getInfo.php?workbook=14_04.xlsx&amp;sheet=A0&amp;row=558&amp;col=6&amp;number=112100000000&amp;sourceID=14","112100000000")</f>
        <v>112100000000</v>
      </c>
      <c r="G558" s="4" t="str">
        <f>HYPERLINK("http://141.218.60.56/~jnz1568/getInfo.php?workbook=14_04.xlsx&amp;sheet=A0&amp;row=558&amp;col=7&amp;number=0&amp;sourceID=14","0")</f>
        <v>0</v>
      </c>
    </row>
    <row r="559" spans="1:7">
      <c r="A559" s="3">
        <v>14</v>
      </c>
      <c r="B559" s="3">
        <v>4</v>
      </c>
      <c r="C559" s="3">
        <v>34</v>
      </c>
      <c r="D559" s="3">
        <v>9</v>
      </c>
      <c r="E559" s="3">
        <v>-49.566</v>
      </c>
      <c r="F559" s="4" t="str">
        <f>HYPERLINK("http://141.218.60.56/~jnz1568/getInfo.php?workbook=14_04.xlsx&amp;sheet=A0&amp;row=559&amp;col=6&amp;number=3268000000&amp;sourceID=14","3268000000")</f>
        <v>3268000000</v>
      </c>
      <c r="G559" s="4" t="str">
        <f>HYPERLINK("http://141.218.60.56/~jnz1568/getInfo.php?workbook=14_04.xlsx&amp;sheet=A0&amp;row=559&amp;col=7&amp;number=0&amp;sourceID=14","0")</f>
        <v>0</v>
      </c>
    </row>
    <row r="560" spans="1:7">
      <c r="A560" s="3">
        <v>14</v>
      </c>
      <c r="B560" s="3">
        <v>4</v>
      </c>
      <c r="C560" s="3">
        <v>35</v>
      </c>
      <c r="D560" s="3">
        <v>9</v>
      </c>
      <c r="E560" s="3">
        <v>49.265</v>
      </c>
      <c r="F560" s="4" t="str">
        <f>HYPERLINK("http://141.218.60.56/~jnz1568/getInfo.php?workbook=14_04.xlsx&amp;sheet=A0&amp;row=560&amp;col=6&amp;number=466200000000&amp;sourceID=14","466200000000")</f>
        <v>466200000000</v>
      </c>
      <c r="G560" s="4" t="str">
        <f>HYPERLINK("http://141.218.60.56/~jnz1568/getInfo.php?workbook=14_04.xlsx&amp;sheet=A0&amp;row=560&amp;col=7&amp;number=0&amp;sourceID=14","0")</f>
        <v>0</v>
      </c>
    </row>
    <row r="561" spans="1:7">
      <c r="A561" s="3">
        <v>14</v>
      </c>
      <c r="B561" s="3">
        <v>4</v>
      </c>
      <c r="C561" s="3">
        <v>37</v>
      </c>
      <c r="D561" s="3">
        <v>9</v>
      </c>
      <c r="E561" s="3">
        <v>49.087</v>
      </c>
      <c r="F561" s="4" t="str">
        <f>HYPERLINK("http://141.218.60.56/~jnz1568/getInfo.php?workbook=14_04.xlsx&amp;sheet=A0&amp;row=561&amp;col=6&amp;number=35480000&amp;sourceID=14","35480000")</f>
        <v>35480000</v>
      </c>
      <c r="G561" s="4" t="str">
        <f>HYPERLINK("http://141.218.60.56/~jnz1568/getInfo.php?workbook=14_04.xlsx&amp;sheet=A0&amp;row=561&amp;col=7&amp;number=0&amp;sourceID=14","0")</f>
        <v>0</v>
      </c>
    </row>
    <row r="562" spans="1:7">
      <c r="A562" s="3">
        <v>14</v>
      </c>
      <c r="B562" s="3">
        <v>4</v>
      </c>
      <c r="C562" s="3">
        <v>38</v>
      </c>
      <c r="D562" s="3">
        <v>9</v>
      </c>
      <c r="E562" s="3">
        <v>-48.99</v>
      </c>
      <c r="F562" s="4" t="str">
        <f>HYPERLINK("http://141.218.60.56/~jnz1568/getInfo.php?workbook=14_04.xlsx&amp;sheet=A0&amp;row=562&amp;col=6&amp;number=819200000&amp;sourceID=14","819200000")</f>
        <v>819200000</v>
      </c>
      <c r="G562" s="4" t="str">
        <f>HYPERLINK("http://141.218.60.56/~jnz1568/getInfo.php?workbook=14_04.xlsx&amp;sheet=A0&amp;row=562&amp;col=7&amp;number=0&amp;sourceID=14","0")</f>
        <v>0</v>
      </c>
    </row>
    <row r="563" spans="1:7">
      <c r="A563" s="3">
        <v>14</v>
      </c>
      <c r="B563" s="3">
        <v>4</v>
      </c>
      <c r="C563" s="3">
        <v>39</v>
      </c>
      <c r="D563" s="3">
        <v>9</v>
      </c>
      <c r="E563" s="3">
        <v>48.837</v>
      </c>
      <c r="F563" s="4" t="str">
        <f>HYPERLINK("http://141.218.60.56/~jnz1568/getInfo.php?workbook=14_04.xlsx&amp;sheet=A0&amp;row=563&amp;col=6&amp;number=915500000&amp;sourceID=14","915500000")</f>
        <v>915500000</v>
      </c>
      <c r="G563" s="4" t="str">
        <f>HYPERLINK("http://141.218.60.56/~jnz1568/getInfo.php?workbook=14_04.xlsx&amp;sheet=A0&amp;row=563&amp;col=7&amp;number=0&amp;sourceID=14","0")</f>
        <v>0</v>
      </c>
    </row>
    <row r="564" spans="1:7">
      <c r="A564" s="3">
        <v>14</v>
      </c>
      <c r="B564" s="3">
        <v>4</v>
      </c>
      <c r="C564" s="3">
        <v>40</v>
      </c>
      <c r="D564" s="3">
        <v>9</v>
      </c>
      <c r="E564" s="3">
        <v>48.765</v>
      </c>
      <c r="F564" s="4" t="str">
        <f>HYPERLINK("http://141.218.60.56/~jnz1568/getInfo.php?workbook=14_04.xlsx&amp;sheet=A0&amp;row=564&amp;col=6&amp;number=539800000&amp;sourceID=14","539800000")</f>
        <v>539800000</v>
      </c>
      <c r="G564" s="4" t="str">
        <f>HYPERLINK("http://141.218.60.56/~jnz1568/getInfo.php?workbook=14_04.xlsx&amp;sheet=A0&amp;row=564&amp;col=7&amp;number=0&amp;sourceID=14","0")</f>
        <v>0</v>
      </c>
    </row>
    <row r="565" spans="1:7">
      <c r="A565" s="3">
        <v>14</v>
      </c>
      <c r="B565" s="3">
        <v>4</v>
      </c>
      <c r="C565" s="3">
        <v>41</v>
      </c>
      <c r="D565" s="3">
        <v>9</v>
      </c>
      <c r="E565" s="3">
        <v>48.507</v>
      </c>
      <c r="F565" s="4" t="str">
        <f>HYPERLINK("http://141.218.60.56/~jnz1568/getInfo.php?workbook=14_04.xlsx&amp;sheet=A0&amp;row=565&amp;col=6&amp;number=16270000000&amp;sourceID=14","16270000000")</f>
        <v>16270000000</v>
      </c>
      <c r="G565" s="4" t="str">
        <f>HYPERLINK("http://141.218.60.56/~jnz1568/getInfo.php?workbook=14_04.xlsx&amp;sheet=A0&amp;row=565&amp;col=7&amp;number=0&amp;sourceID=14","0")</f>
        <v>0</v>
      </c>
    </row>
    <row r="566" spans="1:7">
      <c r="A566" s="3">
        <v>14</v>
      </c>
      <c r="B566" s="3">
        <v>4</v>
      </c>
      <c r="C566" s="3">
        <v>42</v>
      </c>
      <c r="D566" s="3">
        <v>9</v>
      </c>
      <c r="E566" s="3">
        <v>48.576</v>
      </c>
      <c r="F566" s="4" t="str">
        <f>HYPERLINK("http://141.218.60.56/~jnz1568/getInfo.php?workbook=14_04.xlsx&amp;sheet=A0&amp;row=566&amp;col=6&amp;number=1384000000&amp;sourceID=14","1384000000")</f>
        <v>1384000000</v>
      </c>
      <c r="G566" s="4" t="str">
        <f>HYPERLINK("http://141.218.60.56/~jnz1568/getInfo.php?workbook=14_04.xlsx&amp;sheet=A0&amp;row=566&amp;col=7&amp;number=0&amp;sourceID=14","0")</f>
        <v>0</v>
      </c>
    </row>
    <row r="567" spans="1:7">
      <c r="A567" s="3">
        <v>14</v>
      </c>
      <c r="B567" s="3">
        <v>4</v>
      </c>
      <c r="C567" s="3">
        <v>44</v>
      </c>
      <c r="D567" s="3">
        <v>9</v>
      </c>
      <c r="E567" s="3">
        <v>-48.281</v>
      </c>
      <c r="F567" s="4" t="str">
        <f>HYPERLINK("http://141.218.60.56/~jnz1568/getInfo.php?workbook=14_04.xlsx&amp;sheet=A0&amp;row=567&amp;col=6&amp;number=98960000&amp;sourceID=14","98960000")</f>
        <v>98960000</v>
      </c>
      <c r="G567" s="4" t="str">
        <f>HYPERLINK("http://141.218.60.56/~jnz1568/getInfo.php?workbook=14_04.xlsx&amp;sheet=A0&amp;row=567&amp;col=7&amp;number=0&amp;sourceID=14","0")</f>
        <v>0</v>
      </c>
    </row>
    <row r="568" spans="1:7">
      <c r="A568" s="3">
        <v>14</v>
      </c>
      <c r="B568" s="3">
        <v>4</v>
      </c>
      <c r="C568" s="3">
        <v>45</v>
      </c>
      <c r="D568" s="3">
        <v>9</v>
      </c>
      <c r="E568" s="3">
        <v>47.899</v>
      </c>
      <c r="F568" s="4" t="str">
        <f>HYPERLINK("http://141.218.60.56/~jnz1568/getInfo.php?workbook=14_04.xlsx&amp;sheet=A0&amp;row=568&amp;col=6&amp;number=2059000000000&amp;sourceID=14","2059000000000")</f>
        <v>2059000000000</v>
      </c>
      <c r="G568" s="4" t="str">
        <f>HYPERLINK("http://141.218.60.56/~jnz1568/getInfo.php?workbook=14_04.xlsx&amp;sheet=A0&amp;row=568&amp;col=7&amp;number=0&amp;sourceID=14","0")</f>
        <v>0</v>
      </c>
    </row>
    <row r="569" spans="1:7">
      <c r="A569" s="3">
        <v>14</v>
      </c>
      <c r="B569" s="3">
        <v>4</v>
      </c>
      <c r="C569" s="3">
        <v>46</v>
      </c>
      <c r="D569" s="3">
        <v>9</v>
      </c>
      <c r="E569" s="3">
        <v>47.879</v>
      </c>
      <c r="F569" s="4" t="str">
        <f>HYPERLINK("http://141.218.60.56/~jnz1568/getInfo.php?workbook=14_04.xlsx&amp;sheet=A0&amp;row=569&amp;col=6&amp;number=66780000000&amp;sourceID=14","66780000000")</f>
        <v>66780000000</v>
      </c>
      <c r="G569" s="4" t="str">
        <f>HYPERLINK("http://141.218.60.56/~jnz1568/getInfo.php?workbook=14_04.xlsx&amp;sheet=A0&amp;row=569&amp;col=7&amp;number=0&amp;sourceID=14","0")</f>
        <v>0</v>
      </c>
    </row>
    <row r="570" spans="1:7">
      <c r="A570" s="3">
        <v>14</v>
      </c>
      <c r="B570" s="3">
        <v>4</v>
      </c>
      <c r="C570" s="3">
        <v>47</v>
      </c>
      <c r="D570" s="3">
        <v>9</v>
      </c>
      <c r="E570" s="3">
        <v>40.956</v>
      </c>
      <c r="F570" s="4" t="str">
        <f>HYPERLINK("http://141.218.60.56/~jnz1568/getInfo.php?workbook=14_04.xlsx&amp;sheet=A0&amp;row=570&amp;col=6&amp;number=61.86&amp;sourceID=14","61.86")</f>
        <v>61.86</v>
      </c>
      <c r="G570" s="4" t="str">
        <f>HYPERLINK("http://141.218.60.56/~jnz1568/getInfo.php?workbook=14_04.xlsx&amp;sheet=A0&amp;row=570&amp;col=7&amp;number=0&amp;sourceID=14","0")</f>
        <v>0</v>
      </c>
    </row>
    <row r="571" spans="1:7">
      <c r="A571" s="3">
        <v>14</v>
      </c>
      <c r="B571" s="3">
        <v>4</v>
      </c>
      <c r="C571" s="3">
        <v>48</v>
      </c>
      <c r="D571" s="3">
        <v>9</v>
      </c>
      <c r="E571" s="3">
        <v>40.934</v>
      </c>
      <c r="F571" s="4" t="str">
        <f>HYPERLINK("http://141.218.60.56/~jnz1568/getInfo.php?workbook=14_04.xlsx&amp;sheet=A0&amp;row=571&amp;col=6&amp;number=4053000&amp;sourceID=14","4053000")</f>
        <v>4053000</v>
      </c>
      <c r="G571" s="4" t="str">
        <f>HYPERLINK("http://141.218.60.56/~jnz1568/getInfo.php?workbook=14_04.xlsx&amp;sheet=A0&amp;row=571&amp;col=7&amp;number=0&amp;sourceID=14","0")</f>
        <v>0</v>
      </c>
    </row>
    <row r="572" spans="1:7">
      <c r="A572" s="3">
        <v>14</v>
      </c>
      <c r="B572" s="3">
        <v>4</v>
      </c>
      <c r="C572" s="3">
        <v>50</v>
      </c>
      <c r="D572" s="3">
        <v>9</v>
      </c>
      <c r="E572" s="3">
        <v>40.15</v>
      </c>
      <c r="F572" s="4" t="str">
        <f>HYPERLINK("http://141.218.60.56/~jnz1568/getInfo.php?workbook=14_04.xlsx&amp;sheet=A0&amp;row=572&amp;col=6&amp;number=89070000&amp;sourceID=14","89070000")</f>
        <v>89070000</v>
      </c>
      <c r="G572" s="4" t="str">
        <f>HYPERLINK("http://141.218.60.56/~jnz1568/getInfo.php?workbook=14_04.xlsx&amp;sheet=A0&amp;row=572&amp;col=7&amp;number=0&amp;sourceID=14","0")</f>
        <v>0</v>
      </c>
    </row>
    <row r="573" spans="1:7">
      <c r="A573" s="3">
        <v>14</v>
      </c>
      <c r="B573" s="3">
        <v>4</v>
      </c>
      <c r="C573" s="3">
        <v>51</v>
      </c>
      <c r="D573" s="3">
        <v>9</v>
      </c>
      <c r="E573" s="3">
        <v>40.138</v>
      </c>
      <c r="F573" s="4" t="str">
        <f>HYPERLINK("http://141.218.60.56/~jnz1568/getInfo.php?workbook=14_04.xlsx&amp;sheet=A0&amp;row=573&amp;col=6&amp;number=2023000&amp;sourceID=14","2023000")</f>
        <v>2023000</v>
      </c>
      <c r="G573" s="4" t="str">
        <f>HYPERLINK("http://141.218.60.56/~jnz1568/getInfo.php?workbook=14_04.xlsx&amp;sheet=A0&amp;row=573&amp;col=7&amp;number=0&amp;sourceID=14","0")</f>
        <v>0</v>
      </c>
    </row>
    <row r="574" spans="1:7">
      <c r="A574" s="3">
        <v>14</v>
      </c>
      <c r="B574" s="3">
        <v>4</v>
      </c>
      <c r="C574" s="3">
        <v>52</v>
      </c>
      <c r="D574" s="3">
        <v>9</v>
      </c>
      <c r="E574" s="3">
        <v>40.206</v>
      </c>
      <c r="F574" s="4" t="str">
        <f>HYPERLINK("http://141.218.60.56/~jnz1568/getInfo.php?workbook=14_04.xlsx&amp;sheet=A0&amp;row=574&amp;col=6&amp;number=5972000000&amp;sourceID=14","5972000000")</f>
        <v>5972000000</v>
      </c>
      <c r="G574" s="4" t="str">
        <f>HYPERLINK("http://141.218.60.56/~jnz1568/getInfo.php?workbook=14_04.xlsx&amp;sheet=A0&amp;row=574&amp;col=7&amp;number=0&amp;sourceID=14","0")</f>
        <v>0</v>
      </c>
    </row>
    <row r="575" spans="1:7">
      <c r="A575" s="3">
        <v>14</v>
      </c>
      <c r="B575" s="3">
        <v>4</v>
      </c>
      <c r="C575" s="3">
        <v>53</v>
      </c>
      <c r="D575" s="3">
        <v>9</v>
      </c>
      <c r="E575" s="3">
        <v>39.949</v>
      </c>
      <c r="F575" s="4" t="str">
        <f>HYPERLINK("http://141.218.60.56/~jnz1568/getInfo.php?workbook=14_04.xlsx&amp;sheet=A0&amp;row=575&amp;col=6&amp;number=124.5&amp;sourceID=14","124.5")</f>
        <v>124.5</v>
      </c>
      <c r="G575" s="4" t="str">
        <f>HYPERLINK("http://141.218.60.56/~jnz1568/getInfo.php?workbook=14_04.xlsx&amp;sheet=A0&amp;row=575&amp;col=7&amp;number=0&amp;sourceID=14","0")</f>
        <v>0</v>
      </c>
    </row>
    <row r="576" spans="1:7">
      <c r="A576" s="3">
        <v>14</v>
      </c>
      <c r="B576" s="3">
        <v>4</v>
      </c>
      <c r="C576" s="3">
        <v>54</v>
      </c>
      <c r="D576" s="3">
        <v>9</v>
      </c>
      <c r="E576" s="3">
        <v>39.95</v>
      </c>
      <c r="F576" s="4" t="str">
        <f>HYPERLINK("http://141.218.60.56/~jnz1568/getInfo.php?workbook=14_04.xlsx&amp;sheet=A0&amp;row=576&amp;col=6&amp;number=921.2&amp;sourceID=14","921.2")</f>
        <v>921.2</v>
      </c>
      <c r="G576" s="4" t="str">
        <f>HYPERLINK("http://141.218.60.56/~jnz1568/getInfo.php?workbook=14_04.xlsx&amp;sheet=A0&amp;row=576&amp;col=7&amp;number=0&amp;sourceID=14","0")</f>
        <v>0</v>
      </c>
    </row>
    <row r="577" spans="1:7">
      <c r="A577" s="3">
        <v>14</v>
      </c>
      <c r="B577" s="3">
        <v>4</v>
      </c>
      <c r="C577" s="3">
        <v>55</v>
      </c>
      <c r="D577" s="3">
        <v>9</v>
      </c>
      <c r="E577" s="3">
        <v>39.936</v>
      </c>
      <c r="F577" s="4" t="str">
        <f>HYPERLINK("http://141.218.60.56/~jnz1568/getInfo.php?workbook=14_04.xlsx&amp;sheet=A0&amp;row=577&amp;col=6&amp;number=619.2&amp;sourceID=14","619.2")</f>
        <v>619.2</v>
      </c>
      <c r="G577" s="4" t="str">
        <f>HYPERLINK("http://141.218.60.56/~jnz1568/getInfo.php?workbook=14_04.xlsx&amp;sheet=A0&amp;row=577&amp;col=7&amp;number=0&amp;sourceID=14","0")</f>
        <v>0</v>
      </c>
    </row>
    <row r="578" spans="1:7">
      <c r="A578" s="3">
        <v>14</v>
      </c>
      <c r="B578" s="3">
        <v>4</v>
      </c>
      <c r="C578" s="3">
        <v>56</v>
      </c>
      <c r="D578" s="3">
        <v>9</v>
      </c>
      <c r="E578" s="3">
        <v>39.766</v>
      </c>
      <c r="F578" s="4" t="str">
        <f>HYPERLINK("http://141.218.60.56/~jnz1568/getInfo.php?workbook=14_04.xlsx&amp;sheet=A0&amp;row=578&amp;col=6&amp;number=792600&amp;sourceID=14","792600")</f>
        <v>792600</v>
      </c>
      <c r="G578" s="4" t="str">
        <f>HYPERLINK("http://141.218.60.56/~jnz1568/getInfo.php?workbook=14_04.xlsx&amp;sheet=A0&amp;row=578&amp;col=7&amp;number=0&amp;sourceID=14","0")</f>
        <v>0</v>
      </c>
    </row>
    <row r="579" spans="1:7">
      <c r="A579" s="3">
        <v>14</v>
      </c>
      <c r="B579" s="3">
        <v>4</v>
      </c>
      <c r="C579" s="3">
        <v>58</v>
      </c>
      <c r="D579" s="3">
        <v>9</v>
      </c>
      <c r="E579" s="3">
        <v>-37.795</v>
      </c>
      <c r="F579" s="4" t="str">
        <f>HYPERLINK("http://141.218.60.56/~jnz1568/getInfo.php?workbook=14_04.xlsx&amp;sheet=A0&amp;row=579&amp;col=6&amp;number=7039000000&amp;sourceID=14","7039000000")</f>
        <v>7039000000</v>
      </c>
      <c r="G579" s="4" t="str">
        <f>HYPERLINK("http://141.218.60.56/~jnz1568/getInfo.php?workbook=14_04.xlsx&amp;sheet=A0&amp;row=579&amp;col=7&amp;number=0&amp;sourceID=14","0")</f>
        <v>0</v>
      </c>
    </row>
    <row r="580" spans="1:7">
      <c r="A580" s="3">
        <v>14</v>
      </c>
      <c r="B580" s="3">
        <v>4</v>
      </c>
      <c r="C580" s="3">
        <v>59</v>
      </c>
      <c r="D580" s="3">
        <v>9</v>
      </c>
      <c r="E580" s="3">
        <v>37.678</v>
      </c>
      <c r="F580" s="4" t="str">
        <f>HYPERLINK("http://141.218.60.56/~jnz1568/getInfo.php?workbook=14_04.xlsx&amp;sheet=A0&amp;row=580&amp;col=6&amp;number=299700000&amp;sourceID=14","299700000")</f>
        <v>299700000</v>
      </c>
      <c r="G580" s="4" t="str">
        <f>HYPERLINK("http://141.218.60.56/~jnz1568/getInfo.php?workbook=14_04.xlsx&amp;sheet=A0&amp;row=580&amp;col=7&amp;number=0&amp;sourceID=14","0")</f>
        <v>0</v>
      </c>
    </row>
    <row r="581" spans="1:7">
      <c r="A581" s="3">
        <v>14</v>
      </c>
      <c r="B581" s="3">
        <v>4</v>
      </c>
      <c r="C581" s="3">
        <v>60</v>
      </c>
      <c r="D581" s="3">
        <v>9</v>
      </c>
      <c r="E581" s="3">
        <v>-37.613</v>
      </c>
      <c r="F581" s="4" t="str">
        <f>HYPERLINK("http://141.218.60.56/~jnz1568/getInfo.php?workbook=14_04.xlsx&amp;sheet=A0&amp;row=581&amp;col=6&amp;number=88780000000&amp;sourceID=14","88780000000")</f>
        <v>88780000000</v>
      </c>
      <c r="G581" s="4" t="str">
        <f>HYPERLINK("http://141.218.60.56/~jnz1568/getInfo.php?workbook=14_04.xlsx&amp;sheet=A0&amp;row=581&amp;col=7&amp;number=0&amp;sourceID=14","0")</f>
        <v>0</v>
      </c>
    </row>
    <row r="582" spans="1:7">
      <c r="A582" s="3">
        <v>14</v>
      </c>
      <c r="B582" s="3">
        <v>4</v>
      </c>
      <c r="C582" s="3">
        <v>61</v>
      </c>
      <c r="D582" s="3">
        <v>9</v>
      </c>
      <c r="E582" s="3">
        <v>-37.445</v>
      </c>
      <c r="F582" s="4" t="str">
        <f>HYPERLINK("http://141.218.60.56/~jnz1568/getInfo.php?workbook=14_04.xlsx&amp;sheet=A0&amp;row=582&amp;col=6&amp;number=15040000&amp;sourceID=14","15040000")</f>
        <v>15040000</v>
      </c>
      <c r="G582" s="4" t="str">
        <f>HYPERLINK("http://141.218.60.56/~jnz1568/getInfo.php?workbook=14_04.xlsx&amp;sheet=A0&amp;row=582&amp;col=7&amp;number=0&amp;sourceID=14","0")</f>
        <v>0</v>
      </c>
    </row>
    <row r="583" spans="1:7">
      <c r="A583" s="3">
        <v>14</v>
      </c>
      <c r="B583" s="3">
        <v>4</v>
      </c>
      <c r="C583" s="3">
        <v>62</v>
      </c>
      <c r="D583" s="3">
        <v>9</v>
      </c>
      <c r="E583" s="3">
        <v>-37.506</v>
      </c>
      <c r="F583" s="4" t="str">
        <f>HYPERLINK("http://141.218.60.56/~jnz1568/getInfo.php?workbook=14_04.xlsx&amp;sheet=A0&amp;row=583&amp;col=6&amp;number=17110000&amp;sourceID=14","17110000")</f>
        <v>17110000</v>
      </c>
      <c r="G583" s="4" t="str">
        <f>HYPERLINK("http://141.218.60.56/~jnz1568/getInfo.php?workbook=14_04.xlsx&amp;sheet=A0&amp;row=583&amp;col=7&amp;number=0&amp;sourceID=14","0")</f>
        <v>0</v>
      </c>
    </row>
    <row r="584" spans="1:7">
      <c r="A584" s="3">
        <v>14</v>
      </c>
      <c r="B584" s="3">
        <v>4</v>
      </c>
      <c r="C584" s="3">
        <v>63</v>
      </c>
      <c r="D584" s="3">
        <v>9</v>
      </c>
      <c r="E584" s="3">
        <v>-37.441</v>
      </c>
      <c r="F584" s="4" t="str">
        <f>HYPERLINK("http://141.218.60.56/~jnz1568/getInfo.php?workbook=14_04.xlsx&amp;sheet=A0&amp;row=584&amp;col=6&amp;number=237100&amp;sourceID=14","237100")</f>
        <v>237100</v>
      </c>
      <c r="G584" s="4" t="str">
        <f>HYPERLINK("http://141.218.60.56/~jnz1568/getInfo.php?workbook=14_04.xlsx&amp;sheet=A0&amp;row=584&amp;col=7&amp;number=0&amp;sourceID=14","0")</f>
        <v>0</v>
      </c>
    </row>
    <row r="585" spans="1:7">
      <c r="A585" s="3">
        <v>14</v>
      </c>
      <c r="B585" s="3">
        <v>4</v>
      </c>
      <c r="C585" s="3">
        <v>64</v>
      </c>
      <c r="D585" s="3">
        <v>9</v>
      </c>
      <c r="E585" s="3">
        <v>-37.365</v>
      </c>
      <c r="F585" s="4" t="str">
        <f>HYPERLINK("http://141.218.60.56/~jnz1568/getInfo.php?workbook=14_04.xlsx&amp;sheet=A0&amp;row=585&amp;col=6&amp;number=106000&amp;sourceID=14","106000")</f>
        <v>106000</v>
      </c>
      <c r="G585" s="4" t="str">
        <f>HYPERLINK("http://141.218.60.56/~jnz1568/getInfo.php?workbook=14_04.xlsx&amp;sheet=A0&amp;row=585&amp;col=7&amp;number=0&amp;sourceID=14","0")</f>
        <v>0</v>
      </c>
    </row>
    <row r="586" spans="1:7">
      <c r="A586" s="3">
        <v>14</v>
      </c>
      <c r="B586" s="3">
        <v>4</v>
      </c>
      <c r="C586" s="3">
        <v>65</v>
      </c>
      <c r="D586" s="3">
        <v>9</v>
      </c>
      <c r="E586" s="3">
        <v>-37.34</v>
      </c>
      <c r="F586" s="4" t="str">
        <f>HYPERLINK("http://141.218.60.56/~jnz1568/getInfo.php?workbook=14_04.xlsx&amp;sheet=A0&amp;row=586&amp;col=6&amp;number=6568000&amp;sourceID=14","6568000")</f>
        <v>6568000</v>
      </c>
      <c r="G586" s="4" t="str">
        <f>HYPERLINK("http://141.218.60.56/~jnz1568/getInfo.php?workbook=14_04.xlsx&amp;sheet=A0&amp;row=586&amp;col=7&amp;number=0&amp;sourceID=14","0")</f>
        <v>0</v>
      </c>
    </row>
    <row r="587" spans="1:7">
      <c r="A587" s="3">
        <v>14</v>
      </c>
      <c r="B587" s="3">
        <v>4</v>
      </c>
      <c r="C587" s="3">
        <v>66</v>
      </c>
      <c r="D587" s="3">
        <v>9</v>
      </c>
      <c r="E587" s="3">
        <v>-37.342</v>
      </c>
      <c r="F587" s="4" t="str">
        <f>HYPERLINK("http://141.218.60.56/~jnz1568/getInfo.php?workbook=14_04.xlsx&amp;sheet=A0&amp;row=587&amp;col=6&amp;number=1302000&amp;sourceID=14","1302000")</f>
        <v>1302000</v>
      </c>
      <c r="G587" s="4" t="str">
        <f>HYPERLINK("http://141.218.60.56/~jnz1568/getInfo.php?workbook=14_04.xlsx&amp;sheet=A0&amp;row=587&amp;col=7&amp;number=0&amp;sourceID=14","0")</f>
        <v>0</v>
      </c>
    </row>
    <row r="588" spans="1:7">
      <c r="A588" s="3">
        <v>14</v>
      </c>
      <c r="B588" s="3">
        <v>4</v>
      </c>
      <c r="C588" s="3">
        <v>67</v>
      </c>
      <c r="D588" s="3">
        <v>9</v>
      </c>
      <c r="E588" s="3">
        <v>-37.279</v>
      </c>
      <c r="F588" s="4" t="str">
        <f>HYPERLINK("http://141.218.60.56/~jnz1568/getInfo.php?workbook=14_04.xlsx&amp;sheet=A0&amp;row=588&amp;col=6&amp;number=106300&amp;sourceID=14","106300")</f>
        <v>106300</v>
      </c>
      <c r="G588" s="4" t="str">
        <f>HYPERLINK("http://141.218.60.56/~jnz1568/getInfo.php?workbook=14_04.xlsx&amp;sheet=A0&amp;row=588&amp;col=7&amp;number=0&amp;sourceID=14","0")</f>
        <v>0</v>
      </c>
    </row>
    <row r="589" spans="1:7">
      <c r="A589" s="3">
        <v>14</v>
      </c>
      <c r="B589" s="3">
        <v>4</v>
      </c>
      <c r="C589" s="3">
        <v>68</v>
      </c>
      <c r="D589" s="3">
        <v>9</v>
      </c>
      <c r="E589" s="3">
        <v>-37.268</v>
      </c>
      <c r="F589" s="4" t="str">
        <f>HYPERLINK("http://141.218.60.56/~jnz1568/getInfo.php?workbook=14_04.xlsx&amp;sheet=A0&amp;row=589&amp;col=6&amp;number=1193000&amp;sourceID=14","1193000")</f>
        <v>1193000</v>
      </c>
      <c r="G589" s="4" t="str">
        <f>HYPERLINK("http://141.218.60.56/~jnz1568/getInfo.php?workbook=14_04.xlsx&amp;sheet=A0&amp;row=589&amp;col=7&amp;number=0&amp;sourceID=14","0")</f>
        <v>0</v>
      </c>
    </row>
    <row r="590" spans="1:7">
      <c r="A590" s="3">
        <v>14</v>
      </c>
      <c r="B590" s="3">
        <v>4</v>
      </c>
      <c r="C590" s="3">
        <v>69</v>
      </c>
      <c r="D590" s="3">
        <v>9</v>
      </c>
      <c r="E590" s="3">
        <v>-37.257</v>
      </c>
      <c r="F590" s="4" t="str">
        <f>HYPERLINK("http://141.218.60.56/~jnz1568/getInfo.php?workbook=14_04.xlsx&amp;sheet=A0&amp;row=590&amp;col=6&amp;number=42650000000&amp;sourceID=14","42650000000")</f>
        <v>42650000000</v>
      </c>
      <c r="G590" s="4" t="str">
        <f>HYPERLINK("http://141.218.60.56/~jnz1568/getInfo.php?workbook=14_04.xlsx&amp;sheet=A0&amp;row=590&amp;col=7&amp;number=0&amp;sourceID=14","0")</f>
        <v>0</v>
      </c>
    </row>
    <row r="591" spans="1:7">
      <c r="A591" s="3">
        <v>14</v>
      </c>
      <c r="B591" s="3">
        <v>4</v>
      </c>
      <c r="C591" s="3">
        <v>70</v>
      </c>
      <c r="D591" s="3">
        <v>9</v>
      </c>
      <c r="E591" s="3">
        <v>-37.21</v>
      </c>
      <c r="F591" s="4" t="str">
        <f>HYPERLINK("http://141.218.60.56/~jnz1568/getInfo.php?workbook=14_04.xlsx&amp;sheet=A0&amp;row=591&amp;col=6&amp;number=12710000000&amp;sourceID=14","12710000000")</f>
        <v>12710000000</v>
      </c>
      <c r="G591" s="4" t="str">
        <f>HYPERLINK("http://141.218.60.56/~jnz1568/getInfo.php?workbook=14_04.xlsx&amp;sheet=A0&amp;row=591&amp;col=7&amp;number=0&amp;sourceID=14","0")</f>
        <v>0</v>
      </c>
    </row>
    <row r="592" spans="1:7">
      <c r="A592" s="3">
        <v>14</v>
      </c>
      <c r="B592" s="3">
        <v>4</v>
      </c>
      <c r="C592" s="3">
        <v>71</v>
      </c>
      <c r="D592" s="3">
        <v>9</v>
      </c>
      <c r="E592" s="3">
        <v>-37.19</v>
      </c>
      <c r="F592" s="4" t="str">
        <f>HYPERLINK("http://141.218.60.56/~jnz1568/getInfo.php?workbook=14_04.xlsx&amp;sheet=A0&amp;row=592&amp;col=6&amp;number=109200000000&amp;sourceID=14","109200000000")</f>
        <v>109200000000</v>
      </c>
      <c r="G592" s="4" t="str">
        <f>HYPERLINK("http://141.218.60.56/~jnz1568/getInfo.php?workbook=14_04.xlsx&amp;sheet=A0&amp;row=592&amp;col=7&amp;number=0&amp;sourceID=14","0")</f>
        <v>0</v>
      </c>
    </row>
    <row r="593" spans="1:7">
      <c r="A593" s="3">
        <v>14</v>
      </c>
      <c r="B593" s="3">
        <v>4</v>
      </c>
      <c r="C593" s="3">
        <v>72</v>
      </c>
      <c r="D593" s="3">
        <v>9</v>
      </c>
      <c r="E593" s="3">
        <v>-37.16</v>
      </c>
      <c r="F593" s="4" t="str">
        <f>HYPERLINK("http://141.218.60.56/~jnz1568/getInfo.php?workbook=14_04.xlsx&amp;sheet=A0&amp;row=593&amp;col=6&amp;number=14840000&amp;sourceID=14","14840000")</f>
        <v>14840000</v>
      </c>
      <c r="G593" s="4" t="str">
        <f>HYPERLINK("http://141.218.60.56/~jnz1568/getInfo.php?workbook=14_04.xlsx&amp;sheet=A0&amp;row=593&amp;col=7&amp;number=0&amp;sourceID=14","0")</f>
        <v>0</v>
      </c>
    </row>
    <row r="594" spans="1:7">
      <c r="A594" s="3">
        <v>14</v>
      </c>
      <c r="B594" s="3">
        <v>4</v>
      </c>
      <c r="C594" s="3">
        <v>74</v>
      </c>
      <c r="D594" s="3">
        <v>9</v>
      </c>
      <c r="E594" s="3">
        <v>-37.121</v>
      </c>
      <c r="F594" s="4" t="str">
        <f>HYPERLINK("http://141.218.60.56/~jnz1568/getInfo.php?workbook=14_04.xlsx&amp;sheet=A0&amp;row=594&amp;col=6&amp;number=999500000&amp;sourceID=14","999500000")</f>
        <v>999500000</v>
      </c>
      <c r="G594" s="4" t="str">
        <f>HYPERLINK("http://141.218.60.56/~jnz1568/getInfo.php?workbook=14_04.xlsx&amp;sheet=A0&amp;row=594&amp;col=7&amp;number=0&amp;sourceID=14","0")</f>
        <v>0</v>
      </c>
    </row>
    <row r="595" spans="1:7">
      <c r="A595" s="3">
        <v>14</v>
      </c>
      <c r="B595" s="3">
        <v>4</v>
      </c>
      <c r="C595" s="3">
        <v>75</v>
      </c>
      <c r="D595" s="3">
        <v>9</v>
      </c>
      <c r="E595" s="3">
        <v>-37.094</v>
      </c>
      <c r="F595" s="4" t="str">
        <f>HYPERLINK("http://141.218.60.56/~jnz1568/getInfo.php?workbook=14_04.xlsx&amp;sheet=A0&amp;row=595&amp;col=6&amp;number=27730000000&amp;sourceID=14","27730000000")</f>
        <v>27730000000</v>
      </c>
      <c r="G595" s="4" t="str">
        <f>HYPERLINK("http://141.218.60.56/~jnz1568/getInfo.php?workbook=14_04.xlsx&amp;sheet=A0&amp;row=595&amp;col=7&amp;number=0&amp;sourceID=14","0")</f>
        <v>0</v>
      </c>
    </row>
    <row r="596" spans="1:7">
      <c r="A596" s="3">
        <v>14</v>
      </c>
      <c r="B596" s="3">
        <v>4</v>
      </c>
      <c r="C596" s="3">
        <v>76</v>
      </c>
      <c r="D596" s="3">
        <v>9</v>
      </c>
      <c r="E596" s="3">
        <v>36.911</v>
      </c>
      <c r="F596" s="4" t="str">
        <f>HYPERLINK("http://141.218.60.56/~jnz1568/getInfo.php?workbook=14_04.xlsx&amp;sheet=A0&amp;row=596&amp;col=6&amp;number=1127000000&amp;sourceID=14","1127000000")</f>
        <v>1127000000</v>
      </c>
      <c r="G596" s="4" t="str">
        <f>HYPERLINK("http://141.218.60.56/~jnz1568/getInfo.php?workbook=14_04.xlsx&amp;sheet=A0&amp;row=596&amp;col=7&amp;number=0&amp;sourceID=14","0")</f>
        <v>0</v>
      </c>
    </row>
    <row r="597" spans="1:7">
      <c r="A597" s="3">
        <v>14</v>
      </c>
      <c r="B597" s="3">
        <v>4</v>
      </c>
      <c r="C597" s="3">
        <v>77</v>
      </c>
      <c r="D597" s="3">
        <v>9</v>
      </c>
      <c r="E597" s="3">
        <v>36.898</v>
      </c>
      <c r="F597" s="4" t="str">
        <f>HYPERLINK("http://141.218.60.56/~jnz1568/getInfo.php?workbook=14_04.xlsx&amp;sheet=A0&amp;row=597&amp;col=6&amp;number=9671000000&amp;sourceID=14","9671000000")</f>
        <v>9671000000</v>
      </c>
      <c r="G597" s="4" t="str">
        <f>HYPERLINK("http://141.218.60.56/~jnz1568/getInfo.php?workbook=14_04.xlsx&amp;sheet=A0&amp;row=597&amp;col=7&amp;number=0&amp;sourceID=14","0")</f>
        <v>0</v>
      </c>
    </row>
    <row r="598" spans="1:7">
      <c r="A598" s="3">
        <v>14</v>
      </c>
      <c r="B598" s="3">
        <v>4</v>
      </c>
      <c r="C598" s="3">
        <v>78</v>
      </c>
      <c r="D598" s="3">
        <v>9</v>
      </c>
      <c r="E598" s="3">
        <v>-37.013</v>
      </c>
      <c r="F598" s="4" t="str">
        <f>HYPERLINK("http://141.218.60.56/~jnz1568/getInfo.php?workbook=14_04.xlsx&amp;sheet=A0&amp;row=598&amp;col=6&amp;number=357200000&amp;sourceID=14","357200000")</f>
        <v>357200000</v>
      </c>
      <c r="G598" s="4" t="str">
        <f>HYPERLINK("http://141.218.60.56/~jnz1568/getInfo.php?workbook=14_04.xlsx&amp;sheet=A0&amp;row=598&amp;col=7&amp;number=0&amp;sourceID=14","0")</f>
        <v>0</v>
      </c>
    </row>
    <row r="599" spans="1:7">
      <c r="A599" s="3">
        <v>14</v>
      </c>
      <c r="B599" s="3">
        <v>4</v>
      </c>
      <c r="C599" s="3">
        <v>80</v>
      </c>
      <c r="D599" s="3">
        <v>9</v>
      </c>
      <c r="E599" s="3">
        <v>37.04</v>
      </c>
      <c r="F599" s="4" t="str">
        <f>HYPERLINK("http://141.218.60.56/~jnz1568/getInfo.php?workbook=14_04.xlsx&amp;sheet=A0&amp;row=599&amp;col=6&amp;number=85630000&amp;sourceID=14","85630000")</f>
        <v>85630000</v>
      </c>
      <c r="G599" s="4" t="str">
        <f>HYPERLINK("http://141.218.60.56/~jnz1568/getInfo.php?workbook=14_04.xlsx&amp;sheet=A0&amp;row=599&amp;col=7&amp;number=0&amp;sourceID=14","0")</f>
        <v>0</v>
      </c>
    </row>
    <row r="600" spans="1:7">
      <c r="A600" s="3">
        <v>14</v>
      </c>
      <c r="B600" s="3">
        <v>4</v>
      </c>
      <c r="C600" s="3">
        <v>81</v>
      </c>
      <c r="D600" s="3">
        <v>9</v>
      </c>
      <c r="E600" s="3">
        <v>36.761</v>
      </c>
      <c r="F600" s="4" t="str">
        <f>HYPERLINK("http://141.218.60.56/~jnz1568/getInfo.php?workbook=14_04.xlsx&amp;sheet=A0&amp;row=600&amp;col=6&amp;number=786600000000&amp;sourceID=14","786600000000")</f>
        <v>786600000000</v>
      </c>
      <c r="G600" s="4" t="str">
        <f>HYPERLINK("http://141.218.60.56/~jnz1568/getInfo.php?workbook=14_04.xlsx&amp;sheet=A0&amp;row=600&amp;col=7&amp;number=0&amp;sourceID=14","0")</f>
        <v>0</v>
      </c>
    </row>
    <row r="601" spans="1:7">
      <c r="A601" s="3">
        <v>14</v>
      </c>
      <c r="B601" s="3">
        <v>4</v>
      </c>
      <c r="C601" s="3">
        <v>82</v>
      </c>
      <c r="D601" s="3">
        <v>9</v>
      </c>
      <c r="E601" s="3">
        <v>-36.846</v>
      </c>
      <c r="F601" s="4" t="str">
        <f>HYPERLINK("http://141.218.60.56/~jnz1568/getInfo.php?workbook=14_04.xlsx&amp;sheet=A0&amp;row=601&amp;col=6&amp;number=27690000000&amp;sourceID=14","27690000000")</f>
        <v>27690000000</v>
      </c>
      <c r="G601" s="4" t="str">
        <f>HYPERLINK("http://141.218.60.56/~jnz1568/getInfo.php?workbook=14_04.xlsx&amp;sheet=A0&amp;row=601&amp;col=7&amp;number=0&amp;sourceID=14","0")</f>
        <v>0</v>
      </c>
    </row>
    <row r="602" spans="1:7">
      <c r="A602" s="3">
        <v>14</v>
      </c>
      <c r="B602" s="3">
        <v>4</v>
      </c>
      <c r="C602" s="3">
        <v>83</v>
      </c>
      <c r="D602" s="3">
        <v>9</v>
      </c>
      <c r="E602" s="3">
        <v>-36.037</v>
      </c>
      <c r="F602" s="4" t="str">
        <f>HYPERLINK("http://141.218.60.56/~jnz1568/getInfo.php?workbook=14_04.xlsx&amp;sheet=A0&amp;row=602&amp;col=6&amp;number=272.2&amp;sourceID=14","272.2")</f>
        <v>272.2</v>
      </c>
      <c r="G602" s="4" t="str">
        <f>HYPERLINK("http://141.218.60.56/~jnz1568/getInfo.php?workbook=14_04.xlsx&amp;sheet=A0&amp;row=602&amp;col=7&amp;number=0&amp;sourceID=14","0")</f>
        <v>0</v>
      </c>
    </row>
    <row r="603" spans="1:7">
      <c r="A603" s="3">
        <v>14</v>
      </c>
      <c r="B603" s="3">
        <v>4</v>
      </c>
      <c r="C603" s="3">
        <v>84</v>
      </c>
      <c r="D603" s="3">
        <v>9</v>
      </c>
      <c r="E603" s="3">
        <v>-35.944</v>
      </c>
      <c r="F603" s="4" t="str">
        <f>HYPERLINK("http://141.218.60.56/~jnz1568/getInfo.php?workbook=14_04.xlsx&amp;sheet=A0&amp;row=603&amp;col=6&amp;number=92650000&amp;sourceID=14","92650000")</f>
        <v>92650000</v>
      </c>
      <c r="G603" s="4" t="str">
        <f>HYPERLINK("http://141.218.60.56/~jnz1568/getInfo.php?workbook=14_04.xlsx&amp;sheet=A0&amp;row=603&amp;col=7&amp;number=0&amp;sourceID=14","0")</f>
        <v>0</v>
      </c>
    </row>
    <row r="604" spans="1:7">
      <c r="A604" s="3">
        <v>14</v>
      </c>
      <c r="B604" s="3">
        <v>4</v>
      </c>
      <c r="C604" s="3">
        <v>86</v>
      </c>
      <c r="D604" s="3">
        <v>9</v>
      </c>
      <c r="E604" s="3">
        <v>-35.848</v>
      </c>
      <c r="F604" s="4" t="str">
        <f>HYPERLINK("http://141.218.60.56/~jnz1568/getInfo.php?workbook=14_04.xlsx&amp;sheet=A0&amp;row=604&amp;col=6&amp;number=72830000&amp;sourceID=14","72830000")</f>
        <v>72830000</v>
      </c>
      <c r="G604" s="4" t="str">
        <f>HYPERLINK("http://141.218.60.56/~jnz1568/getInfo.php?workbook=14_04.xlsx&amp;sheet=A0&amp;row=604&amp;col=7&amp;number=0&amp;sourceID=14","0")</f>
        <v>0</v>
      </c>
    </row>
    <row r="605" spans="1:7">
      <c r="A605" s="3">
        <v>14</v>
      </c>
      <c r="B605" s="3">
        <v>4</v>
      </c>
      <c r="C605" s="3">
        <v>87</v>
      </c>
      <c r="D605" s="3">
        <v>9</v>
      </c>
      <c r="E605" s="3">
        <v>35.655</v>
      </c>
      <c r="F605" s="4" t="str">
        <f>HYPERLINK("http://141.218.60.56/~jnz1568/getInfo.php?workbook=14_04.xlsx&amp;sheet=A0&amp;row=605&amp;col=6&amp;number=14600000&amp;sourceID=14","14600000")</f>
        <v>14600000</v>
      </c>
      <c r="G605" s="4" t="str">
        <f>HYPERLINK("http://141.218.60.56/~jnz1568/getInfo.php?workbook=14_04.xlsx&amp;sheet=A0&amp;row=605&amp;col=7&amp;number=0&amp;sourceID=14","0")</f>
        <v>0</v>
      </c>
    </row>
    <row r="606" spans="1:7">
      <c r="A606" s="3">
        <v>14</v>
      </c>
      <c r="B606" s="3">
        <v>4</v>
      </c>
      <c r="C606" s="3">
        <v>88</v>
      </c>
      <c r="D606" s="3">
        <v>9</v>
      </c>
      <c r="E606" s="3">
        <v>-35.811</v>
      </c>
      <c r="F606" s="4" t="str">
        <f>HYPERLINK("http://141.218.60.56/~jnz1568/getInfo.php?workbook=14_04.xlsx&amp;sheet=A0&amp;row=606&amp;col=6&amp;number=7419000000&amp;sourceID=14","7419000000")</f>
        <v>7419000000</v>
      </c>
      <c r="G606" s="4" t="str">
        <f>HYPERLINK("http://141.218.60.56/~jnz1568/getInfo.php?workbook=14_04.xlsx&amp;sheet=A0&amp;row=606&amp;col=7&amp;number=0&amp;sourceID=14","0")</f>
        <v>0</v>
      </c>
    </row>
    <row r="607" spans="1:7">
      <c r="A607" s="3">
        <v>14</v>
      </c>
      <c r="B607" s="3">
        <v>4</v>
      </c>
      <c r="C607" s="3">
        <v>89</v>
      </c>
      <c r="D607" s="3">
        <v>9</v>
      </c>
      <c r="E607" s="3">
        <v>-35.739</v>
      </c>
      <c r="F607" s="4" t="str">
        <f>HYPERLINK("http://141.218.60.56/~jnz1568/getInfo.php?workbook=14_04.xlsx&amp;sheet=A0&amp;row=607&amp;col=6&amp;number=1.887&amp;sourceID=14","1.887")</f>
        <v>1.887</v>
      </c>
      <c r="G607" s="4" t="str">
        <f>HYPERLINK("http://141.218.60.56/~jnz1568/getInfo.php?workbook=14_04.xlsx&amp;sheet=A0&amp;row=607&amp;col=7&amp;number=0&amp;sourceID=14","0")</f>
        <v>0</v>
      </c>
    </row>
    <row r="608" spans="1:7">
      <c r="A608" s="3">
        <v>14</v>
      </c>
      <c r="B608" s="3">
        <v>4</v>
      </c>
      <c r="C608" s="3">
        <v>90</v>
      </c>
      <c r="D608" s="3">
        <v>9</v>
      </c>
      <c r="E608" s="3">
        <v>35.597</v>
      </c>
      <c r="F608" s="4" t="str">
        <f>HYPERLINK("http://141.218.60.56/~jnz1568/getInfo.php?workbook=14_04.xlsx&amp;sheet=A0&amp;row=608&amp;col=6&amp;number=3274&amp;sourceID=14","3274")</f>
        <v>3274</v>
      </c>
      <c r="G608" s="4" t="str">
        <f>HYPERLINK("http://141.218.60.56/~jnz1568/getInfo.php?workbook=14_04.xlsx&amp;sheet=A0&amp;row=608&amp;col=7&amp;number=0&amp;sourceID=14","0")</f>
        <v>0</v>
      </c>
    </row>
    <row r="609" spans="1:7">
      <c r="A609" s="3">
        <v>14</v>
      </c>
      <c r="B609" s="3">
        <v>4</v>
      </c>
      <c r="C609" s="3">
        <v>91</v>
      </c>
      <c r="D609" s="3">
        <v>9</v>
      </c>
      <c r="E609" s="3">
        <v>35.598</v>
      </c>
      <c r="F609" s="4" t="str">
        <f>HYPERLINK("http://141.218.60.56/~jnz1568/getInfo.php?workbook=14_04.xlsx&amp;sheet=A0&amp;row=609&amp;col=6&amp;number=0.04292&amp;sourceID=14","0.04292")</f>
        <v>0.04292</v>
      </c>
      <c r="G609" s="4" t="str">
        <f>HYPERLINK("http://141.218.60.56/~jnz1568/getInfo.php?workbook=14_04.xlsx&amp;sheet=A0&amp;row=609&amp;col=7&amp;number=0&amp;sourceID=14","0")</f>
        <v>0</v>
      </c>
    </row>
    <row r="610" spans="1:7">
      <c r="A610" s="3">
        <v>14</v>
      </c>
      <c r="B610" s="3">
        <v>4</v>
      </c>
      <c r="C610" s="3">
        <v>92</v>
      </c>
      <c r="D610" s="3">
        <v>9</v>
      </c>
      <c r="E610" s="3">
        <v>35.549</v>
      </c>
      <c r="F610" s="4" t="str">
        <f>HYPERLINK("http://141.218.60.56/~jnz1568/getInfo.php?workbook=14_04.xlsx&amp;sheet=A0&amp;row=610&amp;col=6&amp;number=22690000&amp;sourceID=14","22690000")</f>
        <v>22690000</v>
      </c>
      <c r="G610" s="4" t="str">
        <f>HYPERLINK("http://141.218.60.56/~jnz1568/getInfo.php?workbook=14_04.xlsx&amp;sheet=A0&amp;row=610&amp;col=7&amp;number=0&amp;sourceID=14","0")</f>
        <v>0</v>
      </c>
    </row>
    <row r="611" spans="1:7">
      <c r="A611" s="3">
        <v>14</v>
      </c>
      <c r="B611" s="3">
        <v>4</v>
      </c>
      <c r="C611" s="3">
        <v>11</v>
      </c>
      <c r="D611" s="3">
        <v>10</v>
      </c>
      <c r="E611" s="3">
        <v>62.25</v>
      </c>
      <c r="F611" s="4" t="str">
        <f>HYPERLINK("http://141.218.60.56/~jnz1568/getInfo.php?workbook=14_04.xlsx&amp;sheet=A0&amp;row=611&amp;col=6&amp;number=0.002945&amp;sourceID=14","0.002945")</f>
        <v>0.002945</v>
      </c>
      <c r="G611" s="4" t="str">
        <f>HYPERLINK("http://141.218.60.56/~jnz1568/getInfo.php?workbook=14_04.xlsx&amp;sheet=A0&amp;row=611&amp;col=7&amp;number=0&amp;sourceID=14","0")</f>
        <v>0</v>
      </c>
    </row>
    <row r="612" spans="1:7">
      <c r="A612" s="3">
        <v>14</v>
      </c>
      <c r="B612" s="3">
        <v>4</v>
      </c>
      <c r="C612" s="3">
        <v>13</v>
      </c>
      <c r="D612" s="3">
        <v>10</v>
      </c>
      <c r="E612" s="3">
        <v>59.612</v>
      </c>
      <c r="F612" s="4" t="str">
        <f>HYPERLINK("http://141.218.60.56/~jnz1568/getInfo.php?workbook=14_04.xlsx&amp;sheet=A0&amp;row=612&amp;col=6&amp;number=1149000000&amp;sourceID=14","1149000000")</f>
        <v>1149000000</v>
      </c>
      <c r="G612" s="4" t="str">
        <f>HYPERLINK("http://141.218.60.56/~jnz1568/getInfo.php?workbook=14_04.xlsx&amp;sheet=A0&amp;row=612&amp;col=7&amp;number=0&amp;sourceID=14","0")</f>
        <v>0</v>
      </c>
    </row>
    <row r="613" spans="1:7">
      <c r="A613" s="3">
        <v>14</v>
      </c>
      <c r="B613" s="3">
        <v>4</v>
      </c>
      <c r="C613" s="3">
        <v>15</v>
      </c>
      <c r="D613" s="3">
        <v>10</v>
      </c>
      <c r="E613" s="3">
        <v>59.492</v>
      </c>
      <c r="F613" s="4" t="str">
        <f>HYPERLINK("http://141.218.60.56/~jnz1568/getInfo.php?workbook=14_04.xlsx&amp;sheet=A0&amp;row=613&amp;col=6&amp;number=66170000&amp;sourceID=14","66170000")</f>
        <v>66170000</v>
      </c>
      <c r="G613" s="4" t="str">
        <f>HYPERLINK("http://141.218.60.56/~jnz1568/getInfo.php?workbook=14_04.xlsx&amp;sheet=A0&amp;row=613&amp;col=7&amp;number=0&amp;sourceID=14","0")</f>
        <v>0</v>
      </c>
    </row>
    <row r="614" spans="1:7">
      <c r="A614" s="3">
        <v>14</v>
      </c>
      <c r="B614" s="3">
        <v>4</v>
      </c>
      <c r="C614" s="3">
        <v>17</v>
      </c>
      <c r="D614" s="3">
        <v>10</v>
      </c>
      <c r="E614" s="3">
        <v>58.049</v>
      </c>
      <c r="F614" s="4" t="str">
        <f>HYPERLINK("http://141.218.60.56/~jnz1568/getInfo.php?workbook=14_04.xlsx&amp;sheet=A0&amp;row=614&amp;col=6&amp;number=0.0006056&amp;sourceID=14","0.0006056")</f>
        <v>0.0006056</v>
      </c>
      <c r="G614" s="4" t="str">
        <f>HYPERLINK("http://141.218.60.56/~jnz1568/getInfo.php?workbook=14_04.xlsx&amp;sheet=A0&amp;row=614&amp;col=7&amp;number=0&amp;sourceID=14","0")</f>
        <v>0</v>
      </c>
    </row>
    <row r="615" spans="1:7">
      <c r="A615" s="3">
        <v>14</v>
      </c>
      <c r="B615" s="3">
        <v>4</v>
      </c>
      <c r="C615" s="3">
        <v>18</v>
      </c>
      <c r="D615" s="3">
        <v>10</v>
      </c>
      <c r="E615" s="3">
        <v>58.006</v>
      </c>
      <c r="F615" s="4" t="str">
        <f>HYPERLINK("http://141.218.60.56/~jnz1568/getInfo.php?workbook=14_04.xlsx&amp;sheet=A0&amp;row=615&amp;col=6&amp;number=69.62&amp;sourceID=14","69.62")</f>
        <v>69.62</v>
      </c>
      <c r="G615" s="4" t="str">
        <f>HYPERLINK("http://141.218.60.56/~jnz1568/getInfo.php?workbook=14_04.xlsx&amp;sheet=A0&amp;row=615&amp;col=7&amp;number=0&amp;sourceID=14","0")</f>
        <v>0</v>
      </c>
    </row>
    <row r="616" spans="1:7">
      <c r="A616" s="3">
        <v>14</v>
      </c>
      <c r="B616" s="3">
        <v>4</v>
      </c>
      <c r="C616" s="3">
        <v>20</v>
      </c>
      <c r="D616" s="3">
        <v>10</v>
      </c>
      <c r="E616" s="3">
        <v>56.987</v>
      </c>
      <c r="F616" s="4" t="str">
        <f>HYPERLINK("http://141.218.60.56/~jnz1568/getInfo.php?workbook=14_04.xlsx&amp;sheet=A0&amp;row=616&amp;col=6&amp;number=4702000&amp;sourceID=14","4702000")</f>
        <v>4702000</v>
      </c>
      <c r="G616" s="4" t="str">
        <f>HYPERLINK("http://141.218.60.56/~jnz1568/getInfo.php?workbook=14_04.xlsx&amp;sheet=A0&amp;row=616&amp;col=7&amp;number=0&amp;sourceID=14","0")</f>
        <v>0</v>
      </c>
    </row>
    <row r="617" spans="1:7">
      <c r="A617" s="3">
        <v>14</v>
      </c>
      <c r="B617" s="3">
        <v>4</v>
      </c>
      <c r="C617" s="3">
        <v>22</v>
      </c>
      <c r="D617" s="3">
        <v>10</v>
      </c>
      <c r="E617" s="3">
        <v>-55.481</v>
      </c>
      <c r="F617" s="4" t="str">
        <f>HYPERLINK("http://141.218.60.56/~jnz1568/getInfo.php?workbook=14_04.xlsx&amp;sheet=A0&amp;row=617&amp;col=6&amp;number=230000000&amp;sourceID=14","230000000")</f>
        <v>230000000</v>
      </c>
      <c r="G617" s="4" t="str">
        <f>HYPERLINK("http://141.218.60.56/~jnz1568/getInfo.php?workbook=14_04.xlsx&amp;sheet=A0&amp;row=617&amp;col=7&amp;number=0&amp;sourceID=14","0")</f>
        <v>0</v>
      </c>
    </row>
    <row r="618" spans="1:7">
      <c r="A618" s="3">
        <v>14</v>
      </c>
      <c r="B618" s="3">
        <v>4</v>
      </c>
      <c r="C618" s="3">
        <v>24</v>
      </c>
      <c r="D618" s="3">
        <v>10</v>
      </c>
      <c r="E618" s="3">
        <v>-54.386</v>
      </c>
      <c r="F618" s="4" t="str">
        <f>HYPERLINK("http://141.218.60.56/~jnz1568/getInfo.php?workbook=14_04.xlsx&amp;sheet=A0&amp;row=618&amp;col=6&amp;number=64770000000&amp;sourceID=14","64770000000")</f>
        <v>64770000000</v>
      </c>
      <c r="G618" s="4" t="str">
        <f>HYPERLINK("http://141.218.60.56/~jnz1568/getInfo.php?workbook=14_04.xlsx&amp;sheet=A0&amp;row=618&amp;col=7&amp;number=0&amp;sourceID=14","0")</f>
        <v>0</v>
      </c>
    </row>
    <row r="619" spans="1:7">
      <c r="A619" s="3">
        <v>14</v>
      </c>
      <c r="B619" s="3">
        <v>4</v>
      </c>
      <c r="C619" s="3">
        <v>25</v>
      </c>
      <c r="D619" s="3">
        <v>10</v>
      </c>
      <c r="E619" s="3">
        <v>-54.103</v>
      </c>
      <c r="F619" s="4" t="str">
        <f>HYPERLINK("http://141.218.60.56/~jnz1568/getInfo.php?workbook=14_04.xlsx&amp;sheet=A0&amp;row=619&amp;col=6&amp;number=0.02182&amp;sourceID=14","0.02182")</f>
        <v>0.02182</v>
      </c>
      <c r="G619" s="4" t="str">
        <f>HYPERLINK("http://141.218.60.56/~jnz1568/getInfo.php?workbook=14_04.xlsx&amp;sheet=A0&amp;row=619&amp;col=7&amp;number=0&amp;sourceID=14","0")</f>
        <v>0</v>
      </c>
    </row>
    <row r="620" spans="1:7">
      <c r="A620" s="3">
        <v>14</v>
      </c>
      <c r="B620" s="3">
        <v>4</v>
      </c>
      <c r="C620" s="3">
        <v>26</v>
      </c>
      <c r="D620" s="3">
        <v>10</v>
      </c>
      <c r="E620" s="3">
        <v>-53.849</v>
      </c>
      <c r="F620" s="4" t="str">
        <f>HYPERLINK("http://141.218.60.56/~jnz1568/getInfo.php?workbook=14_04.xlsx&amp;sheet=A0&amp;row=620&amp;col=6&amp;number=0.2082&amp;sourceID=14","0.2082")</f>
        <v>0.2082</v>
      </c>
      <c r="G620" s="4" t="str">
        <f>HYPERLINK("http://141.218.60.56/~jnz1568/getInfo.php?workbook=14_04.xlsx&amp;sheet=A0&amp;row=620&amp;col=7&amp;number=0&amp;sourceID=14","0")</f>
        <v>0</v>
      </c>
    </row>
    <row r="621" spans="1:7">
      <c r="A621" s="3">
        <v>14</v>
      </c>
      <c r="B621" s="3">
        <v>4</v>
      </c>
      <c r="C621" s="3">
        <v>27</v>
      </c>
      <c r="D621" s="3">
        <v>10</v>
      </c>
      <c r="E621" s="3">
        <v>53.361</v>
      </c>
      <c r="F621" s="4" t="str">
        <f>HYPERLINK("http://141.218.60.56/~jnz1568/getInfo.php?workbook=14_04.xlsx&amp;sheet=A0&amp;row=621&amp;col=6&amp;number=2492&amp;sourceID=14","2492")</f>
        <v>2492</v>
      </c>
      <c r="G621" s="4" t="str">
        <f>HYPERLINK("http://141.218.60.56/~jnz1568/getInfo.php?workbook=14_04.xlsx&amp;sheet=A0&amp;row=621&amp;col=7&amp;number=0&amp;sourceID=14","0")</f>
        <v>0</v>
      </c>
    </row>
    <row r="622" spans="1:7">
      <c r="A622" s="3">
        <v>14</v>
      </c>
      <c r="B622" s="3">
        <v>4</v>
      </c>
      <c r="C622" s="3">
        <v>29</v>
      </c>
      <c r="D622" s="3">
        <v>10</v>
      </c>
      <c r="E622" s="3">
        <v>52.848</v>
      </c>
      <c r="F622" s="4" t="str">
        <f>HYPERLINK("http://141.218.60.56/~jnz1568/getInfo.php?workbook=14_04.xlsx&amp;sheet=A0&amp;row=622&amp;col=6&amp;number=6.196&amp;sourceID=14","6.196")</f>
        <v>6.196</v>
      </c>
      <c r="G622" s="4" t="str">
        <f>HYPERLINK("http://141.218.60.56/~jnz1568/getInfo.php?workbook=14_04.xlsx&amp;sheet=A0&amp;row=622&amp;col=7&amp;number=0&amp;sourceID=14","0")</f>
        <v>0</v>
      </c>
    </row>
    <row r="623" spans="1:7">
      <c r="A623" s="3">
        <v>14</v>
      </c>
      <c r="B623" s="3">
        <v>4</v>
      </c>
      <c r="C623" s="3">
        <v>31</v>
      </c>
      <c r="D623" s="3">
        <v>10</v>
      </c>
      <c r="E623" s="3">
        <v>52.517</v>
      </c>
      <c r="F623" s="4" t="str">
        <f>HYPERLINK("http://141.218.60.56/~jnz1568/getInfo.php?workbook=14_04.xlsx&amp;sheet=A0&amp;row=623&amp;col=6&amp;number=186.2&amp;sourceID=14","186.2")</f>
        <v>186.2</v>
      </c>
      <c r="G623" s="4" t="str">
        <f>HYPERLINK("http://141.218.60.56/~jnz1568/getInfo.php?workbook=14_04.xlsx&amp;sheet=A0&amp;row=623&amp;col=7&amp;number=0&amp;sourceID=14","0")</f>
        <v>0</v>
      </c>
    </row>
    <row r="624" spans="1:7">
      <c r="A624" s="3">
        <v>14</v>
      </c>
      <c r="B624" s="3">
        <v>4</v>
      </c>
      <c r="C624" s="3">
        <v>32</v>
      </c>
      <c r="D624" s="3">
        <v>10</v>
      </c>
      <c r="E624" s="3">
        <v>52.516</v>
      </c>
      <c r="F624" s="4" t="str">
        <f>HYPERLINK("http://141.218.60.56/~jnz1568/getInfo.php?workbook=14_04.xlsx&amp;sheet=A0&amp;row=624&amp;col=6&amp;number=141200&amp;sourceID=14","141200")</f>
        <v>141200</v>
      </c>
      <c r="G624" s="4" t="str">
        <f>HYPERLINK("http://141.218.60.56/~jnz1568/getInfo.php?workbook=14_04.xlsx&amp;sheet=A0&amp;row=624&amp;col=7&amp;number=0&amp;sourceID=14","0")</f>
        <v>0</v>
      </c>
    </row>
    <row r="625" spans="1:7">
      <c r="A625" s="3">
        <v>14</v>
      </c>
      <c r="B625" s="3">
        <v>4</v>
      </c>
      <c r="C625" s="3">
        <v>37</v>
      </c>
      <c r="D625" s="3">
        <v>10</v>
      </c>
      <c r="E625" s="3">
        <v>51.969</v>
      </c>
      <c r="F625" s="4" t="str">
        <f>HYPERLINK("http://141.218.60.56/~jnz1568/getInfo.php?workbook=14_04.xlsx&amp;sheet=A0&amp;row=625&amp;col=6&amp;number=20380000&amp;sourceID=14","20380000")</f>
        <v>20380000</v>
      </c>
      <c r="G625" s="4" t="str">
        <f>HYPERLINK("http://141.218.60.56/~jnz1568/getInfo.php?workbook=14_04.xlsx&amp;sheet=A0&amp;row=625&amp;col=7&amp;number=0&amp;sourceID=14","0")</f>
        <v>0</v>
      </c>
    </row>
    <row r="626" spans="1:7">
      <c r="A626" s="3">
        <v>14</v>
      </c>
      <c r="B626" s="3">
        <v>4</v>
      </c>
      <c r="C626" s="3">
        <v>38</v>
      </c>
      <c r="D626" s="3">
        <v>10</v>
      </c>
      <c r="E626" s="3">
        <v>-52.021</v>
      </c>
      <c r="F626" s="4" t="str">
        <f>HYPERLINK("http://141.218.60.56/~jnz1568/getInfo.php?workbook=14_04.xlsx&amp;sheet=A0&amp;row=626&amp;col=6&amp;number=1895000000&amp;sourceID=14","1895000000")</f>
        <v>1895000000</v>
      </c>
      <c r="G626" s="4" t="str">
        <f>HYPERLINK("http://141.218.60.56/~jnz1568/getInfo.php?workbook=14_04.xlsx&amp;sheet=A0&amp;row=626&amp;col=7&amp;number=0&amp;sourceID=14","0")</f>
        <v>0</v>
      </c>
    </row>
    <row r="627" spans="1:7">
      <c r="A627" s="3">
        <v>14</v>
      </c>
      <c r="B627" s="3">
        <v>4</v>
      </c>
      <c r="C627" s="3">
        <v>42</v>
      </c>
      <c r="D627" s="3">
        <v>10</v>
      </c>
      <c r="E627" s="3">
        <v>51.397</v>
      </c>
      <c r="F627" s="4" t="str">
        <f>HYPERLINK("http://141.218.60.56/~jnz1568/getInfo.php?workbook=14_04.xlsx&amp;sheet=A0&amp;row=627&amp;col=6&amp;number=1017000000&amp;sourceID=14","1017000000")</f>
        <v>1017000000</v>
      </c>
      <c r="G627" s="4" t="str">
        <f>HYPERLINK("http://141.218.60.56/~jnz1568/getInfo.php?workbook=14_04.xlsx&amp;sheet=A0&amp;row=627&amp;col=7&amp;number=0&amp;sourceID=14","0")</f>
        <v>0</v>
      </c>
    </row>
    <row r="628" spans="1:7">
      <c r="A628" s="3">
        <v>14</v>
      </c>
      <c r="B628" s="3">
        <v>4</v>
      </c>
      <c r="C628" s="3">
        <v>46</v>
      </c>
      <c r="D628" s="3">
        <v>10</v>
      </c>
      <c r="E628" s="3">
        <v>50.617</v>
      </c>
      <c r="F628" s="4" t="str">
        <f>HYPERLINK("http://141.218.60.56/~jnz1568/getInfo.php?workbook=14_04.xlsx&amp;sheet=A0&amp;row=628&amp;col=6&amp;number=1122000000000&amp;sourceID=14","1122000000000")</f>
        <v>1122000000000</v>
      </c>
      <c r="G628" s="4" t="str">
        <f>HYPERLINK("http://141.218.60.56/~jnz1568/getInfo.php?workbook=14_04.xlsx&amp;sheet=A0&amp;row=628&amp;col=7&amp;number=0&amp;sourceID=14","0")</f>
        <v>0</v>
      </c>
    </row>
    <row r="629" spans="1:7">
      <c r="A629" s="3">
        <v>14</v>
      </c>
      <c r="B629" s="3">
        <v>4</v>
      </c>
      <c r="C629" s="3">
        <v>47</v>
      </c>
      <c r="D629" s="3">
        <v>10</v>
      </c>
      <c r="E629" s="3">
        <v>42.944</v>
      </c>
      <c r="F629" s="4" t="str">
        <f>HYPERLINK("http://141.218.60.56/~jnz1568/getInfo.php?workbook=14_04.xlsx&amp;sheet=A0&amp;row=629&amp;col=6&amp;number=4.28e-07&amp;sourceID=14","4.28e-07")</f>
        <v>4.28e-07</v>
      </c>
      <c r="G629" s="4" t="str">
        <f>HYPERLINK("http://141.218.60.56/~jnz1568/getInfo.php?workbook=14_04.xlsx&amp;sheet=A0&amp;row=629&amp;col=7&amp;number=0&amp;sourceID=14","0")</f>
        <v>0</v>
      </c>
    </row>
    <row r="630" spans="1:7">
      <c r="A630" s="3">
        <v>14</v>
      </c>
      <c r="B630" s="3">
        <v>4</v>
      </c>
      <c r="C630" s="3">
        <v>50</v>
      </c>
      <c r="D630" s="3">
        <v>10</v>
      </c>
      <c r="E630" s="3">
        <v>42.058</v>
      </c>
      <c r="F630" s="4" t="str">
        <f>HYPERLINK("http://141.218.60.56/~jnz1568/getInfo.php?workbook=14_04.xlsx&amp;sheet=A0&amp;row=630&amp;col=6&amp;number=190400000&amp;sourceID=14","190400000")</f>
        <v>190400000</v>
      </c>
      <c r="G630" s="4" t="str">
        <f>HYPERLINK("http://141.218.60.56/~jnz1568/getInfo.php?workbook=14_04.xlsx&amp;sheet=A0&amp;row=630&amp;col=7&amp;number=0&amp;sourceID=14","0")</f>
        <v>0</v>
      </c>
    </row>
    <row r="631" spans="1:7">
      <c r="A631" s="3">
        <v>14</v>
      </c>
      <c r="B631" s="3">
        <v>4</v>
      </c>
      <c r="C631" s="3">
        <v>52</v>
      </c>
      <c r="D631" s="3">
        <v>10</v>
      </c>
      <c r="E631" s="3">
        <v>42.12</v>
      </c>
      <c r="F631" s="4" t="str">
        <f>HYPERLINK("http://141.218.60.56/~jnz1568/getInfo.php?workbook=14_04.xlsx&amp;sheet=A0&amp;row=631&amp;col=6&amp;number=15550000000&amp;sourceID=14","15550000000")</f>
        <v>15550000000</v>
      </c>
      <c r="G631" s="4" t="str">
        <f>HYPERLINK("http://141.218.60.56/~jnz1568/getInfo.php?workbook=14_04.xlsx&amp;sheet=A0&amp;row=631&amp;col=7&amp;number=0&amp;sourceID=14","0")</f>
        <v>0</v>
      </c>
    </row>
    <row r="632" spans="1:7">
      <c r="A632" s="3">
        <v>14</v>
      </c>
      <c r="B632" s="3">
        <v>4</v>
      </c>
      <c r="C632" s="3">
        <v>53</v>
      </c>
      <c r="D632" s="3">
        <v>10</v>
      </c>
      <c r="E632" s="3">
        <v>41.838</v>
      </c>
      <c r="F632" s="4" t="str">
        <f>HYPERLINK("http://141.218.60.56/~jnz1568/getInfo.php?workbook=14_04.xlsx&amp;sheet=A0&amp;row=632&amp;col=6&amp;number=5.422e-05&amp;sourceID=14","5.422e-05")</f>
        <v>5.422e-05</v>
      </c>
      <c r="G632" s="4" t="str">
        <f>HYPERLINK("http://141.218.60.56/~jnz1568/getInfo.php?workbook=14_04.xlsx&amp;sheet=A0&amp;row=632&amp;col=7&amp;number=0&amp;sourceID=14","0")</f>
        <v>0</v>
      </c>
    </row>
    <row r="633" spans="1:7">
      <c r="A633" s="3">
        <v>14</v>
      </c>
      <c r="B633" s="3">
        <v>4</v>
      </c>
      <c r="C633" s="3">
        <v>54</v>
      </c>
      <c r="D633" s="3">
        <v>10</v>
      </c>
      <c r="E633" s="3">
        <v>41.838</v>
      </c>
      <c r="F633" s="4" t="str">
        <f>HYPERLINK("http://141.218.60.56/~jnz1568/getInfo.php?workbook=14_04.xlsx&amp;sheet=A0&amp;row=633&amp;col=6&amp;number=15.62&amp;sourceID=14","15.62")</f>
        <v>15.62</v>
      </c>
      <c r="G633" s="4" t="str">
        <f>HYPERLINK("http://141.218.60.56/~jnz1568/getInfo.php?workbook=14_04.xlsx&amp;sheet=A0&amp;row=633&amp;col=7&amp;number=0&amp;sourceID=14","0")</f>
        <v>0</v>
      </c>
    </row>
    <row r="634" spans="1:7">
      <c r="A634" s="3">
        <v>14</v>
      </c>
      <c r="B634" s="3">
        <v>4</v>
      </c>
      <c r="C634" s="3">
        <v>56</v>
      </c>
      <c r="D634" s="3">
        <v>10</v>
      </c>
      <c r="E634" s="3">
        <v>41.637</v>
      </c>
      <c r="F634" s="4" t="str">
        <f>HYPERLINK("http://141.218.60.56/~jnz1568/getInfo.php?workbook=14_04.xlsx&amp;sheet=A0&amp;row=634&amp;col=6&amp;number=972100&amp;sourceID=14","972100")</f>
        <v>972100</v>
      </c>
      <c r="G634" s="4" t="str">
        <f>HYPERLINK("http://141.218.60.56/~jnz1568/getInfo.php?workbook=14_04.xlsx&amp;sheet=A0&amp;row=634&amp;col=7&amp;number=0&amp;sourceID=14","0")</f>
        <v>0</v>
      </c>
    </row>
    <row r="635" spans="1:7">
      <c r="A635" s="3">
        <v>14</v>
      </c>
      <c r="B635" s="3">
        <v>4</v>
      </c>
      <c r="C635" s="3">
        <v>58</v>
      </c>
      <c r="D635" s="3">
        <v>10</v>
      </c>
      <c r="E635" s="3">
        <v>-39.575</v>
      </c>
      <c r="F635" s="4" t="str">
        <f>HYPERLINK("http://141.218.60.56/~jnz1568/getInfo.php?workbook=14_04.xlsx&amp;sheet=A0&amp;row=635&amp;col=6&amp;number=2518000000&amp;sourceID=14","2518000000")</f>
        <v>2518000000</v>
      </c>
      <c r="G635" s="4" t="str">
        <f>HYPERLINK("http://141.218.60.56/~jnz1568/getInfo.php?workbook=14_04.xlsx&amp;sheet=A0&amp;row=635&amp;col=7&amp;number=0&amp;sourceID=14","0")</f>
        <v>0</v>
      </c>
    </row>
    <row r="636" spans="1:7">
      <c r="A636" s="3">
        <v>14</v>
      </c>
      <c r="B636" s="3">
        <v>4</v>
      </c>
      <c r="C636" s="3">
        <v>60</v>
      </c>
      <c r="D636" s="3">
        <v>10</v>
      </c>
      <c r="E636" s="3">
        <v>-39.374</v>
      </c>
      <c r="F636" s="4" t="str">
        <f>HYPERLINK("http://141.218.60.56/~jnz1568/getInfo.php?workbook=14_04.xlsx&amp;sheet=A0&amp;row=636&amp;col=6&amp;number=30940000000&amp;sourceID=14","30940000000")</f>
        <v>30940000000</v>
      </c>
      <c r="G636" s="4" t="str">
        <f>HYPERLINK("http://141.218.60.56/~jnz1568/getInfo.php?workbook=14_04.xlsx&amp;sheet=A0&amp;row=636&amp;col=7&amp;number=0&amp;sourceID=14","0")</f>
        <v>0</v>
      </c>
    </row>
    <row r="637" spans="1:7">
      <c r="A637" s="3">
        <v>14</v>
      </c>
      <c r="B637" s="3">
        <v>4</v>
      </c>
      <c r="C637" s="3">
        <v>61</v>
      </c>
      <c r="D637" s="3">
        <v>10</v>
      </c>
      <c r="E637" s="3">
        <v>-39.19</v>
      </c>
      <c r="F637" s="4" t="str">
        <f>HYPERLINK("http://141.218.60.56/~jnz1568/getInfo.php?workbook=14_04.xlsx&amp;sheet=A0&amp;row=637&amp;col=6&amp;number=8.171&amp;sourceID=14","8.171")</f>
        <v>8.171</v>
      </c>
      <c r="G637" s="4" t="str">
        <f>HYPERLINK("http://141.218.60.56/~jnz1568/getInfo.php?workbook=14_04.xlsx&amp;sheet=A0&amp;row=637&amp;col=7&amp;number=0&amp;sourceID=14","0")</f>
        <v>0</v>
      </c>
    </row>
    <row r="638" spans="1:7">
      <c r="A638" s="3">
        <v>14</v>
      </c>
      <c r="B638" s="3">
        <v>4</v>
      </c>
      <c r="C638" s="3">
        <v>62</v>
      </c>
      <c r="D638" s="3">
        <v>10</v>
      </c>
      <c r="E638" s="3">
        <v>-39.257</v>
      </c>
      <c r="F638" s="4" t="str">
        <f>HYPERLINK("http://141.218.60.56/~jnz1568/getInfo.php?workbook=14_04.xlsx&amp;sheet=A0&amp;row=638&amp;col=6&amp;number=0.08696&amp;sourceID=14","0.08696")</f>
        <v>0.08696</v>
      </c>
      <c r="G638" s="4" t="str">
        <f>HYPERLINK("http://141.218.60.56/~jnz1568/getInfo.php?workbook=14_04.xlsx&amp;sheet=A0&amp;row=638&amp;col=7&amp;number=0&amp;sourceID=14","0")</f>
        <v>0</v>
      </c>
    </row>
    <row r="639" spans="1:7">
      <c r="A639" s="3">
        <v>14</v>
      </c>
      <c r="B639" s="3">
        <v>4</v>
      </c>
      <c r="C639" s="3">
        <v>63</v>
      </c>
      <c r="D639" s="3">
        <v>10</v>
      </c>
      <c r="E639" s="3">
        <v>-39.186</v>
      </c>
      <c r="F639" s="4" t="str">
        <f>HYPERLINK("http://141.218.60.56/~jnz1568/getInfo.php?workbook=14_04.xlsx&amp;sheet=A0&amp;row=639&amp;col=6&amp;number=99670&amp;sourceID=14","99670")</f>
        <v>99670</v>
      </c>
      <c r="G639" s="4" t="str">
        <f>HYPERLINK("http://141.218.60.56/~jnz1568/getInfo.php?workbook=14_04.xlsx&amp;sheet=A0&amp;row=639&amp;col=7&amp;number=0&amp;sourceID=14","0")</f>
        <v>0</v>
      </c>
    </row>
    <row r="640" spans="1:7">
      <c r="A640" s="3">
        <v>14</v>
      </c>
      <c r="B640" s="3">
        <v>4</v>
      </c>
      <c r="C640" s="3">
        <v>65</v>
      </c>
      <c r="D640" s="3">
        <v>10</v>
      </c>
      <c r="E640" s="3">
        <v>-39.076</v>
      </c>
      <c r="F640" s="4" t="str">
        <f>HYPERLINK("http://141.218.60.56/~jnz1568/getInfo.php?workbook=14_04.xlsx&amp;sheet=A0&amp;row=640&amp;col=6&amp;number=28.58&amp;sourceID=14","28.58")</f>
        <v>28.58</v>
      </c>
      <c r="G640" s="4" t="str">
        <f>HYPERLINK("http://141.218.60.56/~jnz1568/getInfo.php?workbook=14_04.xlsx&amp;sheet=A0&amp;row=640&amp;col=7&amp;number=0&amp;sourceID=14","0")</f>
        <v>0</v>
      </c>
    </row>
    <row r="641" spans="1:7">
      <c r="A641" s="3">
        <v>14</v>
      </c>
      <c r="B641" s="3">
        <v>4</v>
      </c>
      <c r="C641" s="3">
        <v>67</v>
      </c>
      <c r="D641" s="3">
        <v>10</v>
      </c>
      <c r="E641" s="3">
        <v>-39.009</v>
      </c>
      <c r="F641" s="4" t="str">
        <f>HYPERLINK("http://141.218.60.56/~jnz1568/getInfo.php?workbook=14_04.xlsx&amp;sheet=A0&amp;row=641&amp;col=6&amp;number=74.26&amp;sourceID=14","74.26")</f>
        <v>74.26</v>
      </c>
      <c r="G641" s="4" t="str">
        <f>HYPERLINK("http://141.218.60.56/~jnz1568/getInfo.php?workbook=14_04.xlsx&amp;sheet=A0&amp;row=641&amp;col=7&amp;number=0&amp;sourceID=14","0")</f>
        <v>0</v>
      </c>
    </row>
    <row r="642" spans="1:7">
      <c r="A642" s="3">
        <v>14</v>
      </c>
      <c r="B642" s="3">
        <v>4</v>
      </c>
      <c r="C642" s="3">
        <v>68</v>
      </c>
      <c r="D642" s="3">
        <v>10</v>
      </c>
      <c r="E642" s="3">
        <v>-38.997</v>
      </c>
      <c r="F642" s="4" t="str">
        <f>HYPERLINK("http://141.218.60.56/~jnz1568/getInfo.php?workbook=14_04.xlsx&amp;sheet=A0&amp;row=642&amp;col=6&amp;number=161000&amp;sourceID=14","161000")</f>
        <v>161000</v>
      </c>
      <c r="G642" s="4" t="str">
        <f>HYPERLINK("http://141.218.60.56/~jnz1568/getInfo.php?workbook=14_04.xlsx&amp;sheet=A0&amp;row=642&amp;col=7&amp;number=0&amp;sourceID=14","0")</f>
        <v>0</v>
      </c>
    </row>
    <row r="643" spans="1:7">
      <c r="A643" s="3">
        <v>14</v>
      </c>
      <c r="B643" s="3">
        <v>4</v>
      </c>
      <c r="C643" s="3">
        <v>72</v>
      </c>
      <c r="D643" s="3">
        <v>10</v>
      </c>
      <c r="E643" s="3">
        <v>-38.878</v>
      </c>
      <c r="F643" s="4" t="str">
        <f>HYPERLINK("http://141.218.60.56/~jnz1568/getInfo.php?workbook=14_04.xlsx&amp;sheet=A0&amp;row=643&amp;col=6&amp;number=2992000&amp;sourceID=14","2992000")</f>
        <v>2992000</v>
      </c>
      <c r="G643" s="4" t="str">
        <f>HYPERLINK("http://141.218.60.56/~jnz1568/getInfo.php?workbook=14_04.xlsx&amp;sheet=A0&amp;row=643&amp;col=7&amp;number=0&amp;sourceID=14","0")</f>
        <v>0</v>
      </c>
    </row>
    <row r="644" spans="1:7">
      <c r="A644" s="3">
        <v>14</v>
      </c>
      <c r="B644" s="3">
        <v>4</v>
      </c>
      <c r="C644" s="3">
        <v>74</v>
      </c>
      <c r="D644" s="3">
        <v>10</v>
      </c>
      <c r="E644" s="3">
        <v>-38.836</v>
      </c>
      <c r="F644" s="4" t="str">
        <f>HYPERLINK("http://141.218.60.56/~jnz1568/getInfo.php?workbook=14_04.xlsx&amp;sheet=A0&amp;row=644&amp;col=6&amp;number=10230000000&amp;sourceID=14","10230000000")</f>
        <v>10230000000</v>
      </c>
      <c r="G644" s="4" t="str">
        <f>HYPERLINK("http://141.218.60.56/~jnz1568/getInfo.php?workbook=14_04.xlsx&amp;sheet=A0&amp;row=644&amp;col=7&amp;number=0&amp;sourceID=14","0")</f>
        <v>0</v>
      </c>
    </row>
    <row r="645" spans="1:7">
      <c r="A645" s="3">
        <v>14</v>
      </c>
      <c r="B645" s="3">
        <v>4</v>
      </c>
      <c r="C645" s="3">
        <v>78</v>
      </c>
      <c r="D645" s="3">
        <v>10</v>
      </c>
      <c r="E645" s="3">
        <v>-38.718</v>
      </c>
      <c r="F645" s="4" t="str">
        <f>HYPERLINK("http://141.218.60.56/~jnz1568/getInfo.php?workbook=14_04.xlsx&amp;sheet=A0&amp;row=645&amp;col=6&amp;number=1020000000&amp;sourceID=14","1020000000")</f>
        <v>1020000000</v>
      </c>
      <c r="G645" s="4" t="str">
        <f>HYPERLINK("http://141.218.60.56/~jnz1568/getInfo.php?workbook=14_04.xlsx&amp;sheet=A0&amp;row=645&amp;col=7&amp;number=0&amp;sourceID=14","0")</f>
        <v>0</v>
      </c>
    </row>
    <row r="646" spans="1:7">
      <c r="A646" s="3">
        <v>14</v>
      </c>
      <c r="B646" s="3">
        <v>4</v>
      </c>
      <c r="C646" s="3">
        <v>82</v>
      </c>
      <c r="D646" s="3">
        <v>10</v>
      </c>
      <c r="E646" s="3">
        <v>-38.535</v>
      </c>
      <c r="F646" s="4" t="str">
        <f>HYPERLINK("http://141.218.60.56/~jnz1568/getInfo.php?workbook=14_04.xlsx&amp;sheet=A0&amp;row=646&amp;col=6&amp;number=398500000000&amp;sourceID=14","398500000000")</f>
        <v>398500000000</v>
      </c>
      <c r="G646" s="4" t="str">
        <f>HYPERLINK("http://141.218.60.56/~jnz1568/getInfo.php?workbook=14_04.xlsx&amp;sheet=A0&amp;row=646&amp;col=7&amp;number=0&amp;sourceID=14","0")</f>
        <v>0</v>
      </c>
    </row>
    <row r="647" spans="1:7">
      <c r="A647" s="3">
        <v>14</v>
      </c>
      <c r="B647" s="3">
        <v>4</v>
      </c>
      <c r="C647" s="3">
        <v>83</v>
      </c>
      <c r="D647" s="3">
        <v>10</v>
      </c>
      <c r="E647" s="3">
        <v>-37.651</v>
      </c>
      <c r="F647" s="4" t="str">
        <f>HYPERLINK("http://141.218.60.56/~jnz1568/getInfo.php?workbook=14_04.xlsx&amp;sheet=A0&amp;row=647&amp;col=6&amp;number=0.003767&amp;sourceID=14","0.003767")</f>
        <v>0.003767</v>
      </c>
      <c r="G647" s="4" t="str">
        <f>HYPERLINK("http://141.218.60.56/~jnz1568/getInfo.php?workbook=14_04.xlsx&amp;sheet=A0&amp;row=647&amp;col=7&amp;number=0&amp;sourceID=14","0")</f>
        <v>0</v>
      </c>
    </row>
    <row r="648" spans="1:7">
      <c r="A648" s="3">
        <v>14</v>
      </c>
      <c r="B648" s="3">
        <v>4</v>
      </c>
      <c r="C648" s="3">
        <v>86</v>
      </c>
      <c r="D648" s="3">
        <v>10</v>
      </c>
      <c r="E648" s="3">
        <v>-37.444</v>
      </c>
      <c r="F648" s="4" t="str">
        <f>HYPERLINK("http://141.218.60.56/~jnz1568/getInfo.php?workbook=14_04.xlsx&amp;sheet=A0&amp;row=648&amp;col=6&amp;number=109600000&amp;sourceID=14","109600000")</f>
        <v>109600000</v>
      </c>
      <c r="G648" s="4" t="str">
        <f>HYPERLINK("http://141.218.60.56/~jnz1568/getInfo.php?workbook=14_04.xlsx&amp;sheet=A0&amp;row=648&amp;col=7&amp;number=0&amp;sourceID=14","0")</f>
        <v>0</v>
      </c>
    </row>
    <row r="649" spans="1:7">
      <c r="A649" s="3">
        <v>14</v>
      </c>
      <c r="B649" s="3">
        <v>4</v>
      </c>
      <c r="C649" s="3">
        <v>88</v>
      </c>
      <c r="D649" s="3">
        <v>10</v>
      </c>
      <c r="E649" s="3">
        <v>-37.404</v>
      </c>
      <c r="F649" s="4" t="str">
        <f>HYPERLINK("http://141.218.60.56/~jnz1568/getInfo.php?workbook=14_04.xlsx&amp;sheet=A0&amp;row=649&amp;col=6&amp;number=29760000000&amp;sourceID=14","29760000000")</f>
        <v>29760000000</v>
      </c>
      <c r="G649" s="4" t="str">
        <f>HYPERLINK("http://141.218.60.56/~jnz1568/getInfo.php?workbook=14_04.xlsx&amp;sheet=A0&amp;row=649&amp;col=7&amp;number=0&amp;sourceID=14","0")</f>
        <v>0</v>
      </c>
    </row>
    <row r="650" spans="1:7">
      <c r="A650" s="3">
        <v>14</v>
      </c>
      <c r="B650" s="3">
        <v>4</v>
      </c>
      <c r="C650" s="3">
        <v>89</v>
      </c>
      <c r="D650" s="3">
        <v>10</v>
      </c>
      <c r="E650" s="3">
        <v>-37.326</v>
      </c>
      <c r="F650" s="4" t="str">
        <f>HYPERLINK("http://141.218.60.56/~jnz1568/getInfo.php?workbook=14_04.xlsx&amp;sheet=A0&amp;row=650&amp;col=6&amp;number=3.033e-07&amp;sourceID=14","3.033e-07")</f>
        <v>3.033e-07</v>
      </c>
      <c r="G650" s="4" t="str">
        <f>HYPERLINK("http://141.218.60.56/~jnz1568/getInfo.php?workbook=14_04.xlsx&amp;sheet=A0&amp;row=650&amp;col=7&amp;number=0&amp;sourceID=14","0")</f>
        <v>0</v>
      </c>
    </row>
    <row r="651" spans="1:7">
      <c r="A651" s="3">
        <v>14</v>
      </c>
      <c r="B651" s="3">
        <v>4</v>
      </c>
      <c r="C651" s="3">
        <v>90</v>
      </c>
      <c r="D651" s="3">
        <v>10</v>
      </c>
      <c r="E651" s="3">
        <v>37.089</v>
      </c>
      <c r="F651" s="4" t="str">
        <f>HYPERLINK("http://141.218.60.56/~jnz1568/getInfo.php?workbook=14_04.xlsx&amp;sheet=A0&amp;row=651&amp;col=6&amp;number=1021&amp;sourceID=14","1021")</f>
        <v>1021</v>
      </c>
      <c r="G651" s="4" t="str">
        <f>HYPERLINK("http://141.218.60.56/~jnz1568/getInfo.php?workbook=14_04.xlsx&amp;sheet=A0&amp;row=651&amp;col=7&amp;number=0&amp;sourceID=14","0")</f>
        <v>0</v>
      </c>
    </row>
    <row r="652" spans="1:7">
      <c r="A652" s="3">
        <v>14</v>
      </c>
      <c r="B652" s="3">
        <v>4</v>
      </c>
      <c r="C652" s="3">
        <v>92</v>
      </c>
      <c r="D652" s="3">
        <v>10</v>
      </c>
      <c r="E652" s="3">
        <v>37.036</v>
      </c>
      <c r="F652" s="4" t="str">
        <f>HYPERLINK("http://141.218.60.56/~jnz1568/getInfo.php?workbook=14_04.xlsx&amp;sheet=A0&amp;row=652&amp;col=6&amp;number=5148000&amp;sourceID=14","5148000")</f>
        <v>5148000</v>
      </c>
      <c r="G652" s="4" t="str">
        <f>HYPERLINK("http://141.218.60.56/~jnz1568/getInfo.php?workbook=14_04.xlsx&amp;sheet=A0&amp;row=652&amp;col=7&amp;number=0&amp;sourceID=14","0")</f>
        <v>0</v>
      </c>
    </row>
    <row r="653" spans="1:7">
      <c r="A653" s="3">
        <v>14</v>
      </c>
      <c r="B653" s="3">
        <v>4</v>
      </c>
      <c r="C653" s="3">
        <v>12</v>
      </c>
      <c r="D653" s="3">
        <v>11</v>
      </c>
      <c r="E653" s="3">
        <v>3649.908</v>
      </c>
      <c r="F653" s="4" t="str">
        <f>HYPERLINK("http://141.218.60.56/~jnz1568/getInfo.php?workbook=14_04.xlsx&amp;sheet=A0&amp;row=653&amp;col=6&amp;number=1.724e-08&amp;sourceID=14","1.724e-08")</f>
        <v>1.724e-08</v>
      </c>
      <c r="G653" s="4" t="str">
        <f>HYPERLINK("http://141.218.60.56/~jnz1568/getInfo.php?workbook=14_04.xlsx&amp;sheet=A0&amp;row=653&amp;col=7&amp;number=0&amp;sourceID=14","0")</f>
        <v>0</v>
      </c>
    </row>
    <row r="654" spans="1:7">
      <c r="A654" s="3">
        <v>14</v>
      </c>
      <c r="B654" s="3">
        <v>4</v>
      </c>
      <c r="C654" s="3">
        <v>13</v>
      </c>
      <c r="D654" s="3">
        <v>11</v>
      </c>
      <c r="E654" s="3">
        <v>1407.125</v>
      </c>
      <c r="F654" s="4" t="str">
        <f>HYPERLINK("http://141.218.60.56/~jnz1568/getInfo.php?workbook=14_04.xlsx&amp;sheet=A0&amp;row=654&amp;col=6&amp;number=19720000&amp;sourceID=14","19720000")</f>
        <v>19720000</v>
      </c>
      <c r="G654" s="4" t="str">
        <f>HYPERLINK("http://141.218.60.56/~jnz1568/getInfo.php?workbook=14_04.xlsx&amp;sheet=A0&amp;row=654&amp;col=7&amp;number=0&amp;sourceID=14","0")</f>
        <v>0</v>
      </c>
    </row>
    <row r="655" spans="1:7">
      <c r="A655" s="3">
        <v>14</v>
      </c>
      <c r="B655" s="3">
        <v>4</v>
      </c>
      <c r="C655" s="3">
        <v>14</v>
      </c>
      <c r="D655" s="3">
        <v>11</v>
      </c>
      <c r="E655" s="3">
        <v>-1265.751</v>
      </c>
      <c r="F655" s="4" t="str">
        <f>HYPERLINK("http://141.218.60.56/~jnz1568/getInfo.php?workbook=14_04.xlsx&amp;sheet=A0&amp;row=655&amp;col=6&amp;number=349800000&amp;sourceID=14","349800000")</f>
        <v>349800000</v>
      </c>
      <c r="G655" s="4" t="str">
        <f>HYPERLINK("http://141.218.60.56/~jnz1568/getInfo.php?workbook=14_04.xlsx&amp;sheet=A0&amp;row=655&amp;col=7&amp;number=0&amp;sourceID=14","0")</f>
        <v>0</v>
      </c>
    </row>
    <row r="656" spans="1:7">
      <c r="A656" s="3">
        <v>14</v>
      </c>
      <c r="B656" s="3">
        <v>4</v>
      </c>
      <c r="C656" s="3">
        <v>15</v>
      </c>
      <c r="D656" s="3">
        <v>11</v>
      </c>
      <c r="E656" s="3">
        <v>1343.15</v>
      </c>
      <c r="F656" s="4" t="str">
        <f>HYPERLINK("http://141.218.60.56/~jnz1568/getInfo.php?workbook=14_04.xlsx&amp;sheet=A0&amp;row=656&amp;col=6&amp;number=270300000&amp;sourceID=14","270300000")</f>
        <v>270300000</v>
      </c>
      <c r="G656" s="4" t="str">
        <f>HYPERLINK("http://141.218.60.56/~jnz1568/getInfo.php?workbook=14_04.xlsx&amp;sheet=A0&amp;row=656&amp;col=7&amp;number=0&amp;sourceID=14","0")</f>
        <v>0</v>
      </c>
    </row>
    <row r="657" spans="1:7">
      <c r="A657" s="3">
        <v>14</v>
      </c>
      <c r="B657" s="3">
        <v>4</v>
      </c>
      <c r="C657" s="3">
        <v>16</v>
      </c>
      <c r="D657" s="3">
        <v>11</v>
      </c>
      <c r="E657" s="3">
        <v>1364.575</v>
      </c>
      <c r="F657" s="4" t="str">
        <f>HYPERLINK("http://141.218.60.56/~jnz1568/getInfo.php?workbook=14_04.xlsx&amp;sheet=A0&amp;row=657&amp;col=6&amp;number=279800000&amp;sourceID=14","279800000")</f>
        <v>279800000</v>
      </c>
      <c r="G657" s="4" t="str">
        <f>HYPERLINK("http://141.218.60.56/~jnz1568/getInfo.php?workbook=14_04.xlsx&amp;sheet=A0&amp;row=657&amp;col=7&amp;number=0&amp;sourceID=14","0")</f>
        <v>0</v>
      </c>
    </row>
    <row r="658" spans="1:7">
      <c r="A658" s="3">
        <v>14</v>
      </c>
      <c r="B658" s="3">
        <v>4</v>
      </c>
      <c r="C658" s="3">
        <v>17</v>
      </c>
      <c r="D658" s="3">
        <v>11</v>
      </c>
      <c r="E658" s="3">
        <v>860.157</v>
      </c>
      <c r="F658" s="4" t="str">
        <f>HYPERLINK("http://141.218.60.56/~jnz1568/getInfo.php?workbook=14_04.xlsx&amp;sheet=A0&amp;row=658&amp;col=6&amp;number=578.9&amp;sourceID=14","578.9")</f>
        <v>578.9</v>
      </c>
      <c r="G658" s="4" t="str">
        <f>HYPERLINK("http://141.218.60.56/~jnz1568/getInfo.php?workbook=14_04.xlsx&amp;sheet=A0&amp;row=658&amp;col=7&amp;number=0&amp;sourceID=14","0")</f>
        <v>0</v>
      </c>
    </row>
    <row r="659" spans="1:7">
      <c r="A659" s="3">
        <v>14</v>
      </c>
      <c r="B659" s="3">
        <v>4</v>
      </c>
      <c r="C659" s="3">
        <v>18</v>
      </c>
      <c r="D659" s="3">
        <v>11</v>
      </c>
      <c r="E659" s="3">
        <v>850.928</v>
      </c>
      <c r="F659" s="4" t="str">
        <f>HYPERLINK("http://141.218.60.56/~jnz1568/getInfo.php?workbook=14_04.xlsx&amp;sheet=A0&amp;row=659&amp;col=6&amp;number=611.2&amp;sourceID=14","611.2")</f>
        <v>611.2</v>
      </c>
      <c r="G659" s="4" t="str">
        <f>HYPERLINK("http://141.218.60.56/~jnz1568/getInfo.php?workbook=14_04.xlsx&amp;sheet=A0&amp;row=659&amp;col=7&amp;number=0&amp;sourceID=14","0")</f>
        <v>0</v>
      </c>
    </row>
    <row r="660" spans="1:7">
      <c r="A660" s="3">
        <v>14</v>
      </c>
      <c r="B660" s="3">
        <v>4</v>
      </c>
      <c r="C660" s="3">
        <v>19</v>
      </c>
      <c r="D660" s="3">
        <v>11</v>
      </c>
      <c r="E660" s="3">
        <v>848.509</v>
      </c>
      <c r="F660" s="4" t="str">
        <f>HYPERLINK("http://141.218.60.56/~jnz1568/getInfo.php?workbook=14_04.xlsx&amp;sheet=A0&amp;row=660&amp;col=6&amp;number=620.4&amp;sourceID=14","620.4")</f>
        <v>620.4</v>
      </c>
      <c r="G660" s="4" t="str">
        <f>HYPERLINK("http://141.218.60.56/~jnz1568/getInfo.php?workbook=14_04.xlsx&amp;sheet=A0&amp;row=660&amp;col=7&amp;number=0&amp;sourceID=14","0")</f>
        <v>0</v>
      </c>
    </row>
    <row r="661" spans="1:7">
      <c r="A661" s="3">
        <v>14</v>
      </c>
      <c r="B661" s="3">
        <v>4</v>
      </c>
      <c r="C661" s="3">
        <v>20</v>
      </c>
      <c r="D661" s="3">
        <v>11</v>
      </c>
      <c r="E661" s="3">
        <v>674.142</v>
      </c>
      <c r="F661" s="4" t="str">
        <f>HYPERLINK("http://141.218.60.56/~jnz1568/getInfo.php?workbook=14_04.xlsx&amp;sheet=A0&amp;row=661&amp;col=6&amp;number=0.1485&amp;sourceID=14","0.1485")</f>
        <v>0.1485</v>
      </c>
      <c r="G661" s="4" t="str">
        <f>HYPERLINK("http://141.218.60.56/~jnz1568/getInfo.php?workbook=14_04.xlsx&amp;sheet=A0&amp;row=661&amp;col=7&amp;number=0&amp;sourceID=14","0")</f>
        <v>0</v>
      </c>
    </row>
    <row r="662" spans="1:7">
      <c r="A662" s="3">
        <v>14</v>
      </c>
      <c r="B662" s="3">
        <v>4</v>
      </c>
      <c r="C662" s="3">
        <v>21</v>
      </c>
      <c r="D662" s="3">
        <v>11</v>
      </c>
      <c r="E662" s="3">
        <v>473.717</v>
      </c>
      <c r="F662" s="4" t="str">
        <f>HYPERLINK("http://141.218.60.56/~jnz1568/getInfo.php?workbook=14_04.xlsx&amp;sheet=A0&amp;row=662&amp;col=6&amp;number=992400000&amp;sourceID=14","992400000")</f>
        <v>992400000</v>
      </c>
      <c r="G662" s="4" t="str">
        <f>HYPERLINK("http://141.218.60.56/~jnz1568/getInfo.php?workbook=14_04.xlsx&amp;sheet=A0&amp;row=662&amp;col=7&amp;number=0&amp;sourceID=14","0")</f>
        <v>0</v>
      </c>
    </row>
    <row r="663" spans="1:7">
      <c r="A663" s="3">
        <v>14</v>
      </c>
      <c r="B663" s="3">
        <v>4</v>
      </c>
      <c r="C663" s="3">
        <v>22</v>
      </c>
      <c r="D663" s="3">
        <v>11</v>
      </c>
      <c r="E663" s="3">
        <v>-459.341</v>
      </c>
      <c r="F663" s="4" t="str">
        <f>HYPERLINK("http://141.218.60.56/~jnz1568/getInfo.php?workbook=14_04.xlsx&amp;sheet=A0&amp;row=663&amp;col=6&amp;number=1075000000&amp;sourceID=14","1075000000")</f>
        <v>1075000000</v>
      </c>
      <c r="G663" s="4" t="str">
        <f>HYPERLINK("http://141.218.60.56/~jnz1568/getInfo.php?workbook=14_04.xlsx&amp;sheet=A0&amp;row=663&amp;col=7&amp;number=0&amp;sourceID=14","0")</f>
        <v>0</v>
      </c>
    </row>
    <row r="664" spans="1:7">
      <c r="A664" s="3">
        <v>14</v>
      </c>
      <c r="B664" s="3">
        <v>4</v>
      </c>
      <c r="C664" s="3">
        <v>23</v>
      </c>
      <c r="D664" s="3">
        <v>11</v>
      </c>
      <c r="E664" s="3">
        <v>-447.62</v>
      </c>
      <c r="F664" s="4" t="str">
        <f>HYPERLINK("http://141.218.60.56/~jnz1568/getInfo.php?workbook=14_04.xlsx&amp;sheet=A0&amp;row=664&amp;col=6&amp;number=1163000000&amp;sourceID=14","1163000000")</f>
        <v>1163000000</v>
      </c>
      <c r="G664" s="4" t="str">
        <f>HYPERLINK("http://141.218.60.56/~jnz1568/getInfo.php?workbook=14_04.xlsx&amp;sheet=A0&amp;row=664&amp;col=7&amp;number=0&amp;sourceID=14","0")</f>
        <v>0</v>
      </c>
    </row>
    <row r="665" spans="1:7">
      <c r="A665" s="3">
        <v>14</v>
      </c>
      <c r="B665" s="3">
        <v>4</v>
      </c>
      <c r="C665" s="3">
        <v>24</v>
      </c>
      <c r="D665" s="3">
        <v>11</v>
      </c>
      <c r="E665" s="3">
        <v>-393.744</v>
      </c>
      <c r="F665" s="4" t="str">
        <f>HYPERLINK("http://141.218.60.56/~jnz1568/getInfo.php?workbook=14_04.xlsx&amp;sheet=A0&amp;row=665&amp;col=6&amp;number=15460000&amp;sourceID=14","15460000")</f>
        <v>15460000</v>
      </c>
      <c r="G665" s="4" t="str">
        <f>HYPERLINK("http://141.218.60.56/~jnz1568/getInfo.php?workbook=14_04.xlsx&amp;sheet=A0&amp;row=665&amp;col=7&amp;number=0&amp;sourceID=14","0")</f>
        <v>0</v>
      </c>
    </row>
    <row r="666" spans="1:7">
      <c r="A666" s="3">
        <v>14</v>
      </c>
      <c r="B666" s="3">
        <v>4</v>
      </c>
      <c r="C666" s="3">
        <v>25</v>
      </c>
      <c r="D666" s="3">
        <v>11</v>
      </c>
      <c r="E666" s="3">
        <v>-379.387</v>
      </c>
      <c r="F666" s="4" t="str">
        <f>HYPERLINK("http://141.218.60.56/~jnz1568/getInfo.php?workbook=14_04.xlsx&amp;sheet=A0&amp;row=666&amp;col=6&amp;number=2.561&amp;sourceID=14","2.561")</f>
        <v>2.561</v>
      </c>
      <c r="G666" s="4" t="str">
        <f>HYPERLINK("http://141.218.60.56/~jnz1568/getInfo.php?workbook=14_04.xlsx&amp;sheet=A0&amp;row=666&amp;col=7&amp;number=0&amp;sourceID=14","0")</f>
        <v>0</v>
      </c>
    </row>
    <row r="667" spans="1:7">
      <c r="A667" s="3">
        <v>14</v>
      </c>
      <c r="B667" s="3">
        <v>4</v>
      </c>
      <c r="C667" s="3">
        <v>26</v>
      </c>
      <c r="D667" s="3">
        <v>11</v>
      </c>
      <c r="E667" s="3">
        <v>-367.195</v>
      </c>
      <c r="F667" s="4" t="str">
        <f>HYPERLINK("http://141.218.60.56/~jnz1568/getInfo.php?workbook=14_04.xlsx&amp;sheet=A0&amp;row=667&amp;col=6&amp;number=0.6869&amp;sourceID=14","0.6869")</f>
        <v>0.6869</v>
      </c>
      <c r="G667" s="4" t="str">
        <f>HYPERLINK("http://141.218.60.56/~jnz1568/getInfo.php?workbook=14_04.xlsx&amp;sheet=A0&amp;row=667&amp;col=7&amp;number=0&amp;sourceID=14","0")</f>
        <v>0</v>
      </c>
    </row>
    <row r="668" spans="1:7">
      <c r="A668" s="3">
        <v>14</v>
      </c>
      <c r="B668" s="3">
        <v>4</v>
      </c>
      <c r="C668" s="3">
        <v>27</v>
      </c>
      <c r="D668" s="3">
        <v>11</v>
      </c>
      <c r="E668" s="3">
        <v>373.684</v>
      </c>
      <c r="F668" s="4" t="str">
        <f>HYPERLINK("http://141.218.60.56/~jnz1568/getInfo.php?workbook=14_04.xlsx&amp;sheet=A0&amp;row=668&amp;col=6&amp;number=0.05228&amp;sourceID=14","0.05228")</f>
        <v>0.05228</v>
      </c>
      <c r="G668" s="4" t="str">
        <f>HYPERLINK("http://141.218.60.56/~jnz1568/getInfo.php?workbook=14_04.xlsx&amp;sheet=A0&amp;row=668&amp;col=7&amp;number=0&amp;sourceID=14","0")</f>
        <v>0</v>
      </c>
    </row>
    <row r="669" spans="1:7">
      <c r="A669" s="3">
        <v>14</v>
      </c>
      <c r="B669" s="3">
        <v>4</v>
      </c>
      <c r="C669" s="3">
        <v>28</v>
      </c>
      <c r="D669" s="3">
        <v>11</v>
      </c>
      <c r="E669" s="3">
        <v>369.57</v>
      </c>
      <c r="F669" s="4" t="str">
        <f>HYPERLINK("http://141.218.60.56/~jnz1568/getInfo.php?workbook=14_04.xlsx&amp;sheet=A0&amp;row=669&amp;col=6&amp;number=0.167&amp;sourceID=14","0.167")</f>
        <v>0.167</v>
      </c>
      <c r="G669" s="4" t="str">
        <f>HYPERLINK("http://141.218.60.56/~jnz1568/getInfo.php?workbook=14_04.xlsx&amp;sheet=A0&amp;row=669&amp;col=7&amp;number=0&amp;sourceID=14","0")</f>
        <v>0</v>
      </c>
    </row>
    <row r="670" spans="1:7">
      <c r="A670" s="3">
        <v>14</v>
      </c>
      <c r="B670" s="3">
        <v>4</v>
      </c>
      <c r="C670" s="3">
        <v>29</v>
      </c>
      <c r="D670" s="3">
        <v>11</v>
      </c>
      <c r="E670" s="3">
        <v>349.931</v>
      </c>
      <c r="F670" s="4" t="str">
        <f>HYPERLINK("http://141.218.60.56/~jnz1568/getInfo.php?workbook=14_04.xlsx&amp;sheet=A0&amp;row=670&amp;col=6&amp;number=0.005265&amp;sourceID=14","0.005265")</f>
        <v>0.005265</v>
      </c>
      <c r="G670" s="4" t="str">
        <f>HYPERLINK("http://141.218.60.56/~jnz1568/getInfo.php?workbook=14_04.xlsx&amp;sheet=A0&amp;row=670&amp;col=7&amp;number=0&amp;sourceID=14","0")</f>
        <v>0</v>
      </c>
    </row>
    <row r="671" spans="1:7">
      <c r="A671" s="3">
        <v>14</v>
      </c>
      <c r="B671" s="3">
        <v>4</v>
      </c>
      <c r="C671" s="3">
        <v>30</v>
      </c>
      <c r="D671" s="3">
        <v>11</v>
      </c>
      <c r="E671" s="3">
        <v>-333.486</v>
      </c>
      <c r="F671" s="4" t="str">
        <f>HYPERLINK("http://141.218.60.56/~jnz1568/getInfo.php?workbook=14_04.xlsx&amp;sheet=A0&amp;row=671&amp;col=6&amp;number=1.961&amp;sourceID=14","1.961")</f>
        <v>1.961</v>
      </c>
      <c r="G671" s="4" t="str">
        <f>HYPERLINK("http://141.218.60.56/~jnz1568/getInfo.php?workbook=14_04.xlsx&amp;sheet=A0&amp;row=671&amp;col=7&amp;number=0&amp;sourceID=14","0")</f>
        <v>0</v>
      </c>
    </row>
    <row r="672" spans="1:7">
      <c r="A672" s="3">
        <v>14</v>
      </c>
      <c r="B672" s="3">
        <v>4</v>
      </c>
      <c r="C672" s="3">
        <v>31</v>
      </c>
      <c r="D672" s="3">
        <v>11</v>
      </c>
      <c r="E672" s="3">
        <v>335.918</v>
      </c>
      <c r="F672" s="4" t="str">
        <f>HYPERLINK("http://141.218.60.56/~jnz1568/getInfo.php?workbook=14_04.xlsx&amp;sheet=A0&amp;row=672&amp;col=6&amp;number=0.4004&amp;sourceID=14","0.4004")</f>
        <v>0.4004</v>
      </c>
      <c r="G672" s="4" t="str">
        <f>HYPERLINK("http://141.218.60.56/~jnz1568/getInfo.php?workbook=14_04.xlsx&amp;sheet=A0&amp;row=672&amp;col=7&amp;number=0&amp;sourceID=14","0")</f>
        <v>0</v>
      </c>
    </row>
    <row r="673" spans="1:7">
      <c r="A673" s="3">
        <v>14</v>
      </c>
      <c r="B673" s="3">
        <v>4</v>
      </c>
      <c r="C673" s="3">
        <v>32</v>
      </c>
      <c r="D673" s="3">
        <v>11</v>
      </c>
      <c r="E673" s="3">
        <v>335.851</v>
      </c>
      <c r="F673" s="4" t="str">
        <f>HYPERLINK("http://141.218.60.56/~jnz1568/getInfo.php?workbook=14_04.xlsx&amp;sheet=A0&amp;row=673&amp;col=6&amp;number=0.4879&amp;sourceID=14","0.4879")</f>
        <v>0.4879</v>
      </c>
      <c r="G673" s="4" t="str">
        <f>HYPERLINK("http://141.218.60.56/~jnz1568/getInfo.php?workbook=14_04.xlsx&amp;sheet=A0&amp;row=673&amp;col=7&amp;number=0&amp;sourceID=14","0")</f>
        <v>0</v>
      </c>
    </row>
    <row r="674" spans="1:7">
      <c r="A674" s="3">
        <v>14</v>
      </c>
      <c r="B674" s="3">
        <v>4</v>
      </c>
      <c r="C674" s="3">
        <v>33</v>
      </c>
      <c r="D674" s="3">
        <v>11</v>
      </c>
      <c r="E674" s="3">
        <v>-322.856</v>
      </c>
      <c r="F674" s="4" t="str">
        <f>HYPERLINK("http://141.218.60.56/~jnz1568/getInfo.php?workbook=14_04.xlsx&amp;sheet=A0&amp;row=674&amp;col=6&amp;number=76250&amp;sourceID=14","76250")</f>
        <v>76250</v>
      </c>
      <c r="G674" s="4" t="str">
        <f>HYPERLINK("http://141.218.60.56/~jnz1568/getInfo.php?workbook=14_04.xlsx&amp;sheet=A0&amp;row=674&amp;col=7&amp;number=0&amp;sourceID=14","0")</f>
        <v>0</v>
      </c>
    </row>
    <row r="675" spans="1:7">
      <c r="A675" s="3">
        <v>14</v>
      </c>
      <c r="B675" s="3">
        <v>4</v>
      </c>
      <c r="C675" s="3">
        <v>35</v>
      </c>
      <c r="D675" s="3">
        <v>11</v>
      </c>
      <c r="E675" s="3">
        <v>322.173</v>
      </c>
      <c r="F675" s="4" t="str">
        <f>HYPERLINK("http://141.218.60.56/~jnz1568/getInfo.php?workbook=14_04.xlsx&amp;sheet=A0&amp;row=675&amp;col=6&amp;number=655300&amp;sourceID=14","655300")</f>
        <v>655300</v>
      </c>
      <c r="G675" s="4" t="str">
        <f>HYPERLINK("http://141.218.60.56/~jnz1568/getInfo.php?workbook=14_04.xlsx&amp;sheet=A0&amp;row=675&amp;col=7&amp;number=0&amp;sourceID=14","0")</f>
        <v>0</v>
      </c>
    </row>
    <row r="676" spans="1:7">
      <c r="A676" s="3">
        <v>14</v>
      </c>
      <c r="B676" s="3">
        <v>4</v>
      </c>
      <c r="C676" s="3">
        <v>37</v>
      </c>
      <c r="D676" s="3">
        <v>11</v>
      </c>
      <c r="E676" s="3">
        <v>314.691</v>
      </c>
      <c r="F676" s="4" t="str">
        <f>HYPERLINK("http://141.218.60.56/~jnz1568/getInfo.php?workbook=14_04.xlsx&amp;sheet=A0&amp;row=676&amp;col=6&amp;number=0.007849&amp;sourceID=14","0.007849")</f>
        <v>0.007849</v>
      </c>
      <c r="G676" s="4" t="str">
        <f>HYPERLINK("http://141.218.60.56/~jnz1568/getInfo.php?workbook=14_04.xlsx&amp;sheet=A0&amp;row=676&amp;col=7&amp;number=0&amp;sourceID=14","0")</f>
        <v>0</v>
      </c>
    </row>
    <row r="677" spans="1:7">
      <c r="A677" s="3">
        <v>14</v>
      </c>
      <c r="B677" s="3">
        <v>4</v>
      </c>
      <c r="C677" s="3">
        <v>38</v>
      </c>
      <c r="D677" s="3">
        <v>11</v>
      </c>
      <c r="E677" s="3">
        <v>-296.245</v>
      </c>
      <c r="F677" s="4" t="str">
        <f>HYPERLINK("http://141.218.60.56/~jnz1568/getInfo.php?workbook=14_04.xlsx&amp;sheet=A0&amp;row=677&amp;col=6&amp;number=2947000&amp;sourceID=14","2947000")</f>
        <v>2947000</v>
      </c>
      <c r="G677" s="4" t="str">
        <f>HYPERLINK("http://141.218.60.56/~jnz1568/getInfo.php?workbook=14_04.xlsx&amp;sheet=A0&amp;row=677&amp;col=7&amp;number=0&amp;sourceID=14","0")</f>
        <v>0</v>
      </c>
    </row>
    <row r="678" spans="1:7">
      <c r="A678" s="3">
        <v>14</v>
      </c>
      <c r="B678" s="3">
        <v>4</v>
      </c>
      <c r="C678" s="3">
        <v>39</v>
      </c>
      <c r="D678" s="3">
        <v>11</v>
      </c>
      <c r="E678" s="3">
        <v>304.704</v>
      </c>
      <c r="F678" s="4" t="str">
        <f>HYPERLINK("http://141.218.60.56/~jnz1568/getInfo.php?workbook=14_04.xlsx&amp;sheet=A0&amp;row=678&amp;col=6&amp;number=6936000&amp;sourceID=14","6936000")</f>
        <v>6936000</v>
      </c>
      <c r="G678" s="4" t="str">
        <f>HYPERLINK("http://141.218.60.56/~jnz1568/getInfo.php?workbook=14_04.xlsx&amp;sheet=A0&amp;row=678&amp;col=7&amp;number=0&amp;sourceID=14","0")</f>
        <v>0</v>
      </c>
    </row>
    <row r="679" spans="1:7">
      <c r="A679" s="3">
        <v>14</v>
      </c>
      <c r="B679" s="3">
        <v>4</v>
      </c>
      <c r="C679" s="3">
        <v>41</v>
      </c>
      <c r="D679" s="3">
        <v>11</v>
      </c>
      <c r="E679" s="3">
        <v>292.293</v>
      </c>
      <c r="F679" s="4" t="str">
        <f>HYPERLINK("http://141.218.60.56/~jnz1568/getInfo.php?workbook=14_04.xlsx&amp;sheet=A0&amp;row=679&amp;col=6&amp;number=68650000&amp;sourceID=14","68650000")</f>
        <v>68650000</v>
      </c>
      <c r="G679" s="4" t="str">
        <f>HYPERLINK("http://141.218.60.56/~jnz1568/getInfo.php?workbook=14_04.xlsx&amp;sheet=A0&amp;row=679&amp;col=7&amp;number=0&amp;sourceID=14","0")</f>
        <v>0</v>
      </c>
    </row>
    <row r="680" spans="1:7">
      <c r="A680" s="3">
        <v>14</v>
      </c>
      <c r="B680" s="3">
        <v>4</v>
      </c>
      <c r="C680" s="3">
        <v>42</v>
      </c>
      <c r="D680" s="3">
        <v>11</v>
      </c>
      <c r="E680" s="3">
        <v>294.822</v>
      </c>
      <c r="F680" s="4" t="str">
        <f>HYPERLINK("http://141.218.60.56/~jnz1568/getInfo.php?workbook=14_04.xlsx&amp;sheet=A0&amp;row=680&amp;col=6&amp;number=63570000&amp;sourceID=14","63570000")</f>
        <v>63570000</v>
      </c>
      <c r="G680" s="4" t="str">
        <f>HYPERLINK("http://141.218.60.56/~jnz1568/getInfo.php?workbook=14_04.xlsx&amp;sheet=A0&amp;row=680&amp;col=7&amp;number=0&amp;sourceID=14","0")</f>
        <v>0</v>
      </c>
    </row>
    <row r="681" spans="1:7">
      <c r="A681" s="3">
        <v>14</v>
      </c>
      <c r="B681" s="3">
        <v>4</v>
      </c>
      <c r="C681" s="3">
        <v>43</v>
      </c>
      <c r="D681" s="3">
        <v>11</v>
      </c>
      <c r="E681" s="3">
        <v>292.217</v>
      </c>
      <c r="F681" s="4" t="str">
        <f>HYPERLINK("http://141.218.60.56/~jnz1568/getInfo.php?workbook=14_04.xlsx&amp;sheet=A0&amp;row=681&amp;col=6&amp;number=64470000&amp;sourceID=14","64470000")</f>
        <v>64470000</v>
      </c>
      <c r="G681" s="4" t="str">
        <f>HYPERLINK("http://141.218.60.56/~jnz1568/getInfo.php?workbook=14_04.xlsx&amp;sheet=A0&amp;row=681&amp;col=7&amp;number=0&amp;sourceID=14","0")</f>
        <v>0</v>
      </c>
    </row>
    <row r="682" spans="1:7">
      <c r="A682" s="3">
        <v>14</v>
      </c>
      <c r="B682" s="3">
        <v>4</v>
      </c>
      <c r="C682" s="3">
        <v>44</v>
      </c>
      <c r="D682" s="3">
        <v>11</v>
      </c>
      <c r="E682" s="3">
        <v>-272.064</v>
      </c>
      <c r="F682" s="4" t="str">
        <f>HYPERLINK("http://141.218.60.56/~jnz1568/getInfo.php?workbook=14_04.xlsx&amp;sheet=A0&amp;row=682&amp;col=6&amp;number=0.01845&amp;sourceID=14","0.01845")</f>
        <v>0.01845</v>
      </c>
      <c r="G682" s="4" t="str">
        <f>HYPERLINK("http://141.218.60.56/~jnz1568/getInfo.php?workbook=14_04.xlsx&amp;sheet=A0&amp;row=682&amp;col=7&amp;number=0&amp;sourceID=14","0")</f>
        <v>0</v>
      </c>
    </row>
    <row r="683" spans="1:7">
      <c r="A683" s="3">
        <v>14</v>
      </c>
      <c r="B683" s="3">
        <v>4</v>
      </c>
      <c r="C683" s="3">
        <v>46</v>
      </c>
      <c r="D683" s="3">
        <v>11</v>
      </c>
      <c r="E683" s="3">
        <v>270.87</v>
      </c>
      <c r="F683" s="4" t="str">
        <f>HYPERLINK("http://141.218.60.56/~jnz1568/getInfo.php?workbook=14_04.xlsx&amp;sheet=A0&amp;row=683&amp;col=6&amp;number=288400&amp;sourceID=14","288400")</f>
        <v>288400</v>
      </c>
      <c r="G683" s="4" t="str">
        <f>HYPERLINK("http://141.218.60.56/~jnz1568/getInfo.php?workbook=14_04.xlsx&amp;sheet=A0&amp;row=683&amp;col=7&amp;number=0&amp;sourceID=14","0")</f>
        <v>0</v>
      </c>
    </row>
    <row r="684" spans="1:7">
      <c r="A684" s="3">
        <v>14</v>
      </c>
      <c r="B684" s="3">
        <v>4</v>
      </c>
      <c r="C684" s="3">
        <v>47</v>
      </c>
      <c r="D684" s="3">
        <v>11</v>
      </c>
      <c r="E684" s="3">
        <v>138.467</v>
      </c>
      <c r="F684" s="4" t="str">
        <f>HYPERLINK("http://141.218.60.56/~jnz1568/getInfo.php?workbook=14_04.xlsx&amp;sheet=A0&amp;row=684&amp;col=6&amp;number=6.229e-05&amp;sourceID=14","6.229e-05")</f>
        <v>6.229e-05</v>
      </c>
      <c r="G684" s="4" t="str">
        <f>HYPERLINK("http://141.218.60.56/~jnz1568/getInfo.php?workbook=14_04.xlsx&amp;sheet=A0&amp;row=684&amp;col=7&amp;number=0&amp;sourceID=14","0")</f>
        <v>0</v>
      </c>
    </row>
    <row r="685" spans="1:7">
      <c r="A685" s="3">
        <v>14</v>
      </c>
      <c r="B685" s="3">
        <v>4</v>
      </c>
      <c r="C685" s="3">
        <v>48</v>
      </c>
      <c r="D685" s="3">
        <v>11</v>
      </c>
      <c r="E685" s="3">
        <v>138.209</v>
      </c>
      <c r="F685" s="4" t="str">
        <f>HYPERLINK("http://141.218.60.56/~jnz1568/getInfo.php?workbook=14_04.xlsx&amp;sheet=A0&amp;row=685&amp;col=6&amp;number=5.59e-06&amp;sourceID=14","5.59e-06")</f>
        <v>5.59e-06</v>
      </c>
      <c r="G685" s="4" t="str">
        <f>HYPERLINK("http://141.218.60.56/~jnz1568/getInfo.php?workbook=14_04.xlsx&amp;sheet=A0&amp;row=685&amp;col=7&amp;number=0&amp;sourceID=14","0")</f>
        <v>0</v>
      </c>
    </row>
    <row r="686" spans="1:7">
      <c r="A686" s="3">
        <v>14</v>
      </c>
      <c r="B686" s="3">
        <v>4</v>
      </c>
      <c r="C686" s="3">
        <v>49</v>
      </c>
      <c r="D686" s="3">
        <v>11</v>
      </c>
      <c r="E686" s="3">
        <v>129.66</v>
      </c>
      <c r="F686" s="4" t="str">
        <f>HYPERLINK("http://141.218.60.56/~jnz1568/getInfo.php?workbook=14_04.xlsx&amp;sheet=A0&amp;row=686&amp;col=6&amp;number=39120000000&amp;sourceID=14","39120000000")</f>
        <v>39120000000</v>
      </c>
      <c r="G686" s="4" t="str">
        <f>HYPERLINK("http://141.218.60.56/~jnz1568/getInfo.php?workbook=14_04.xlsx&amp;sheet=A0&amp;row=686&amp;col=7&amp;number=0&amp;sourceID=14","0")</f>
        <v>0</v>
      </c>
    </row>
    <row r="687" spans="1:7">
      <c r="A687" s="3">
        <v>14</v>
      </c>
      <c r="B687" s="3">
        <v>4</v>
      </c>
      <c r="C687" s="3">
        <v>50</v>
      </c>
      <c r="D687" s="3">
        <v>11</v>
      </c>
      <c r="E687" s="3">
        <v>129.66</v>
      </c>
      <c r="F687" s="4" t="str">
        <f>HYPERLINK("http://141.218.60.56/~jnz1568/getInfo.php?workbook=14_04.xlsx&amp;sheet=A0&amp;row=687&amp;col=6&amp;number=38480000000&amp;sourceID=14","38480000000")</f>
        <v>38480000000</v>
      </c>
      <c r="G687" s="4" t="str">
        <f>HYPERLINK("http://141.218.60.56/~jnz1568/getInfo.php?workbook=14_04.xlsx&amp;sheet=A0&amp;row=687&amp;col=7&amp;number=0&amp;sourceID=14","0")</f>
        <v>0</v>
      </c>
    </row>
    <row r="688" spans="1:7">
      <c r="A688" s="3">
        <v>14</v>
      </c>
      <c r="B688" s="3">
        <v>4</v>
      </c>
      <c r="C688" s="3">
        <v>51</v>
      </c>
      <c r="D688" s="3">
        <v>11</v>
      </c>
      <c r="E688" s="3">
        <v>129.54</v>
      </c>
      <c r="F688" s="4" t="str">
        <f>HYPERLINK("http://141.218.60.56/~jnz1568/getInfo.php?workbook=14_04.xlsx&amp;sheet=A0&amp;row=688&amp;col=6&amp;number=38760000000&amp;sourceID=14","38760000000")</f>
        <v>38760000000</v>
      </c>
      <c r="G688" s="4" t="str">
        <f>HYPERLINK("http://141.218.60.56/~jnz1568/getInfo.php?workbook=14_04.xlsx&amp;sheet=A0&amp;row=688&amp;col=7&amp;number=0&amp;sourceID=14","0")</f>
        <v>0</v>
      </c>
    </row>
    <row r="689" spans="1:7">
      <c r="A689" s="3">
        <v>14</v>
      </c>
      <c r="B689" s="3">
        <v>4</v>
      </c>
      <c r="C689" s="3">
        <v>52</v>
      </c>
      <c r="D689" s="3">
        <v>11</v>
      </c>
      <c r="E689" s="3">
        <v>130.25</v>
      </c>
      <c r="F689" s="4" t="str">
        <f>HYPERLINK("http://141.218.60.56/~jnz1568/getInfo.php?workbook=14_04.xlsx&amp;sheet=A0&amp;row=689&amp;col=6&amp;number=478200000&amp;sourceID=14","478200000")</f>
        <v>478200000</v>
      </c>
      <c r="G689" s="4" t="str">
        <f>HYPERLINK("http://141.218.60.56/~jnz1568/getInfo.php?workbook=14_04.xlsx&amp;sheet=A0&amp;row=689&amp;col=7&amp;number=0&amp;sourceID=14","0")</f>
        <v>0</v>
      </c>
    </row>
    <row r="690" spans="1:7">
      <c r="A690" s="3">
        <v>14</v>
      </c>
      <c r="B690" s="3">
        <v>4</v>
      </c>
      <c r="C690" s="3">
        <v>53</v>
      </c>
      <c r="D690" s="3">
        <v>11</v>
      </c>
      <c r="E690" s="3">
        <v>127.592</v>
      </c>
      <c r="F690" s="4" t="str">
        <f>HYPERLINK("http://141.218.60.56/~jnz1568/getInfo.php?workbook=14_04.xlsx&amp;sheet=A0&amp;row=690&amp;col=6&amp;number=9563000&amp;sourceID=14","9563000")</f>
        <v>9563000</v>
      </c>
      <c r="G690" s="4" t="str">
        <f>HYPERLINK("http://141.218.60.56/~jnz1568/getInfo.php?workbook=14_04.xlsx&amp;sheet=A0&amp;row=690&amp;col=7&amp;number=0&amp;sourceID=14","0")</f>
        <v>0</v>
      </c>
    </row>
    <row r="691" spans="1:7">
      <c r="A691" s="3">
        <v>14</v>
      </c>
      <c r="B691" s="3">
        <v>4</v>
      </c>
      <c r="C691" s="3">
        <v>54</v>
      </c>
      <c r="D691" s="3">
        <v>11</v>
      </c>
      <c r="E691" s="3">
        <v>127.597</v>
      </c>
      <c r="F691" s="4" t="str">
        <f>HYPERLINK("http://141.218.60.56/~jnz1568/getInfo.php?workbook=14_04.xlsx&amp;sheet=A0&amp;row=691&amp;col=6&amp;number=9555000&amp;sourceID=14","9555000")</f>
        <v>9555000</v>
      </c>
      <c r="G691" s="4" t="str">
        <f>HYPERLINK("http://141.218.60.56/~jnz1568/getInfo.php?workbook=14_04.xlsx&amp;sheet=A0&amp;row=691&amp;col=7&amp;number=0&amp;sourceID=14","0")</f>
        <v>0</v>
      </c>
    </row>
    <row r="692" spans="1:7">
      <c r="A692" s="3">
        <v>14</v>
      </c>
      <c r="B692" s="3">
        <v>4</v>
      </c>
      <c r="C692" s="3">
        <v>55</v>
      </c>
      <c r="D692" s="3">
        <v>11</v>
      </c>
      <c r="E692" s="3">
        <v>127.462</v>
      </c>
      <c r="F692" s="4" t="str">
        <f>HYPERLINK("http://141.218.60.56/~jnz1568/getInfo.php?workbook=14_04.xlsx&amp;sheet=A0&amp;row=692&amp;col=6&amp;number=9599000&amp;sourceID=14","9599000")</f>
        <v>9599000</v>
      </c>
      <c r="G692" s="4" t="str">
        <f>HYPERLINK("http://141.218.60.56/~jnz1568/getInfo.php?workbook=14_04.xlsx&amp;sheet=A0&amp;row=692&amp;col=7&amp;number=0&amp;sourceID=14","0")</f>
        <v>0</v>
      </c>
    </row>
    <row r="693" spans="1:7">
      <c r="A693" s="3">
        <v>14</v>
      </c>
      <c r="B693" s="3">
        <v>4</v>
      </c>
      <c r="C693" s="3">
        <v>56</v>
      </c>
      <c r="D693" s="3">
        <v>11</v>
      </c>
      <c r="E693" s="3">
        <v>125.742</v>
      </c>
      <c r="F693" s="4" t="str">
        <f>HYPERLINK("http://141.218.60.56/~jnz1568/getInfo.php?workbook=14_04.xlsx&amp;sheet=A0&amp;row=693&amp;col=6&amp;number=1265&amp;sourceID=14","1265")</f>
        <v>1265</v>
      </c>
      <c r="G693" s="4" t="str">
        <f>HYPERLINK("http://141.218.60.56/~jnz1568/getInfo.php?workbook=14_04.xlsx&amp;sheet=A0&amp;row=693&amp;col=7&amp;number=0&amp;sourceID=14","0")</f>
        <v>0</v>
      </c>
    </row>
    <row r="694" spans="1:7">
      <c r="A694" s="3">
        <v>14</v>
      </c>
      <c r="B694" s="3">
        <v>4</v>
      </c>
      <c r="C694" s="3">
        <v>57</v>
      </c>
      <c r="D694" s="3">
        <v>11</v>
      </c>
      <c r="E694" s="3">
        <v>-106.304</v>
      </c>
      <c r="F694" s="4" t="str">
        <f>HYPERLINK("http://141.218.60.56/~jnz1568/getInfo.php?workbook=14_04.xlsx&amp;sheet=A0&amp;row=694&amp;col=6&amp;number=3352000&amp;sourceID=14","3352000")</f>
        <v>3352000</v>
      </c>
      <c r="G694" s="4" t="str">
        <f>HYPERLINK("http://141.218.60.56/~jnz1568/getInfo.php?workbook=14_04.xlsx&amp;sheet=A0&amp;row=694&amp;col=7&amp;number=0&amp;sourceID=14","0")</f>
        <v>0</v>
      </c>
    </row>
    <row r="695" spans="1:7">
      <c r="A695" s="3">
        <v>14</v>
      </c>
      <c r="B695" s="3">
        <v>4</v>
      </c>
      <c r="C695" s="3">
        <v>58</v>
      </c>
      <c r="D695" s="3">
        <v>11</v>
      </c>
      <c r="E695" s="3">
        <v>-106.14</v>
      </c>
      <c r="F695" s="4" t="str">
        <f>HYPERLINK("http://141.218.60.56/~jnz1568/getInfo.php?workbook=14_04.xlsx&amp;sheet=A0&amp;row=695&amp;col=6&amp;number=2551000&amp;sourceID=14","2551000")</f>
        <v>2551000</v>
      </c>
      <c r="G695" s="4" t="str">
        <f>HYPERLINK("http://141.218.60.56/~jnz1568/getInfo.php?workbook=14_04.xlsx&amp;sheet=A0&amp;row=695&amp;col=7&amp;number=0&amp;sourceID=14","0")</f>
        <v>0</v>
      </c>
    </row>
    <row r="696" spans="1:7">
      <c r="A696" s="3">
        <v>14</v>
      </c>
      <c r="B696" s="3">
        <v>4</v>
      </c>
      <c r="C696" s="3">
        <v>59</v>
      </c>
      <c r="D696" s="3">
        <v>11</v>
      </c>
      <c r="E696" s="3">
        <v>106.994</v>
      </c>
      <c r="F696" s="4" t="str">
        <f>HYPERLINK("http://141.218.60.56/~jnz1568/getInfo.php?workbook=14_04.xlsx&amp;sheet=A0&amp;row=696&amp;col=6&amp;number=1406000&amp;sourceID=14","1406000")</f>
        <v>1406000</v>
      </c>
      <c r="G696" s="4" t="str">
        <f>HYPERLINK("http://141.218.60.56/~jnz1568/getInfo.php?workbook=14_04.xlsx&amp;sheet=A0&amp;row=696&amp;col=7&amp;number=0&amp;sourceID=14","0")</f>
        <v>0</v>
      </c>
    </row>
    <row r="697" spans="1:7">
      <c r="A697" s="3">
        <v>14</v>
      </c>
      <c r="B697" s="3">
        <v>4</v>
      </c>
      <c r="C697" s="3">
        <v>60</v>
      </c>
      <c r="D697" s="3">
        <v>11</v>
      </c>
      <c r="E697" s="3">
        <v>-104.71</v>
      </c>
      <c r="F697" s="4" t="str">
        <f>HYPERLINK("http://141.218.60.56/~jnz1568/getInfo.php?workbook=14_04.xlsx&amp;sheet=A0&amp;row=697&amp;col=6&amp;number=190300&amp;sourceID=14","190300")</f>
        <v>190300</v>
      </c>
      <c r="G697" s="4" t="str">
        <f>HYPERLINK("http://141.218.60.56/~jnz1568/getInfo.php?workbook=14_04.xlsx&amp;sheet=A0&amp;row=697&amp;col=7&amp;number=0&amp;sourceID=14","0")</f>
        <v>0</v>
      </c>
    </row>
    <row r="698" spans="1:7">
      <c r="A698" s="3">
        <v>14</v>
      </c>
      <c r="B698" s="3">
        <v>4</v>
      </c>
      <c r="C698" s="3">
        <v>61</v>
      </c>
      <c r="D698" s="3">
        <v>11</v>
      </c>
      <c r="E698" s="3">
        <v>-103.418</v>
      </c>
      <c r="F698" s="4" t="str">
        <f>HYPERLINK("http://141.218.60.56/~jnz1568/getInfo.php?workbook=14_04.xlsx&amp;sheet=A0&amp;row=698&amp;col=6&amp;number=525.2&amp;sourceID=14","525.2")</f>
        <v>525.2</v>
      </c>
      <c r="G698" s="4" t="str">
        <f>HYPERLINK("http://141.218.60.56/~jnz1568/getInfo.php?workbook=14_04.xlsx&amp;sheet=A0&amp;row=698&amp;col=7&amp;number=0&amp;sourceID=14","0")</f>
        <v>0</v>
      </c>
    </row>
    <row r="699" spans="1:7">
      <c r="A699" s="3">
        <v>14</v>
      </c>
      <c r="B699" s="3">
        <v>4</v>
      </c>
      <c r="C699" s="3">
        <v>62</v>
      </c>
      <c r="D699" s="3">
        <v>11</v>
      </c>
      <c r="E699" s="3">
        <v>-103.888</v>
      </c>
      <c r="F699" s="4" t="str">
        <f>HYPERLINK("http://141.218.60.56/~jnz1568/getInfo.php?workbook=14_04.xlsx&amp;sheet=A0&amp;row=699&amp;col=6&amp;number=513.2&amp;sourceID=14","513.2")</f>
        <v>513.2</v>
      </c>
      <c r="G699" s="4" t="str">
        <f>HYPERLINK("http://141.218.60.56/~jnz1568/getInfo.php?workbook=14_04.xlsx&amp;sheet=A0&amp;row=699&amp;col=7&amp;number=0&amp;sourceID=14","0")</f>
        <v>0</v>
      </c>
    </row>
    <row r="700" spans="1:7">
      <c r="A700" s="3">
        <v>14</v>
      </c>
      <c r="B700" s="3">
        <v>4</v>
      </c>
      <c r="C700" s="3">
        <v>63</v>
      </c>
      <c r="D700" s="3">
        <v>11</v>
      </c>
      <c r="E700" s="3">
        <v>-103.391</v>
      </c>
      <c r="F700" s="4" t="str">
        <f>HYPERLINK("http://141.218.60.56/~jnz1568/getInfo.php?workbook=14_04.xlsx&amp;sheet=A0&amp;row=700&amp;col=6&amp;number=1165&amp;sourceID=14","1165")</f>
        <v>1165</v>
      </c>
      <c r="G700" s="4" t="str">
        <f>HYPERLINK("http://141.218.60.56/~jnz1568/getInfo.php?workbook=14_04.xlsx&amp;sheet=A0&amp;row=700&amp;col=7&amp;number=0&amp;sourceID=14","0")</f>
        <v>0</v>
      </c>
    </row>
    <row r="701" spans="1:7">
      <c r="A701" s="3">
        <v>14</v>
      </c>
      <c r="B701" s="3">
        <v>4</v>
      </c>
      <c r="C701" s="3">
        <v>64</v>
      </c>
      <c r="D701" s="3">
        <v>11</v>
      </c>
      <c r="E701" s="3">
        <v>-102.814</v>
      </c>
      <c r="F701" s="4" t="str">
        <f>HYPERLINK("http://141.218.60.56/~jnz1568/getInfo.php?workbook=14_04.xlsx&amp;sheet=A0&amp;row=701&amp;col=6&amp;number=1746&amp;sourceID=14","1746")</f>
        <v>1746</v>
      </c>
      <c r="G701" s="4" t="str">
        <f>HYPERLINK("http://141.218.60.56/~jnz1568/getInfo.php?workbook=14_04.xlsx&amp;sheet=A0&amp;row=701&amp;col=7&amp;number=0&amp;sourceID=14","0")</f>
        <v>0</v>
      </c>
    </row>
    <row r="702" spans="1:7">
      <c r="A702" s="3">
        <v>14</v>
      </c>
      <c r="B702" s="3">
        <v>4</v>
      </c>
      <c r="C702" s="3">
        <v>65</v>
      </c>
      <c r="D702" s="3">
        <v>11</v>
      </c>
      <c r="E702" s="3">
        <v>-102.626</v>
      </c>
      <c r="F702" s="4" t="str">
        <f>HYPERLINK("http://141.218.60.56/~jnz1568/getInfo.php?workbook=14_04.xlsx&amp;sheet=A0&amp;row=702&amp;col=6&amp;number=65.51&amp;sourceID=14","65.51")</f>
        <v>65.51</v>
      </c>
      <c r="G702" s="4" t="str">
        <f>HYPERLINK("http://141.218.60.56/~jnz1568/getInfo.php?workbook=14_04.xlsx&amp;sheet=A0&amp;row=702&amp;col=7&amp;number=0&amp;sourceID=14","0")</f>
        <v>0</v>
      </c>
    </row>
    <row r="703" spans="1:7">
      <c r="A703" s="3">
        <v>14</v>
      </c>
      <c r="B703" s="3">
        <v>4</v>
      </c>
      <c r="C703" s="3">
        <v>66</v>
      </c>
      <c r="D703" s="3">
        <v>11</v>
      </c>
      <c r="E703" s="3">
        <v>-102.642</v>
      </c>
      <c r="F703" s="4" t="str">
        <f>HYPERLINK("http://141.218.60.56/~jnz1568/getInfo.php?workbook=14_04.xlsx&amp;sheet=A0&amp;row=703&amp;col=6&amp;number=0.07868&amp;sourceID=14","0.07868")</f>
        <v>0.07868</v>
      </c>
      <c r="G703" s="4" t="str">
        <f>HYPERLINK("http://141.218.60.56/~jnz1568/getInfo.php?workbook=14_04.xlsx&amp;sheet=A0&amp;row=703&amp;col=7&amp;number=0&amp;sourceID=14","0")</f>
        <v>0</v>
      </c>
    </row>
    <row r="704" spans="1:7">
      <c r="A704" s="3">
        <v>14</v>
      </c>
      <c r="B704" s="3">
        <v>4</v>
      </c>
      <c r="C704" s="3">
        <v>67</v>
      </c>
      <c r="D704" s="3">
        <v>11</v>
      </c>
      <c r="E704" s="3">
        <v>-102.168</v>
      </c>
      <c r="F704" s="4" t="str">
        <f>HYPERLINK("http://141.218.60.56/~jnz1568/getInfo.php?workbook=14_04.xlsx&amp;sheet=A0&amp;row=704&amp;col=6&amp;number=18.03&amp;sourceID=14","18.03")</f>
        <v>18.03</v>
      </c>
      <c r="G704" s="4" t="str">
        <f>HYPERLINK("http://141.218.60.56/~jnz1568/getInfo.php?workbook=14_04.xlsx&amp;sheet=A0&amp;row=704&amp;col=7&amp;number=0&amp;sourceID=14","0")</f>
        <v>0</v>
      </c>
    </row>
    <row r="705" spans="1:7">
      <c r="A705" s="3">
        <v>14</v>
      </c>
      <c r="B705" s="3">
        <v>4</v>
      </c>
      <c r="C705" s="3">
        <v>68</v>
      </c>
      <c r="D705" s="3">
        <v>11</v>
      </c>
      <c r="E705" s="3">
        <v>-102.085</v>
      </c>
      <c r="F705" s="4" t="str">
        <f>HYPERLINK("http://141.218.60.56/~jnz1568/getInfo.php?workbook=14_04.xlsx&amp;sheet=A0&amp;row=705&amp;col=6&amp;number=142.6&amp;sourceID=14","142.6")</f>
        <v>142.6</v>
      </c>
      <c r="G705" s="4" t="str">
        <f>HYPERLINK("http://141.218.60.56/~jnz1568/getInfo.php?workbook=14_04.xlsx&amp;sheet=A0&amp;row=705&amp;col=7&amp;number=0&amp;sourceID=14","0")</f>
        <v>0</v>
      </c>
    </row>
    <row r="706" spans="1:7">
      <c r="A706" s="3">
        <v>14</v>
      </c>
      <c r="B706" s="3">
        <v>4</v>
      </c>
      <c r="C706" s="3">
        <v>69</v>
      </c>
      <c r="D706" s="3">
        <v>11</v>
      </c>
      <c r="E706" s="3">
        <v>-102.001</v>
      </c>
      <c r="F706" s="4" t="str">
        <f>HYPERLINK("http://141.218.60.56/~jnz1568/getInfo.php?workbook=14_04.xlsx&amp;sheet=A0&amp;row=706&amp;col=6&amp;number=7466000&amp;sourceID=14","7466000")</f>
        <v>7466000</v>
      </c>
      <c r="G706" s="4" t="str">
        <f>HYPERLINK("http://141.218.60.56/~jnz1568/getInfo.php?workbook=14_04.xlsx&amp;sheet=A0&amp;row=706&amp;col=7&amp;number=0&amp;sourceID=14","0")</f>
        <v>0</v>
      </c>
    </row>
    <row r="707" spans="1:7">
      <c r="A707" s="3">
        <v>14</v>
      </c>
      <c r="B707" s="3">
        <v>4</v>
      </c>
      <c r="C707" s="3">
        <v>71</v>
      </c>
      <c r="D707" s="3">
        <v>11</v>
      </c>
      <c r="E707" s="3">
        <v>-101.499</v>
      </c>
      <c r="F707" s="4" t="str">
        <f>HYPERLINK("http://141.218.60.56/~jnz1568/getInfo.php?workbook=14_04.xlsx&amp;sheet=A0&amp;row=707&amp;col=6&amp;number=153100000&amp;sourceID=14","153100000")</f>
        <v>153100000</v>
      </c>
      <c r="G707" s="4" t="str">
        <f>HYPERLINK("http://141.218.60.56/~jnz1568/getInfo.php?workbook=14_04.xlsx&amp;sheet=A0&amp;row=707&amp;col=7&amp;number=0&amp;sourceID=14","0")</f>
        <v>0</v>
      </c>
    </row>
    <row r="708" spans="1:7">
      <c r="A708" s="3">
        <v>14</v>
      </c>
      <c r="B708" s="3">
        <v>4</v>
      </c>
      <c r="C708" s="3">
        <v>72</v>
      </c>
      <c r="D708" s="3">
        <v>11</v>
      </c>
      <c r="E708" s="3">
        <v>-101.275</v>
      </c>
      <c r="F708" s="4" t="str">
        <f>HYPERLINK("http://141.218.60.56/~jnz1568/getInfo.php?workbook=14_04.xlsx&amp;sheet=A0&amp;row=708&amp;col=6&amp;number=643&amp;sourceID=14","643")</f>
        <v>643</v>
      </c>
      <c r="G708" s="4" t="str">
        <f>HYPERLINK("http://141.218.60.56/~jnz1568/getInfo.php?workbook=14_04.xlsx&amp;sheet=A0&amp;row=708&amp;col=7&amp;number=0&amp;sourceID=14","0")</f>
        <v>0</v>
      </c>
    </row>
    <row r="709" spans="1:7">
      <c r="A709" s="3">
        <v>14</v>
      </c>
      <c r="B709" s="3">
        <v>4</v>
      </c>
      <c r="C709" s="3">
        <v>74</v>
      </c>
      <c r="D709" s="3">
        <v>11</v>
      </c>
      <c r="E709" s="3">
        <v>-100.986</v>
      </c>
      <c r="F709" s="4" t="str">
        <f>HYPERLINK("http://141.218.60.56/~jnz1568/getInfo.php?workbook=14_04.xlsx&amp;sheet=A0&amp;row=709&amp;col=6&amp;number=183000000&amp;sourceID=14","183000000")</f>
        <v>183000000</v>
      </c>
      <c r="G709" s="4" t="str">
        <f>HYPERLINK("http://141.218.60.56/~jnz1568/getInfo.php?workbook=14_04.xlsx&amp;sheet=A0&amp;row=709&amp;col=7&amp;number=0&amp;sourceID=14","0")</f>
        <v>0</v>
      </c>
    </row>
    <row r="710" spans="1:7">
      <c r="A710" s="3">
        <v>14</v>
      </c>
      <c r="B710" s="3">
        <v>4</v>
      </c>
      <c r="C710" s="3">
        <v>75</v>
      </c>
      <c r="D710" s="3">
        <v>11</v>
      </c>
      <c r="E710" s="3">
        <v>-100.791</v>
      </c>
      <c r="F710" s="4" t="str">
        <f>HYPERLINK("http://141.218.60.56/~jnz1568/getInfo.php?workbook=14_04.xlsx&amp;sheet=A0&amp;row=710&amp;col=6&amp;number=328100000&amp;sourceID=14","328100000")</f>
        <v>328100000</v>
      </c>
      <c r="G710" s="4" t="str">
        <f>HYPERLINK("http://141.218.60.56/~jnz1568/getInfo.php?workbook=14_04.xlsx&amp;sheet=A0&amp;row=710&amp;col=7&amp;number=0&amp;sourceID=14","0")</f>
        <v>0</v>
      </c>
    </row>
    <row r="711" spans="1:7">
      <c r="A711" s="3">
        <v>14</v>
      </c>
      <c r="B711" s="3">
        <v>4</v>
      </c>
      <c r="C711" s="3">
        <v>77</v>
      </c>
      <c r="D711" s="3">
        <v>11</v>
      </c>
      <c r="E711" s="3">
        <v>100.938</v>
      </c>
      <c r="F711" s="4" t="str">
        <f>HYPERLINK("http://141.218.60.56/~jnz1568/getInfo.php?workbook=14_04.xlsx&amp;sheet=A0&amp;row=711&amp;col=6&amp;number=937700000&amp;sourceID=14","937700000")</f>
        <v>937700000</v>
      </c>
      <c r="G711" s="4" t="str">
        <f>HYPERLINK("http://141.218.60.56/~jnz1568/getInfo.php?workbook=14_04.xlsx&amp;sheet=A0&amp;row=711&amp;col=7&amp;number=0&amp;sourceID=14","0")</f>
        <v>0</v>
      </c>
    </row>
    <row r="712" spans="1:7">
      <c r="A712" s="3">
        <v>14</v>
      </c>
      <c r="B712" s="3">
        <v>4</v>
      </c>
      <c r="C712" s="3">
        <v>78</v>
      </c>
      <c r="D712" s="3">
        <v>11</v>
      </c>
      <c r="E712" s="3">
        <v>-100.194</v>
      </c>
      <c r="F712" s="4" t="str">
        <f>HYPERLINK("http://141.218.60.56/~jnz1568/getInfo.php?workbook=14_04.xlsx&amp;sheet=A0&amp;row=712&amp;col=6&amp;number=1244000000&amp;sourceID=14","1244000000")</f>
        <v>1244000000</v>
      </c>
      <c r="G712" s="4" t="str">
        <f>HYPERLINK("http://141.218.60.56/~jnz1568/getInfo.php?workbook=14_04.xlsx&amp;sheet=A0&amp;row=712&amp;col=7&amp;number=0&amp;sourceID=14","0")</f>
        <v>0</v>
      </c>
    </row>
    <row r="713" spans="1:7">
      <c r="A713" s="3">
        <v>14</v>
      </c>
      <c r="B713" s="3">
        <v>4</v>
      </c>
      <c r="C713" s="3">
        <v>79</v>
      </c>
      <c r="D713" s="3">
        <v>11</v>
      </c>
      <c r="E713" s="3">
        <v>-100.15</v>
      </c>
      <c r="F713" s="4" t="str">
        <f>HYPERLINK("http://141.218.60.56/~jnz1568/getInfo.php?workbook=14_04.xlsx&amp;sheet=A0&amp;row=713&amp;col=6&amp;number=1452000000&amp;sourceID=14","1452000000")</f>
        <v>1452000000</v>
      </c>
      <c r="G713" s="4" t="str">
        <f>HYPERLINK("http://141.218.60.56/~jnz1568/getInfo.php?workbook=14_04.xlsx&amp;sheet=A0&amp;row=713&amp;col=7&amp;number=0&amp;sourceID=14","0")</f>
        <v>0</v>
      </c>
    </row>
    <row r="714" spans="1:7">
      <c r="A714" s="3">
        <v>14</v>
      </c>
      <c r="B714" s="3">
        <v>4</v>
      </c>
      <c r="C714" s="3">
        <v>80</v>
      </c>
      <c r="D714" s="3">
        <v>11</v>
      </c>
      <c r="E714" s="3">
        <v>102.003</v>
      </c>
      <c r="F714" s="4" t="str">
        <f>HYPERLINK("http://141.218.60.56/~jnz1568/getInfo.php?workbook=14_04.xlsx&amp;sheet=A0&amp;row=714&amp;col=6&amp;number=0.001203&amp;sourceID=14","0.001203")</f>
        <v>0.001203</v>
      </c>
      <c r="G714" s="4" t="str">
        <f>HYPERLINK("http://141.218.60.56/~jnz1568/getInfo.php?workbook=14_04.xlsx&amp;sheet=A0&amp;row=714&amp;col=7&amp;number=0&amp;sourceID=14","0")</f>
        <v>0</v>
      </c>
    </row>
    <row r="715" spans="1:7">
      <c r="A715" s="3">
        <v>14</v>
      </c>
      <c r="B715" s="3">
        <v>4</v>
      </c>
      <c r="C715" s="3">
        <v>82</v>
      </c>
      <c r="D715" s="3">
        <v>11</v>
      </c>
      <c r="E715" s="3">
        <v>-98.976</v>
      </c>
      <c r="F715" s="4" t="str">
        <f>HYPERLINK("http://141.218.60.56/~jnz1568/getInfo.php?workbook=14_04.xlsx&amp;sheet=A0&amp;row=715&amp;col=6&amp;number=22010000&amp;sourceID=14","22010000")</f>
        <v>22010000</v>
      </c>
      <c r="G715" s="4" t="str">
        <f>HYPERLINK("http://141.218.60.56/~jnz1568/getInfo.php?workbook=14_04.xlsx&amp;sheet=A0&amp;row=715&amp;col=7&amp;number=0&amp;sourceID=14","0")</f>
        <v>0</v>
      </c>
    </row>
    <row r="716" spans="1:7">
      <c r="A716" s="3">
        <v>14</v>
      </c>
      <c r="B716" s="3">
        <v>4</v>
      </c>
      <c r="C716" s="3">
        <v>83</v>
      </c>
      <c r="D716" s="3">
        <v>11</v>
      </c>
      <c r="E716" s="3">
        <v>-93.347</v>
      </c>
      <c r="F716" s="4" t="str">
        <f>HYPERLINK("http://141.218.60.56/~jnz1568/getInfo.php?workbook=14_04.xlsx&amp;sheet=A0&amp;row=716&amp;col=6&amp;number=9.855e-06&amp;sourceID=14","9.855e-06")</f>
        <v>9.855e-06</v>
      </c>
      <c r="G716" s="4" t="str">
        <f>HYPERLINK("http://141.218.60.56/~jnz1568/getInfo.php?workbook=14_04.xlsx&amp;sheet=A0&amp;row=716&amp;col=7&amp;number=0&amp;sourceID=14","0")</f>
        <v>0</v>
      </c>
    </row>
    <row r="717" spans="1:7">
      <c r="A717" s="3">
        <v>14</v>
      </c>
      <c r="B717" s="3">
        <v>4</v>
      </c>
      <c r="C717" s="3">
        <v>84</v>
      </c>
      <c r="D717" s="3">
        <v>11</v>
      </c>
      <c r="E717" s="3">
        <v>-92.725</v>
      </c>
      <c r="F717" s="4" t="str">
        <f>HYPERLINK("http://141.218.60.56/~jnz1568/getInfo.php?workbook=14_04.xlsx&amp;sheet=A0&amp;row=717&amp;col=6&amp;number=2.184e-07&amp;sourceID=14","2.184e-07")</f>
        <v>2.184e-07</v>
      </c>
      <c r="G717" s="4" t="str">
        <f>HYPERLINK("http://141.218.60.56/~jnz1568/getInfo.php?workbook=14_04.xlsx&amp;sheet=A0&amp;row=717&amp;col=7&amp;number=0&amp;sourceID=14","0")</f>
        <v>0</v>
      </c>
    </row>
    <row r="718" spans="1:7">
      <c r="A718" s="3">
        <v>14</v>
      </c>
      <c r="B718" s="3">
        <v>4</v>
      </c>
      <c r="C718" s="3">
        <v>85</v>
      </c>
      <c r="D718" s="3">
        <v>11</v>
      </c>
      <c r="E718" s="3">
        <v>-92.099</v>
      </c>
      <c r="F718" s="4" t="str">
        <f>HYPERLINK("http://141.218.60.56/~jnz1568/getInfo.php?workbook=14_04.xlsx&amp;sheet=A0&amp;row=718&amp;col=6&amp;number=18860000000&amp;sourceID=14","18860000000")</f>
        <v>18860000000</v>
      </c>
      <c r="G718" s="4" t="str">
        <f>HYPERLINK("http://141.218.60.56/~jnz1568/getInfo.php?workbook=14_04.xlsx&amp;sheet=A0&amp;row=718&amp;col=7&amp;number=0&amp;sourceID=14","0")</f>
        <v>0</v>
      </c>
    </row>
    <row r="719" spans="1:7">
      <c r="A719" s="3">
        <v>14</v>
      </c>
      <c r="B719" s="3">
        <v>4</v>
      </c>
      <c r="C719" s="3">
        <v>86</v>
      </c>
      <c r="D719" s="3">
        <v>11</v>
      </c>
      <c r="E719" s="3">
        <v>-92.089</v>
      </c>
      <c r="F719" s="4" t="str">
        <f>HYPERLINK("http://141.218.60.56/~jnz1568/getInfo.php?workbook=14_04.xlsx&amp;sheet=A0&amp;row=719&amp;col=6&amp;number=18750000000&amp;sourceID=14","18750000000")</f>
        <v>18750000000</v>
      </c>
      <c r="G719" s="4" t="str">
        <f>HYPERLINK("http://141.218.60.56/~jnz1568/getInfo.php?workbook=14_04.xlsx&amp;sheet=A0&amp;row=719&amp;col=7&amp;number=0&amp;sourceID=14","0")</f>
        <v>0</v>
      </c>
    </row>
    <row r="720" spans="1:7">
      <c r="A720" s="3">
        <v>14</v>
      </c>
      <c r="B720" s="3">
        <v>4</v>
      </c>
      <c r="C720" s="3">
        <v>87</v>
      </c>
      <c r="D720" s="3">
        <v>11</v>
      </c>
      <c r="E720" s="3">
        <v>92.15</v>
      </c>
      <c r="F720" s="4" t="str">
        <f>HYPERLINK("http://141.218.60.56/~jnz1568/getInfo.php?workbook=14_04.xlsx&amp;sheet=A0&amp;row=720&amp;col=6&amp;number=18790000000&amp;sourceID=14","18790000000")</f>
        <v>18790000000</v>
      </c>
      <c r="G720" s="4" t="str">
        <f>HYPERLINK("http://141.218.60.56/~jnz1568/getInfo.php?workbook=14_04.xlsx&amp;sheet=A0&amp;row=720&amp;col=7&amp;number=0&amp;sourceID=14","0")</f>
        <v>0</v>
      </c>
    </row>
    <row r="721" spans="1:7">
      <c r="A721" s="3">
        <v>14</v>
      </c>
      <c r="B721" s="3">
        <v>4</v>
      </c>
      <c r="C721" s="3">
        <v>88</v>
      </c>
      <c r="D721" s="3">
        <v>11</v>
      </c>
      <c r="E721" s="3">
        <v>-91.847</v>
      </c>
      <c r="F721" s="4" t="str">
        <f>HYPERLINK("http://141.218.60.56/~jnz1568/getInfo.php?workbook=14_04.xlsx&amp;sheet=A0&amp;row=721&amp;col=6&amp;number=98260000&amp;sourceID=14","98260000")</f>
        <v>98260000</v>
      </c>
      <c r="G721" s="4" t="str">
        <f>HYPERLINK("http://141.218.60.56/~jnz1568/getInfo.php?workbook=14_04.xlsx&amp;sheet=A0&amp;row=721&amp;col=7&amp;number=0&amp;sourceID=14","0")</f>
        <v>0</v>
      </c>
    </row>
    <row r="722" spans="1:7">
      <c r="A722" s="3">
        <v>14</v>
      </c>
      <c r="B722" s="3">
        <v>4</v>
      </c>
      <c r="C722" s="3">
        <v>89</v>
      </c>
      <c r="D722" s="3">
        <v>11</v>
      </c>
      <c r="E722" s="3">
        <v>-91.377</v>
      </c>
      <c r="F722" s="4" t="str">
        <f>HYPERLINK("http://141.218.60.56/~jnz1568/getInfo.php?workbook=14_04.xlsx&amp;sheet=A0&amp;row=722&amp;col=6&amp;number=3006000&amp;sourceID=14","3006000")</f>
        <v>3006000</v>
      </c>
      <c r="G722" s="4" t="str">
        <f>HYPERLINK("http://141.218.60.56/~jnz1568/getInfo.php?workbook=14_04.xlsx&amp;sheet=A0&amp;row=722&amp;col=7&amp;number=0&amp;sourceID=14","0")</f>
        <v>0</v>
      </c>
    </row>
    <row r="723" spans="1:7">
      <c r="A723" s="3">
        <v>14</v>
      </c>
      <c r="B723" s="3">
        <v>4</v>
      </c>
      <c r="C723" s="3">
        <v>90</v>
      </c>
      <c r="D723" s="3">
        <v>11</v>
      </c>
      <c r="E723" s="3">
        <v>91.763</v>
      </c>
      <c r="F723" s="4" t="str">
        <f>HYPERLINK("http://141.218.60.56/~jnz1568/getInfo.php?workbook=14_04.xlsx&amp;sheet=A0&amp;row=723&amp;col=6&amp;number=2947000&amp;sourceID=14","2947000")</f>
        <v>2947000</v>
      </c>
      <c r="G723" s="4" t="str">
        <f>HYPERLINK("http://141.218.60.56/~jnz1568/getInfo.php?workbook=14_04.xlsx&amp;sheet=A0&amp;row=723&amp;col=7&amp;number=0&amp;sourceID=14","0")</f>
        <v>0</v>
      </c>
    </row>
    <row r="724" spans="1:7">
      <c r="A724" s="3">
        <v>14</v>
      </c>
      <c r="B724" s="3">
        <v>4</v>
      </c>
      <c r="C724" s="3">
        <v>91</v>
      </c>
      <c r="D724" s="3">
        <v>11</v>
      </c>
      <c r="E724" s="3">
        <v>91.77</v>
      </c>
      <c r="F724" s="4" t="str">
        <f>HYPERLINK("http://141.218.60.56/~jnz1568/getInfo.php?workbook=14_04.xlsx&amp;sheet=A0&amp;row=724&amp;col=6&amp;number=2952000&amp;sourceID=14","2952000")</f>
        <v>2952000</v>
      </c>
      <c r="G724" s="4" t="str">
        <f>HYPERLINK("http://141.218.60.56/~jnz1568/getInfo.php?workbook=14_04.xlsx&amp;sheet=A0&amp;row=724&amp;col=7&amp;number=0&amp;sourceID=14","0")</f>
        <v>0</v>
      </c>
    </row>
    <row r="725" spans="1:7">
      <c r="A725" s="3">
        <v>14</v>
      </c>
      <c r="B725" s="3">
        <v>4</v>
      </c>
      <c r="C725" s="3">
        <v>92</v>
      </c>
      <c r="D725" s="3">
        <v>11</v>
      </c>
      <c r="E725" s="3">
        <v>91.44</v>
      </c>
      <c r="F725" s="4" t="str">
        <f>HYPERLINK("http://141.218.60.56/~jnz1568/getInfo.php?workbook=14_04.xlsx&amp;sheet=A0&amp;row=725&amp;col=6&amp;number=537.9&amp;sourceID=14","537.9")</f>
        <v>537.9</v>
      </c>
      <c r="G725" s="4" t="str">
        <f>HYPERLINK("http://141.218.60.56/~jnz1568/getInfo.php?workbook=14_04.xlsx&amp;sheet=A0&amp;row=725&amp;col=7&amp;number=0&amp;sourceID=14","0")</f>
        <v>0</v>
      </c>
    </row>
    <row r="726" spans="1:7">
      <c r="A726" s="3">
        <v>14</v>
      </c>
      <c r="B726" s="3">
        <v>4</v>
      </c>
      <c r="C726" s="3">
        <v>13</v>
      </c>
      <c r="D726" s="3">
        <v>12</v>
      </c>
      <c r="E726" s="3">
        <v>2289.958</v>
      </c>
      <c r="F726" s="4" t="str">
        <f>HYPERLINK("http://141.218.60.56/~jnz1568/getInfo.php?workbook=14_04.xlsx&amp;sheet=A0&amp;row=726&amp;col=6&amp;number=41740000&amp;sourceID=14","41740000")</f>
        <v>41740000</v>
      </c>
      <c r="G726" s="4" t="str">
        <f>HYPERLINK("http://141.218.60.56/~jnz1568/getInfo.php?workbook=14_04.xlsx&amp;sheet=A0&amp;row=726&amp;col=7&amp;number=0&amp;sourceID=14","0")</f>
        <v>0</v>
      </c>
    </row>
    <row r="727" spans="1:7">
      <c r="A727" s="3">
        <v>14</v>
      </c>
      <c r="B727" s="3">
        <v>4</v>
      </c>
      <c r="C727" s="3">
        <v>15</v>
      </c>
      <c r="D727" s="3">
        <v>12</v>
      </c>
      <c r="E727" s="3">
        <v>2125.222</v>
      </c>
      <c r="F727" s="4" t="str">
        <f>HYPERLINK("http://141.218.60.56/~jnz1568/getInfo.php?workbook=14_04.xlsx&amp;sheet=A0&amp;row=727&amp;col=6&amp;number=4280000&amp;sourceID=14","4280000")</f>
        <v>4280000</v>
      </c>
      <c r="G727" s="4" t="str">
        <f>HYPERLINK("http://141.218.60.56/~jnz1568/getInfo.php?workbook=14_04.xlsx&amp;sheet=A0&amp;row=727&amp;col=7&amp;number=0&amp;sourceID=14","0")</f>
        <v>0</v>
      </c>
    </row>
    <row r="728" spans="1:7">
      <c r="A728" s="3">
        <v>14</v>
      </c>
      <c r="B728" s="3">
        <v>4</v>
      </c>
      <c r="C728" s="3">
        <v>17</v>
      </c>
      <c r="D728" s="3">
        <v>12</v>
      </c>
      <c r="E728" s="3">
        <v>1125.368</v>
      </c>
      <c r="F728" s="4" t="str">
        <f>HYPERLINK("http://141.218.60.56/~jnz1568/getInfo.php?workbook=14_04.xlsx&amp;sheet=A0&amp;row=728&amp;col=6&amp;number=1.374e-07&amp;sourceID=14","1.374e-07")</f>
        <v>1.374e-07</v>
      </c>
      <c r="G728" s="4" t="str">
        <f>HYPERLINK("http://141.218.60.56/~jnz1568/getInfo.php?workbook=14_04.xlsx&amp;sheet=A0&amp;row=728&amp;col=7&amp;number=0&amp;sourceID=14","0")</f>
        <v>0</v>
      </c>
    </row>
    <row r="729" spans="1:7">
      <c r="A729" s="3">
        <v>14</v>
      </c>
      <c r="B729" s="3">
        <v>4</v>
      </c>
      <c r="C729" s="3">
        <v>18</v>
      </c>
      <c r="D729" s="3">
        <v>12</v>
      </c>
      <c r="E729" s="3">
        <v>1109.621</v>
      </c>
      <c r="F729" s="4" t="str">
        <f>HYPERLINK("http://141.218.60.56/~jnz1568/getInfo.php?workbook=14_04.xlsx&amp;sheet=A0&amp;row=729&amp;col=6&amp;number=0.01041&amp;sourceID=14","0.01041")</f>
        <v>0.01041</v>
      </c>
      <c r="G729" s="4" t="str">
        <f>HYPERLINK("http://141.218.60.56/~jnz1568/getInfo.php?workbook=14_04.xlsx&amp;sheet=A0&amp;row=729&amp;col=7&amp;number=0&amp;sourceID=14","0")</f>
        <v>0</v>
      </c>
    </row>
    <row r="730" spans="1:7">
      <c r="A730" s="3">
        <v>14</v>
      </c>
      <c r="B730" s="3">
        <v>4</v>
      </c>
      <c r="C730" s="3">
        <v>20</v>
      </c>
      <c r="D730" s="3">
        <v>12</v>
      </c>
      <c r="E730" s="3">
        <v>826.865</v>
      </c>
      <c r="F730" s="4" t="str">
        <f>HYPERLINK("http://141.218.60.56/~jnz1568/getInfo.php?workbook=14_04.xlsx&amp;sheet=A0&amp;row=730&amp;col=6&amp;number=761.6&amp;sourceID=14","761.6")</f>
        <v>761.6</v>
      </c>
      <c r="G730" s="4" t="str">
        <f>HYPERLINK("http://141.218.60.56/~jnz1568/getInfo.php?workbook=14_04.xlsx&amp;sheet=A0&amp;row=730&amp;col=7&amp;number=0&amp;sourceID=14","0")</f>
        <v>0</v>
      </c>
    </row>
    <row r="731" spans="1:7">
      <c r="A731" s="3">
        <v>14</v>
      </c>
      <c r="B731" s="3">
        <v>4</v>
      </c>
      <c r="C731" s="3">
        <v>22</v>
      </c>
      <c r="D731" s="3">
        <v>12</v>
      </c>
      <c r="E731" s="3">
        <v>-538.318</v>
      </c>
      <c r="F731" s="4" t="str">
        <f>HYPERLINK("http://141.218.60.56/~jnz1568/getInfo.php?workbook=14_04.xlsx&amp;sheet=A0&amp;row=731&amp;col=6&amp;number=19740000&amp;sourceID=14","19740000")</f>
        <v>19740000</v>
      </c>
      <c r="G731" s="4" t="str">
        <f>HYPERLINK("http://141.218.60.56/~jnz1568/getInfo.php?workbook=14_04.xlsx&amp;sheet=A0&amp;row=731&amp;col=7&amp;number=0&amp;sourceID=14","0")</f>
        <v>0</v>
      </c>
    </row>
    <row r="732" spans="1:7">
      <c r="A732" s="3">
        <v>14</v>
      </c>
      <c r="B732" s="3">
        <v>4</v>
      </c>
      <c r="C732" s="3">
        <v>24</v>
      </c>
      <c r="D732" s="3">
        <v>12</v>
      </c>
      <c r="E732" s="3">
        <v>-450.385</v>
      </c>
      <c r="F732" s="4" t="str">
        <f>HYPERLINK("http://141.218.60.56/~jnz1568/getInfo.php?workbook=14_04.xlsx&amp;sheet=A0&amp;row=732&amp;col=6&amp;number=2785000000&amp;sourceID=14","2785000000")</f>
        <v>2785000000</v>
      </c>
      <c r="G732" s="4" t="str">
        <f>HYPERLINK("http://141.218.60.56/~jnz1568/getInfo.php?workbook=14_04.xlsx&amp;sheet=A0&amp;row=732&amp;col=7&amp;number=0&amp;sourceID=14","0")</f>
        <v>0</v>
      </c>
    </row>
    <row r="733" spans="1:7">
      <c r="A733" s="3">
        <v>14</v>
      </c>
      <c r="B733" s="3">
        <v>4</v>
      </c>
      <c r="C733" s="3">
        <v>25</v>
      </c>
      <c r="D733" s="3">
        <v>12</v>
      </c>
      <c r="E733" s="3">
        <v>-431.697</v>
      </c>
      <c r="F733" s="4" t="str">
        <f>HYPERLINK("http://141.218.60.56/~jnz1568/getInfo.php?workbook=14_04.xlsx&amp;sheet=A0&amp;row=733&amp;col=6&amp;number=0.001971&amp;sourceID=14","0.001971")</f>
        <v>0.001971</v>
      </c>
      <c r="G733" s="4" t="str">
        <f>HYPERLINK("http://141.218.60.56/~jnz1568/getInfo.php?workbook=14_04.xlsx&amp;sheet=A0&amp;row=733&amp;col=7&amp;number=0&amp;sourceID=14","0")</f>
        <v>0</v>
      </c>
    </row>
    <row r="734" spans="1:7">
      <c r="A734" s="3">
        <v>14</v>
      </c>
      <c r="B734" s="3">
        <v>4</v>
      </c>
      <c r="C734" s="3">
        <v>26</v>
      </c>
      <c r="D734" s="3">
        <v>12</v>
      </c>
      <c r="E734" s="3">
        <v>-415.981</v>
      </c>
      <c r="F734" s="4" t="str">
        <f>HYPERLINK("http://141.218.60.56/~jnz1568/getInfo.php?workbook=14_04.xlsx&amp;sheet=A0&amp;row=734&amp;col=6&amp;number=0.01147&amp;sourceID=14","0.01147")</f>
        <v>0.01147</v>
      </c>
      <c r="G734" s="4" t="str">
        <f>HYPERLINK("http://141.218.60.56/~jnz1568/getInfo.php?workbook=14_04.xlsx&amp;sheet=A0&amp;row=734&amp;col=7&amp;number=0&amp;sourceID=14","0")</f>
        <v>0</v>
      </c>
    </row>
    <row r="735" spans="1:7">
      <c r="A735" s="3">
        <v>14</v>
      </c>
      <c r="B735" s="3">
        <v>4</v>
      </c>
      <c r="C735" s="3">
        <v>27</v>
      </c>
      <c r="D735" s="3">
        <v>12</v>
      </c>
      <c r="E735" s="3">
        <v>416.307</v>
      </c>
      <c r="F735" s="4" t="str">
        <f>HYPERLINK("http://141.218.60.56/~jnz1568/getInfo.php?workbook=14_04.xlsx&amp;sheet=A0&amp;row=735&amp;col=6&amp;number=0.09054&amp;sourceID=14","0.09054")</f>
        <v>0.09054</v>
      </c>
      <c r="G735" s="4" t="str">
        <f>HYPERLINK("http://141.218.60.56/~jnz1568/getInfo.php?workbook=14_04.xlsx&amp;sheet=A0&amp;row=735&amp;col=7&amp;number=0&amp;sourceID=14","0")</f>
        <v>0</v>
      </c>
    </row>
    <row r="736" spans="1:7">
      <c r="A736" s="3">
        <v>14</v>
      </c>
      <c r="B736" s="3">
        <v>4</v>
      </c>
      <c r="C736" s="3">
        <v>29</v>
      </c>
      <c r="D736" s="3">
        <v>12</v>
      </c>
      <c r="E736" s="3">
        <v>387.038</v>
      </c>
      <c r="F736" s="4" t="str">
        <f>HYPERLINK("http://141.218.60.56/~jnz1568/getInfo.php?workbook=14_04.xlsx&amp;sheet=A0&amp;row=736&amp;col=6&amp;number=0.1638&amp;sourceID=14","0.1638")</f>
        <v>0.1638</v>
      </c>
      <c r="G736" s="4" t="str">
        <f>HYPERLINK("http://141.218.60.56/~jnz1568/getInfo.php?workbook=14_04.xlsx&amp;sheet=A0&amp;row=736&amp;col=7&amp;number=0&amp;sourceID=14","0")</f>
        <v>0</v>
      </c>
    </row>
    <row r="737" spans="1:7">
      <c r="A737" s="3">
        <v>14</v>
      </c>
      <c r="B737" s="3">
        <v>4</v>
      </c>
      <c r="C737" s="3">
        <v>31</v>
      </c>
      <c r="D737" s="3">
        <v>12</v>
      </c>
      <c r="E737" s="3">
        <v>369.968</v>
      </c>
      <c r="F737" s="4" t="str">
        <f>HYPERLINK("http://141.218.60.56/~jnz1568/getInfo.php?workbook=14_04.xlsx&amp;sheet=A0&amp;row=737&amp;col=6&amp;number=3.969&amp;sourceID=14","3.969")</f>
        <v>3.969</v>
      </c>
      <c r="G737" s="4" t="str">
        <f>HYPERLINK("http://141.218.60.56/~jnz1568/getInfo.php?workbook=14_04.xlsx&amp;sheet=A0&amp;row=737&amp;col=7&amp;number=0&amp;sourceID=14","0")</f>
        <v>0</v>
      </c>
    </row>
    <row r="738" spans="1:7">
      <c r="A738" s="3">
        <v>14</v>
      </c>
      <c r="B738" s="3">
        <v>4</v>
      </c>
      <c r="C738" s="3">
        <v>32</v>
      </c>
      <c r="D738" s="3">
        <v>12</v>
      </c>
      <c r="E738" s="3">
        <v>369.886</v>
      </c>
      <c r="F738" s="4" t="str">
        <f>HYPERLINK("http://141.218.60.56/~jnz1568/getInfo.php?workbook=14_04.xlsx&amp;sheet=A0&amp;row=738&amp;col=6&amp;number=0.6422&amp;sourceID=14","0.6422")</f>
        <v>0.6422</v>
      </c>
      <c r="G738" s="4" t="str">
        <f>HYPERLINK("http://141.218.60.56/~jnz1568/getInfo.php?workbook=14_04.xlsx&amp;sheet=A0&amp;row=738&amp;col=7&amp;number=0&amp;sourceID=14","0")</f>
        <v>0</v>
      </c>
    </row>
    <row r="739" spans="1:7">
      <c r="A739" s="3">
        <v>14</v>
      </c>
      <c r="B739" s="3">
        <v>4</v>
      </c>
      <c r="C739" s="3">
        <v>37</v>
      </c>
      <c r="D739" s="3">
        <v>12</v>
      </c>
      <c r="E739" s="3">
        <v>344.383</v>
      </c>
      <c r="F739" s="4" t="str">
        <f>HYPERLINK("http://141.218.60.56/~jnz1568/getInfo.php?workbook=14_04.xlsx&amp;sheet=A0&amp;row=739&amp;col=6&amp;number=145.6&amp;sourceID=14","145.6")</f>
        <v>145.6</v>
      </c>
      <c r="G739" s="4" t="str">
        <f>HYPERLINK("http://141.218.60.56/~jnz1568/getInfo.php?workbook=14_04.xlsx&amp;sheet=A0&amp;row=739&amp;col=7&amp;number=0&amp;sourceID=14","0")</f>
        <v>0</v>
      </c>
    </row>
    <row r="740" spans="1:7">
      <c r="A740" s="3">
        <v>14</v>
      </c>
      <c r="B740" s="3">
        <v>4</v>
      </c>
      <c r="C740" s="3">
        <v>38</v>
      </c>
      <c r="D740" s="3">
        <v>12</v>
      </c>
      <c r="E740" s="3">
        <v>-327.205</v>
      </c>
      <c r="F740" s="4" t="str">
        <f>HYPERLINK("http://141.218.60.56/~jnz1568/getInfo.php?workbook=14_04.xlsx&amp;sheet=A0&amp;row=740&amp;col=6&amp;number=397000&amp;sourceID=14","397000")</f>
        <v>397000</v>
      </c>
      <c r="G740" s="4" t="str">
        <f>HYPERLINK("http://141.218.60.56/~jnz1568/getInfo.php?workbook=14_04.xlsx&amp;sheet=A0&amp;row=740&amp;col=7&amp;number=0&amp;sourceID=14","0")</f>
        <v>0</v>
      </c>
    </row>
    <row r="741" spans="1:7">
      <c r="A741" s="3">
        <v>14</v>
      </c>
      <c r="B741" s="3">
        <v>4</v>
      </c>
      <c r="C741" s="3">
        <v>42</v>
      </c>
      <c r="D741" s="3">
        <v>12</v>
      </c>
      <c r="E741" s="3">
        <v>320.729</v>
      </c>
      <c r="F741" s="4" t="str">
        <f>HYPERLINK("http://141.218.60.56/~jnz1568/getInfo.php?workbook=14_04.xlsx&amp;sheet=A0&amp;row=741&amp;col=6&amp;number=7700&amp;sourceID=14","7700")</f>
        <v>7700</v>
      </c>
      <c r="G741" s="4" t="str">
        <f>HYPERLINK("http://141.218.60.56/~jnz1568/getInfo.php?workbook=14_04.xlsx&amp;sheet=A0&amp;row=741&amp;col=7&amp;number=0&amp;sourceID=14","0")</f>
        <v>0</v>
      </c>
    </row>
    <row r="742" spans="1:7">
      <c r="A742" s="3">
        <v>14</v>
      </c>
      <c r="B742" s="3">
        <v>4</v>
      </c>
      <c r="C742" s="3">
        <v>46</v>
      </c>
      <c r="D742" s="3">
        <v>12</v>
      </c>
      <c r="E742" s="3">
        <v>292.583</v>
      </c>
      <c r="F742" s="4" t="str">
        <f>HYPERLINK("http://141.218.60.56/~jnz1568/getInfo.php?workbook=14_04.xlsx&amp;sheet=A0&amp;row=742&amp;col=6&amp;number=62870000&amp;sourceID=14","62870000")</f>
        <v>62870000</v>
      </c>
      <c r="G742" s="4" t="str">
        <f>HYPERLINK("http://141.218.60.56/~jnz1568/getInfo.php?workbook=14_04.xlsx&amp;sheet=A0&amp;row=742&amp;col=7&amp;number=0&amp;sourceID=14","0")</f>
        <v>0</v>
      </c>
    </row>
    <row r="743" spans="1:7">
      <c r="A743" s="3">
        <v>14</v>
      </c>
      <c r="B743" s="3">
        <v>4</v>
      </c>
      <c r="C743" s="3">
        <v>47</v>
      </c>
      <c r="D743" s="3">
        <v>12</v>
      </c>
      <c r="E743" s="3">
        <v>143.927</v>
      </c>
      <c r="F743" s="4" t="str">
        <f>HYPERLINK("http://141.218.60.56/~jnz1568/getInfo.php?workbook=14_04.xlsx&amp;sheet=A0&amp;row=743&amp;col=6&amp;number=8.471e-06&amp;sourceID=14","8.471e-06")</f>
        <v>8.471e-06</v>
      </c>
      <c r="G743" s="4" t="str">
        <f>HYPERLINK("http://141.218.60.56/~jnz1568/getInfo.php?workbook=14_04.xlsx&amp;sheet=A0&amp;row=743&amp;col=7&amp;number=0&amp;sourceID=14","0")</f>
        <v>0</v>
      </c>
    </row>
    <row r="744" spans="1:7">
      <c r="A744" s="3">
        <v>14</v>
      </c>
      <c r="B744" s="3">
        <v>4</v>
      </c>
      <c r="C744" s="3">
        <v>50</v>
      </c>
      <c r="D744" s="3">
        <v>12</v>
      </c>
      <c r="E744" s="3">
        <v>134.436</v>
      </c>
      <c r="F744" s="4" t="str">
        <f>HYPERLINK("http://141.218.60.56/~jnz1568/getInfo.php?workbook=14_04.xlsx&amp;sheet=A0&amp;row=744&amp;col=6&amp;number=533500000&amp;sourceID=14","533500000")</f>
        <v>533500000</v>
      </c>
      <c r="G744" s="4" t="str">
        <f>HYPERLINK("http://141.218.60.56/~jnz1568/getInfo.php?workbook=14_04.xlsx&amp;sheet=A0&amp;row=744&amp;col=7&amp;number=0&amp;sourceID=14","0")</f>
        <v>0</v>
      </c>
    </row>
    <row r="745" spans="1:7">
      <c r="A745" s="3">
        <v>14</v>
      </c>
      <c r="B745" s="3">
        <v>4</v>
      </c>
      <c r="C745" s="3">
        <v>52</v>
      </c>
      <c r="D745" s="3">
        <v>12</v>
      </c>
      <c r="E745" s="3">
        <v>135.07</v>
      </c>
      <c r="F745" s="4" t="str">
        <f>HYPERLINK("http://141.218.60.56/~jnz1568/getInfo.php?workbook=14_04.xlsx&amp;sheet=A0&amp;row=745&amp;col=6&amp;number=37660000000&amp;sourceID=14","37660000000")</f>
        <v>37660000000</v>
      </c>
      <c r="G745" s="4" t="str">
        <f>HYPERLINK("http://141.218.60.56/~jnz1568/getInfo.php?workbook=14_04.xlsx&amp;sheet=A0&amp;row=745&amp;col=7&amp;number=0&amp;sourceID=14","0")</f>
        <v>0</v>
      </c>
    </row>
    <row r="746" spans="1:7">
      <c r="A746" s="3">
        <v>14</v>
      </c>
      <c r="B746" s="3">
        <v>4</v>
      </c>
      <c r="C746" s="3">
        <v>53</v>
      </c>
      <c r="D746" s="3">
        <v>12</v>
      </c>
      <c r="E746" s="3">
        <v>132.214</v>
      </c>
      <c r="F746" s="4" t="str">
        <f>HYPERLINK("http://141.218.60.56/~jnz1568/getInfo.php?workbook=14_04.xlsx&amp;sheet=A0&amp;row=746&amp;col=6&amp;number=1.978e-07&amp;sourceID=14","1.978e-07")</f>
        <v>1.978e-07</v>
      </c>
      <c r="G746" s="4" t="str">
        <f>HYPERLINK("http://141.218.60.56/~jnz1568/getInfo.php?workbook=14_04.xlsx&amp;sheet=A0&amp;row=746&amp;col=7&amp;number=0&amp;sourceID=14","0")</f>
        <v>0</v>
      </c>
    </row>
    <row r="747" spans="1:7">
      <c r="A747" s="3">
        <v>14</v>
      </c>
      <c r="B747" s="3">
        <v>4</v>
      </c>
      <c r="C747" s="3">
        <v>54</v>
      </c>
      <c r="D747" s="3">
        <v>12</v>
      </c>
      <c r="E747" s="3">
        <v>132.219</v>
      </c>
      <c r="F747" s="4" t="str">
        <f>HYPERLINK("http://141.218.60.56/~jnz1568/getInfo.php?workbook=14_04.xlsx&amp;sheet=A0&amp;row=747&amp;col=6&amp;number=1156&amp;sourceID=14","1156")</f>
        <v>1156</v>
      </c>
      <c r="G747" s="4" t="str">
        <f>HYPERLINK("http://141.218.60.56/~jnz1568/getInfo.php?workbook=14_04.xlsx&amp;sheet=A0&amp;row=747&amp;col=7&amp;number=0&amp;sourceID=14","0")</f>
        <v>0</v>
      </c>
    </row>
    <row r="748" spans="1:7">
      <c r="A748" s="3">
        <v>14</v>
      </c>
      <c r="B748" s="3">
        <v>4</v>
      </c>
      <c r="C748" s="3">
        <v>56</v>
      </c>
      <c r="D748" s="3">
        <v>12</v>
      </c>
      <c r="E748" s="3">
        <v>130.229</v>
      </c>
      <c r="F748" s="4" t="str">
        <f>HYPERLINK("http://141.218.60.56/~jnz1568/getInfo.php?workbook=14_04.xlsx&amp;sheet=A0&amp;row=748&amp;col=6&amp;number=9107000&amp;sourceID=14","9107000")</f>
        <v>9107000</v>
      </c>
      <c r="G748" s="4" t="str">
        <f>HYPERLINK("http://141.218.60.56/~jnz1568/getInfo.php?workbook=14_04.xlsx&amp;sheet=A0&amp;row=748&amp;col=7&amp;number=0&amp;sourceID=14","0")</f>
        <v>0</v>
      </c>
    </row>
    <row r="749" spans="1:7">
      <c r="A749" s="3">
        <v>14</v>
      </c>
      <c r="B749" s="3">
        <v>4</v>
      </c>
      <c r="C749" s="3">
        <v>58</v>
      </c>
      <c r="D749" s="3">
        <v>12</v>
      </c>
      <c r="E749" s="3">
        <v>-109.864</v>
      </c>
      <c r="F749" s="4" t="str">
        <f>HYPERLINK("http://141.218.60.56/~jnz1568/getInfo.php?workbook=14_04.xlsx&amp;sheet=A0&amp;row=749&amp;col=6&amp;number=11140000&amp;sourceID=14","11140000")</f>
        <v>11140000</v>
      </c>
      <c r="G749" s="4" t="str">
        <f>HYPERLINK("http://141.218.60.56/~jnz1568/getInfo.php?workbook=14_04.xlsx&amp;sheet=A0&amp;row=749&amp;col=7&amp;number=0&amp;sourceID=14","0")</f>
        <v>0</v>
      </c>
    </row>
    <row r="750" spans="1:7">
      <c r="A750" s="3">
        <v>14</v>
      </c>
      <c r="B750" s="3">
        <v>4</v>
      </c>
      <c r="C750" s="3">
        <v>60</v>
      </c>
      <c r="D750" s="3">
        <v>12</v>
      </c>
      <c r="E750" s="3">
        <v>-108.333</v>
      </c>
      <c r="F750" s="4" t="str">
        <f>HYPERLINK("http://141.218.60.56/~jnz1568/getInfo.php?workbook=14_04.xlsx&amp;sheet=A0&amp;row=750&amp;col=6&amp;number=144800000&amp;sourceID=14","144800000")</f>
        <v>144800000</v>
      </c>
      <c r="G750" s="4" t="str">
        <f>HYPERLINK("http://141.218.60.56/~jnz1568/getInfo.php?workbook=14_04.xlsx&amp;sheet=A0&amp;row=750&amp;col=7&amp;number=0&amp;sourceID=14","0")</f>
        <v>0</v>
      </c>
    </row>
    <row r="751" spans="1:7">
      <c r="A751" s="3">
        <v>14</v>
      </c>
      <c r="B751" s="3">
        <v>4</v>
      </c>
      <c r="C751" s="3">
        <v>61</v>
      </c>
      <c r="D751" s="3">
        <v>12</v>
      </c>
      <c r="E751" s="3">
        <v>-106.951</v>
      </c>
      <c r="F751" s="4" t="str">
        <f>HYPERLINK("http://141.218.60.56/~jnz1568/getInfo.php?workbook=14_04.xlsx&amp;sheet=A0&amp;row=751&amp;col=6&amp;number=0.05137&amp;sourceID=14","0.05137")</f>
        <v>0.05137</v>
      </c>
      <c r="G751" s="4" t="str">
        <f>HYPERLINK("http://141.218.60.56/~jnz1568/getInfo.php?workbook=14_04.xlsx&amp;sheet=A0&amp;row=751&amp;col=7&amp;number=0&amp;sourceID=14","0")</f>
        <v>0</v>
      </c>
    </row>
    <row r="752" spans="1:7">
      <c r="A752" s="3">
        <v>14</v>
      </c>
      <c r="B752" s="3">
        <v>4</v>
      </c>
      <c r="C752" s="3">
        <v>62</v>
      </c>
      <c r="D752" s="3">
        <v>12</v>
      </c>
      <c r="E752" s="3">
        <v>-107.454</v>
      </c>
      <c r="F752" s="4" t="str">
        <f>HYPERLINK("http://141.218.60.56/~jnz1568/getInfo.php?workbook=14_04.xlsx&amp;sheet=A0&amp;row=752&amp;col=6&amp;number=0.0006391&amp;sourceID=14","0.0006391")</f>
        <v>0.0006391</v>
      </c>
      <c r="G752" s="4" t="str">
        <f>HYPERLINK("http://141.218.60.56/~jnz1568/getInfo.php?workbook=14_04.xlsx&amp;sheet=A0&amp;row=752&amp;col=7&amp;number=0&amp;sourceID=14","0")</f>
        <v>0</v>
      </c>
    </row>
    <row r="753" spans="1:7">
      <c r="A753" s="3">
        <v>14</v>
      </c>
      <c r="B753" s="3">
        <v>4</v>
      </c>
      <c r="C753" s="3">
        <v>63</v>
      </c>
      <c r="D753" s="3">
        <v>12</v>
      </c>
      <c r="E753" s="3">
        <v>-106.921</v>
      </c>
      <c r="F753" s="4" t="str">
        <f>HYPERLINK("http://141.218.60.56/~jnz1568/getInfo.php?workbook=14_04.xlsx&amp;sheet=A0&amp;row=753&amp;col=6&amp;number=384&amp;sourceID=14","384")</f>
        <v>384</v>
      </c>
      <c r="G753" s="4" t="str">
        <f>HYPERLINK("http://141.218.60.56/~jnz1568/getInfo.php?workbook=14_04.xlsx&amp;sheet=A0&amp;row=753&amp;col=7&amp;number=0&amp;sourceID=14","0")</f>
        <v>0</v>
      </c>
    </row>
    <row r="754" spans="1:7">
      <c r="A754" s="3">
        <v>14</v>
      </c>
      <c r="B754" s="3">
        <v>4</v>
      </c>
      <c r="C754" s="3">
        <v>65</v>
      </c>
      <c r="D754" s="3">
        <v>12</v>
      </c>
      <c r="E754" s="3">
        <v>-106.104</v>
      </c>
      <c r="F754" s="4" t="str">
        <f>HYPERLINK("http://141.218.60.56/~jnz1568/getInfo.php?workbook=14_04.xlsx&amp;sheet=A0&amp;row=754&amp;col=6&amp;number=0.1401&amp;sourceID=14","0.1401")</f>
        <v>0.1401</v>
      </c>
      <c r="G754" s="4" t="str">
        <f>HYPERLINK("http://141.218.60.56/~jnz1568/getInfo.php?workbook=14_04.xlsx&amp;sheet=A0&amp;row=754&amp;col=7&amp;number=0&amp;sourceID=14","0")</f>
        <v>0</v>
      </c>
    </row>
    <row r="755" spans="1:7">
      <c r="A755" s="3">
        <v>14</v>
      </c>
      <c r="B755" s="3">
        <v>4</v>
      </c>
      <c r="C755" s="3">
        <v>67</v>
      </c>
      <c r="D755" s="3">
        <v>12</v>
      </c>
      <c r="E755" s="3">
        <v>-105.614</v>
      </c>
      <c r="F755" s="4" t="str">
        <f>HYPERLINK("http://141.218.60.56/~jnz1568/getInfo.php?workbook=14_04.xlsx&amp;sheet=A0&amp;row=755&amp;col=6&amp;number=0.3173&amp;sourceID=14","0.3173")</f>
        <v>0.3173</v>
      </c>
      <c r="G755" s="4" t="str">
        <f>HYPERLINK("http://141.218.60.56/~jnz1568/getInfo.php?workbook=14_04.xlsx&amp;sheet=A0&amp;row=755&amp;col=7&amp;number=0&amp;sourceID=14","0")</f>
        <v>0</v>
      </c>
    </row>
    <row r="756" spans="1:7">
      <c r="A756" s="3">
        <v>14</v>
      </c>
      <c r="B756" s="3">
        <v>4</v>
      </c>
      <c r="C756" s="3">
        <v>68</v>
      </c>
      <c r="D756" s="3">
        <v>12</v>
      </c>
      <c r="E756" s="3">
        <v>-105.526</v>
      </c>
      <c r="F756" s="4" t="str">
        <f>HYPERLINK("http://141.218.60.56/~jnz1568/getInfo.php?workbook=14_04.xlsx&amp;sheet=A0&amp;row=756&amp;col=6&amp;number=881.7&amp;sourceID=14","881.7")</f>
        <v>881.7</v>
      </c>
      <c r="G756" s="4" t="str">
        <f>HYPERLINK("http://141.218.60.56/~jnz1568/getInfo.php?workbook=14_04.xlsx&amp;sheet=A0&amp;row=756&amp;col=7&amp;number=0&amp;sourceID=14","0")</f>
        <v>0</v>
      </c>
    </row>
    <row r="757" spans="1:7">
      <c r="A757" s="3">
        <v>14</v>
      </c>
      <c r="B757" s="3">
        <v>4</v>
      </c>
      <c r="C757" s="3">
        <v>72</v>
      </c>
      <c r="D757" s="3">
        <v>12</v>
      </c>
      <c r="E757" s="3">
        <v>-104.661</v>
      </c>
      <c r="F757" s="4" t="str">
        <f>HYPERLINK("http://141.218.60.56/~jnz1568/getInfo.php?workbook=14_04.xlsx&amp;sheet=A0&amp;row=757&amp;col=6&amp;number=35860&amp;sourceID=14","35860")</f>
        <v>35860</v>
      </c>
      <c r="G757" s="4" t="str">
        <f>HYPERLINK("http://141.218.60.56/~jnz1568/getInfo.php?workbook=14_04.xlsx&amp;sheet=A0&amp;row=757&amp;col=7&amp;number=0&amp;sourceID=14","0")</f>
        <v>0</v>
      </c>
    </row>
    <row r="758" spans="1:7">
      <c r="A758" s="3">
        <v>14</v>
      </c>
      <c r="B758" s="3">
        <v>4</v>
      </c>
      <c r="C758" s="3">
        <v>74</v>
      </c>
      <c r="D758" s="3">
        <v>12</v>
      </c>
      <c r="E758" s="3">
        <v>-104.352</v>
      </c>
      <c r="F758" s="4" t="str">
        <f>HYPERLINK("http://141.218.60.56/~jnz1568/getInfo.php?workbook=14_04.xlsx&amp;sheet=A0&amp;row=758&amp;col=6&amp;number=60210000&amp;sourceID=14","60210000")</f>
        <v>60210000</v>
      </c>
      <c r="G758" s="4" t="str">
        <f>HYPERLINK("http://141.218.60.56/~jnz1568/getInfo.php?workbook=14_04.xlsx&amp;sheet=A0&amp;row=758&amp;col=7&amp;number=0&amp;sourceID=14","0")</f>
        <v>0</v>
      </c>
    </row>
    <row r="759" spans="1:7">
      <c r="A759" s="3">
        <v>14</v>
      </c>
      <c r="B759" s="3">
        <v>4</v>
      </c>
      <c r="C759" s="3">
        <v>78</v>
      </c>
      <c r="D759" s="3">
        <v>12</v>
      </c>
      <c r="E759" s="3">
        <v>-103.506</v>
      </c>
      <c r="F759" s="4" t="str">
        <f>HYPERLINK("http://141.218.60.56/~jnz1568/getInfo.php?workbook=14_04.xlsx&amp;sheet=A0&amp;row=759&amp;col=6&amp;number=4903000&amp;sourceID=14","4903000")</f>
        <v>4903000</v>
      </c>
      <c r="G759" s="4" t="str">
        <f>HYPERLINK("http://141.218.60.56/~jnz1568/getInfo.php?workbook=14_04.xlsx&amp;sheet=A0&amp;row=759&amp;col=7&amp;number=0&amp;sourceID=14","0")</f>
        <v>0</v>
      </c>
    </row>
    <row r="760" spans="1:7">
      <c r="A760" s="3">
        <v>14</v>
      </c>
      <c r="B760" s="3">
        <v>4</v>
      </c>
      <c r="C760" s="3">
        <v>82</v>
      </c>
      <c r="D760" s="3">
        <v>12</v>
      </c>
      <c r="E760" s="3">
        <v>-102.207</v>
      </c>
      <c r="F760" s="4" t="str">
        <f>HYPERLINK("http://141.218.60.56/~jnz1568/getInfo.php?workbook=14_04.xlsx&amp;sheet=A0&amp;row=760&amp;col=6&amp;number=1388000000&amp;sourceID=14","1388000000")</f>
        <v>1388000000</v>
      </c>
      <c r="G760" s="4" t="str">
        <f>HYPERLINK("http://141.218.60.56/~jnz1568/getInfo.php?workbook=14_04.xlsx&amp;sheet=A0&amp;row=760&amp;col=7&amp;number=0&amp;sourceID=14","0")</f>
        <v>0</v>
      </c>
    </row>
    <row r="761" spans="1:7">
      <c r="A761" s="3">
        <v>14</v>
      </c>
      <c r="B761" s="3">
        <v>4</v>
      </c>
      <c r="C761" s="3">
        <v>83</v>
      </c>
      <c r="D761" s="3">
        <v>12</v>
      </c>
      <c r="E761" s="3">
        <v>-96.216</v>
      </c>
      <c r="F761" s="4" t="str">
        <f>HYPERLINK("http://141.218.60.56/~jnz1568/getInfo.php?workbook=14_04.xlsx&amp;sheet=A0&amp;row=761&amp;col=6&amp;number=5.826e-06&amp;sourceID=14","5.826e-06")</f>
        <v>5.826e-06</v>
      </c>
      <c r="G761" s="4" t="str">
        <f>HYPERLINK("http://141.218.60.56/~jnz1568/getInfo.php?workbook=14_04.xlsx&amp;sheet=A0&amp;row=761&amp;col=7&amp;number=0&amp;sourceID=14","0")</f>
        <v>0</v>
      </c>
    </row>
    <row r="762" spans="1:7">
      <c r="A762" s="3">
        <v>14</v>
      </c>
      <c r="B762" s="3">
        <v>4</v>
      </c>
      <c r="C762" s="3">
        <v>86</v>
      </c>
      <c r="D762" s="3">
        <v>12</v>
      </c>
      <c r="E762" s="3">
        <v>-94.879</v>
      </c>
      <c r="F762" s="4" t="str">
        <f>HYPERLINK("http://141.218.60.56/~jnz1568/getInfo.php?workbook=14_04.xlsx&amp;sheet=A0&amp;row=762&amp;col=6&amp;number=111600000&amp;sourceID=14","111600000")</f>
        <v>111600000</v>
      </c>
      <c r="G762" s="4" t="str">
        <f>HYPERLINK("http://141.218.60.56/~jnz1568/getInfo.php?workbook=14_04.xlsx&amp;sheet=A0&amp;row=762&amp;col=7&amp;number=0&amp;sourceID=14","0")</f>
        <v>0</v>
      </c>
    </row>
    <row r="763" spans="1:7">
      <c r="A763" s="3">
        <v>14</v>
      </c>
      <c r="B763" s="3">
        <v>4</v>
      </c>
      <c r="C763" s="3">
        <v>88</v>
      </c>
      <c r="D763" s="3">
        <v>12</v>
      </c>
      <c r="E763" s="3">
        <v>-94.623</v>
      </c>
      <c r="F763" s="4" t="str">
        <f>HYPERLINK("http://141.218.60.56/~jnz1568/getInfo.php?workbook=14_04.xlsx&amp;sheet=A0&amp;row=763&amp;col=6&amp;number=20490000000&amp;sourceID=14","20490000000")</f>
        <v>20490000000</v>
      </c>
      <c r="G763" s="4" t="str">
        <f>HYPERLINK("http://141.218.60.56/~jnz1568/getInfo.php?workbook=14_04.xlsx&amp;sheet=A0&amp;row=763&amp;col=7&amp;number=0&amp;sourceID=14","0")</f>
        <v>0</v>
      </c>
    </row>
    <row r="764" spans="1:7">
      <c r="A764" s="3">
        <v>14</v>
      </c>
      <c r="B764" s="3">
        <v>4</v>
      </c>
      <c r="C764" s="3">
        <v>89</v>
      </c>
      <c r="D764" s="3">
        <v>12</v>
      </c>
      <c r="E764" s="3">
        <v>-94.124</v>
      </c>
      <c r="F764" s="4" t="str">
        <f>HYPERLINK("http://141.218.60.56/~jnz1568/getInfo.php?workbook=14_04.xlsx&amp;sheet=A0&amp;row=764&amp;col=6&amp;number=2.526e-08&amp;sourceID=14","2.526e-08")</f>
        <v>2.526e-08</v>
      </c>
      <c r="G764" s="4" t="str">
        <f>HYPERLINK("http://141.218.60.56/~jnz1568/getInfo.php?workbook=14_04.xlsx&amp;sheet=A0&amp;row=764&amp;col=7&amp;number=0&amp;sourceID=14","0")</f>
        <v>0</v>
      </c>
    </row>
    <row r="765" spans="1:7">
      <c r="A765" s="3">
        <v>14</v>
      </c>
      <c r="B765" s="3">
        <v>4</v>
      </c>
      <c r="C765" s="3">
        <v>90</v>
      </c>
      <c r="D765" s="3">
        <v>12</v>
      </c>
      <c r="E765" s="3">
        <v>94.129</v>
      </c>
      <c r="F765" s="4" t="str">
        <f>HYPERLINK("http://141.218.60.56/~jnz1568/getInfo.php?workbook=14_04.xlsx&amp;sheet=A0&amp;row=765&amp;col=6&amp;number=568.1&amp;sourceID=14","568.1")</f>
        <v>568.1</v>
      </c>
      <c r="G765" s="4" t="str">
        <f>HYPERLINK("http://141.218.60.56/~jnz1568/getInfo.php?workbook=14_04.xlsx&amp;sheet=A0&amp;row=765&amp;col=7&amp;number=0&amp;sourceID=14","0")</f>
        <v>0</v>
      </c>
    </row>
    <row r="766" spans="1:7">
      <c r="A766" s="3">
        <v>14</v>
      </c>
      <c r="B766" s="3">
        <v>4</v>
      </c>
      <c r="C766" s="3">
        <v>92</v>
      </c>
      <c r="D766" s="3">
        <v>12</v>
      </c>
      <c r="E766" s="3">
        <v>93.79</v>
      </c>
      <c r="F766" s="4" t="str">
        <f>HYPERLINK("http://141.218.60.56/~jnz1568/getInfo.php?workbook=14_04.xlsx&amp;sheet=A0&amp;row=766&amp;col=6&amp;number=3906000&amp;sourceID=14","3906000")</f>
        <v>3906000</v>
      </c>
      <c r="G766" s="4" t="str">
        <f>HYPERLINK("http://141.218.60.56/~jnz1568/getInfo.php?workbook=14_04.xlsx&amp;sheet=A0&amp;row=766&amp;col=7&amp;number=0&amp;sourceID=14","0")</f>
        <v>0</v>
      </c>
    </row>
    <row r="767" spans="1:7">
      <c r="A767" s="3">
        <v>14</v>
      </c>
      <c r="B767" s="3">
        <v>4</v>
      </c>
      <c r="C767" s="3">
        <v>14</v>
      </c>
      <c r="D767" s="3">
        <v>13</v>
      </c>
      <c r="E767" s="3">
        <v>-42495.508</v>
      </c>
      <c r="F767" s="4" t="str">
        <f>HYPERLINK("http://141.218.60.56/~jnz1568/getInfo.php?workbook=14_04.xlsx&amp;sheet=A0&amp;row=767&amp;col=6&amp;number=0.05361&amp;sourceID=14","0.05361")</f>
        <v>0.05361</v>
      </c>
      <c r="G767" s="4" t="str">
        <f>HYPERLINK("http://141.218.60.56/~jnz1568/getInfo.php?workbook=14_04.xlsx&amp;sheet=A0&amp;row=767&amp;col=7&amp;number=0&amp;sourceID=14","0")</f>
        <v>0</v>
      </c>
    </row>
    <row r="768" spans="1:7">
      <c r="A768" s="3">
        <v>14</v>
      </c>
      <c r="B768" s="3">
        <v>4</v>
      </c>
      <c r="C768" s="3">
        <v>15</v>
      </c>
      <c r="D768" s="3">
        <v>13</v>
      </c>
      <c r="E768" s="3">
        <v>29542.152</v>
      </c>
      <c r="F768" s="4" t="str">
        <f>HYPERLINK("http://141.218.60.56/~jnz1568/getInfo.php?workbook=14_04.xlsx&amp;sheet=A0&amp;row=768&amp;col=6&amp;number=0.03685&amp;sourceID=14","0.03685")</f>
        <v>0.03685</v>
      </c>
      <c r="G768" s="4" t="str">
        <f>HYPERLINK("http://141.218.60.56/~jnz1568/getInfo.php?workbook=14_04.xlsx&amp;sheet=A0&amp;row=768&amp;col=7&amp;number=0&amp;sourceID=14","0")</f>
        <v>0</v>
      </c>
    </row>
    <row r="769" spans="1:7">
      <c r="A769" s="3">
        <v>14</v>
      </c>
      <c r="B769" s="3">
        <v>4</v>
      </c>
      <c r="C769" s="3">
        <v>16</v>
      </c>
      <c r="D769" s="3">
        <v>13</v>
      </c>
      <c r="E769" s="3">
        <v>45126.437</v>
      </c>
      <c r="F769" s="4" t="str">
        <f>HYPERLINK("http://141.218.60.56/~jnz1568/getInfo.php?workbook=14_04.xlsx&amp;sheet=A0&amp;row=769&amp;col=6&amp;number=0.01119&amp;sourceID=14","0.01119")</f>
        <v>0.01119</v>
      </c>
      <c r="G769" s="4" t="str">
        <f>HYPERLINK("http://141.218.60.56/~jnz1568/getInfo.php?workbook=14_04.xlsx&amp;sheet=A0&amp;row=769&amp;col=7&amp;number=0&amp;sourceID=14","0")</f>
        <v>0</v>
      </c>
    </row>
    <row r="770" spans="1:7">
      <c r="A770" s="3">
        <v>14</v>
      </c>
      <c r="B770" s="3">
        <v>4</v>
      </c>
      <c r="C770" s="3">
        <v>17</v>
      </c>
      <c r="D770" s="3">
        <v>13</v>
      </c>
      <c r="E770" s="3">
        <v>2212.834</v>
      </c>
      <c r="F770" s="4" t="str">
        <f>HYPERLINK("http://141.218.60.56/~jnz1568/getInfo.php?workbook=14_04.xlsx&amp;sheet=A0&amp;row=770&amp;col=6&amp;number=1545000&amp;sourceID=14","1545000")</f>
        <v>1545000</v>
      </c>
      <c r="G770" s="4" t="str">
        <f>HYPERLINK("http://141.218.60.56/~jnz1568/getInfo.php?workbook=14_04.xlsx&amp;sheet=A0&amp;row=770&amp;col=7&amp;number=0&amp;sourceID=14","0")</f>
        <v>0</v>
      </c>
    </row>
    <row r="771" spans="1:7">
      <c r="A771" s="3">
        <v>14</v>
      </c>
      <c r="B771" s="3">
        <v>4</v>
      </c>
      <c r="C771" s="3">
        <v>18</v>
      </c>
      <c r="D771" s="3">
        <v>13</v>
      </c>
      <c r="E771" s="3">
        <v>2152.764</v>
      </c>
      <c r="F771" s="4" t="str">
        <f>HYPERLINK("http://141.218.60.56/~jnz1568/getInfo.php?workbook=14_04.xlsx&amp;sheet=A0&amp;row=771&amp;col=6&amp;number=3297000&amp;sourceID=14","3297000")</f>
        <v>3297000</v>
      </c>
      <c r="G771" s="4" t="str">
        <f>HYPERLINK("http://141.218.60.56/~jnz1568/getInfo.php?workbook=14_04.xlsx&amp;sheet=A0&amp;row=771&amp;col=7&amp;number=0&amp;sourceID=14","0")</f>
        <v>0</v>
      </c>
    </row>
    <row r="772" spans="1:7">
      <c r="A772" s="3">
        <v>14</v>
      </c>
      <c r="B772" s="3">
        <v>4</v>
      </c>
      <c r="C772" s="3">
        <v>20</v>
      </c>
      <c r="D772" s="3">
        <v>13</v>
      </c>
      <c r="E772" s="3">
        <v>1294.166</v>
      </c>
      <c r="F772" s="4" t="str">
        <f>HYPERLINK("http://141.218.60.56/~jnz1568/getInfo.php?workbook=14_04.xlsx&amp;sheet=A0&amp;row=772&amp;col=6&amp;number=238200000&amp;sourceID=14","238200000")</f>
        <v>238200000</v>
      </c>
      <c r="G772" s="4" t="str">
        <f>HYPERLINK("http://141.218.60.56/~jnz1568/getInfo.php?workbook=14_04.xlsx&amp;sheet=A0&amp;row=772&amp;col=7&amp;number=0&amp;sourceID=14","0")</f>
        <v>0</v>
      </c>
    </row>
    <row r="773" spans="1:7">
      <c r="A773" s="3">
        <v>14</v>
      </c>
      <c r="B773" s="3">
        <v>4</v>
      </c>
      <c r="C773" s="3">
        <v>21</v>
      </c>
      <c r="D773" s="3">
        <v>13</v>
      </c>
      <c r="E773" s="3">
        <v>714.134</v>
      </c>
      <c r="F773" s="4" t="str">
        <f>HYPERLINK("http://141.218.60.56/~jnz1568/getInfo.php?workbook=14_04.xlsx&amp;sheet=A0&amp;row=773&amp;col=6&amp;number=11.6&amp;sourceID=14","11.6")</f>
        <v>11.6</v>
      </c>
      <c r="G773" s="4" t="str">
        <f>HYPERLINK("http://141.218.60.56/~jnz1568/getInfo.php?workbook=14_04.xlsx&amp;sheet=A0&amp;row=773&amp;col=7&amp;number=0&amp;sourceID=14","0")</f>
        <v>0</v>
      </c>
    </row>
    <row r="774" spans="1:7">
      <c r="A774" s="3">
        <v>14</v>
      </c>
      <c r="B774" s="3">
        <v>4</v>
      </c>
      <c r="C774" s="3">
        <v>22</v>
      </c>
      <c r="D774" s="3">
        <v>13</v>
      </c>
      <c r="E774" s="3">
        <v>-708.959</v>
      </c>
      <c r="F774" s="4" t="str">
        <f>HYPERLINK("http://141.218.60.56/~jnz1568/getInfo.php?workbook=14_04.xlsx&amp;sheet=A0&amp;row=774&amp;col=6&amp;number=6.119&amp;sourceID=14","6.119")</f>
        <v>6.119</v>
      </c>
      <c r="G774" s="4" t="str">
        <f>HYPERLINK("http://141.218.60.56/~jnz1568/getInfo.php?workbook=14_04.xlsx&amp;sheet=A0&amp;row=774&amp;col=7&amp;number=0&amp;sourceID=14","0")</f>
        <v>0</v>
      </c>
    </row>
    <row r="775" spans="1:7">
      <c r="A775" s="3">
        <v>14</v>
      </c>
      <c r="B775" s="3">
        <v>4</v>
      </c>
      <c r="C775" s="3">
        <v>23</v>
      </c>
      <c r="D775" s="3">
        <v>13</v>
      </c>
      <c r="E775" s="3">
        <v>-681.419</v>
      </c>
      <c r="F775" s="4" t="str">
        <f>HYPERLINK("http://141.218.60.56/~jnz1568/getInfo.php?workbook=14_04.xlsx&amp;sheet=A0&amp;row=775&amp;col=6&amp;number=2.688&amp;sourceID=14","2.688")</f>
        <v>2.688</v>
      </c>
      <c r="G775" s="4" t="str">
        <f>HYPERLINK("http://141.218.60.56/~jnz1568/getInfo.php?workbook=14_04.xlsx&amp;sheet=A0&amp;row=775&amp;col=7&amp;number=0&amp;sourceID=14","0")</f>
        <v>0</v>
      </c>
    </row>
    <row r="776" spans="1:7">
      <c r="A776" s="3">
        <v>14</v>
      </c>
      <c r="B776" s="3">
        <v>4</v>
      </c>
      <c r="C776" s="3">
        <v>24</v>
      </c>
      <c r="D776" s="3">
        <v>13</v>
      </c>
      <c r="E776" s="3">
        <v>-563.95</v>
      </c>
      <c r="F776" s="4" t="str">
        <f>HYPERLINK("http://141.218.60.56/~jnz1568/getInfo.php?workbook=14_04.xlsx&amp;sheet=A0&amp;row=776&amp;col=6&amp;number=641.5&amp;sourceID=14","641.5")</f>
        <v>641.5</v>
      </c>
      <c r="G776" s="4" t="str">
        <f>HYPERLINK("http://141.218.60.56/~jnz1568/getInfo.php?workbook=14_04.xlsx&amp;sheet=A0&amp;row=776&amp;col=7&amp;number=0&amp;sourceID=14","0")</f>
        <v>0</v>
      </c>
    </row>
    <row r="777" spans="1:7">
      <c r="A777" s="3">
        <v>14</v>
      </c>
      <c r="B777" s="3">
        <v>4</v>
      </c>
      <c r="C777" s="3">
        <v>25</v>
      </c>
      <c r="D777" s="3">
        <v>13</v>
      </c>
      <c r="E777" s="3">
        <v>-534.954</v>
      </c>
      <c r="F777" s="4" t="str">
        <f>HYPERLINK("http://141.218.60.56/~jnz1568/getInfo.php?workbook=14_04.xlsx&amp;sheet=A0&amp;row=777&amp;col=6&amp;number=1798000000&amp;sourceID=14","1798000000")</f>
        <v>1798000000</v>
      </c>
      <c r="G777" s="4" t="str">
        <f>HYPERLINK("http://141.218.60.56/~jnz1568/getInfo.php?workbook=14_04.xlsx&amp;sheet=A0&amp;row=777&amp;col=7&amp;number=0&amp;sourceID=14","0")</f>
        <v>0</v>
      </c>
    </row>
    <row r="778" spans="1:7">
      <c r="A778" s="3">
        <v>14</v>
      </c>
      <c r="B778" s="3">
        <v>4</v>
      </c>
      <c r="C778" s="3">
        <v>26</v>
      </c>
      <c r="D778" s="3">
        <v>13</v>
      </c>
      <c r="E778" s="3">
        <v>-511.029</v>
      </c>
      <c r="F778" s="4" t="str">
        <f>HYPERLINK("http://141.218.60.56/~jnz1568/getInfo.php?workbook=14_04.xlsx&amp;sheet=A0&amp;row=778&amp;col=6&amp;number=123100000&amp;sourceID=14","123100000")</f>
        <v>123100000</v>
      </c>
      <c r="G778" s="4" t="str">
        <f>HYPERLINK("http://141.218.60.56/~jnz1568/getInfo.php?workbook=14_04.xlsx&amp;sheet=A0&amp;row=778&amp;col=7&amp;number=0&amp;sourceID=14","0")</f>
        <v>0</v>
      </c>
    </row>
    <row r="779" spans="1:7">
      <c r="A779" s="3">
        <v>14</v>
      </c>
      <c r="B779" s="3">
        <v>4</v>
      </c>
      <c r="C779" s="3">
        <v>27</v>
      </c>
      <c r="D779" s="3">
        <v>13</v>
      </c>
      <c r="E779" s="3">
        <v>508.806</v>
      </c>
      <c r="F779" s="4" t="str">
        <f>HYPERLINK("http://141.218.60.56/~jnz1568/getInfo.php?workbook=14_04.xlsx&amp;sheet=A0&amp;row=779&amp;col=6&amp;number=56190000&amp;sourceID=14","56190000")</f>
        <v>56190000</v>
      </c>
      <c r="G779" s="4" t="str">
        <f>HYPERLINK("http://141.218.60.56/~jnz1568/getInfo.php?workbook=14_04.xlsx&amp;sheet=A0&amp;row=779&amp;col=7&amp;number=0&amp;sourceID=14","0")</f>
        <v>0</v>
      </c>
    </row>
    <row r="780" spans="1:7">
      <c r="A780" s="3">
        <v>14</v>
      </c>
      <c r="B780" s="3">
        <v>4</v>
      </c>
      <c r="C780" s="3">
        <v>29</v>
      </c>
      <c r="D780" s="3">
        <v>13</v>
      </c>
      <c r="E780" s="3">
        <v>465.758</v>
      </c>
      <c r="F780" s="4" t="str">
        <f>HYPERLINK("http://141.218.60.56/~jnz1568/getInfo.php?workbook=14_04.xlsx&amp;sheet=A0&amp;row=780&amp;col=6&amp;number=3728&amp;sourceID=14","3728")</f>
        <v>3728</v>
      </c>
      <c r="G780" s="4" t="str">
        <f>HYPERLINK("http://141.218.60.56/~jnz1568/getInfo.php?workbook=14_04.xlsx&amp;sheet=A0&amp;row=780&amp;col=7&amp;number=0&amp;sourceID=14","0")</f>
        <v>0</v>
      </c>
    </row>
    <row r="781" spans="1:7">
      <c r="A781" s="3">
        <v>14</v>
      </c>
      <c r="B781" s="3">
        <v>4</v>
      </c>
      <c r="C781" s="3">
        <v>30</v>
      </c>
      <c r="D781" s="3">
        <v>13</v>
      </c>
      <c r="E781" s="3">
        <v>-448.005</v>
      </c>
      <c r="F781" s="4" t="str">
        <f>HYPERLINK("http://141.218.60.56/~jnz1568/getInfo.php?workbook=14_04.xlsx&amp;sheet=A0&amp;row=781&amp;col=6&amp;number=128300000&amp;sourceID=14","128300000")</f>
        <v>128300000</v>
      </c>
      <c r="G781" s="4" t="str">
        <f>HYPERLINK("http://141.218.60.56/~jnz1568/getInfo.php?workbook=14_04.xlsx&amp;sheet=A0&amp;row=781&amp;col=7&amp;number=0&amp;sourceID=14","0")</f>
        <v>0</v>
      </c>
    </row>
    <row r="782" spans="1:7">
      <c r="A782" s="3">
        <v>14</v>
      </c>
      <c r="B782" s="3">
        <v>4</v>
      </c>
      <c r="C782" s="3">
        <v>31</v>
      </c>
      <c r="D782" s="3">
        <v>13</v>
      </c>
      <c r="E782" s="3">
        <v>441.258</v>
      </c>
      <c r="F782" s="4" t="str">
        <f>HYPERLINK("http://141.218.60.56/~jnz1568/getInfo.php?workbook=14_04.xlsx&amp;sheet=A0&amp;row=782&amp;col=6&amp;number=56170000&amp;sourceID=14","56170000")</f>
        <v>56170000</v>
      </c>
      <c r="G782" s="4" t="str">
        <f>HYPERLINK("http://141.218.60.56/~jnz1568/getInfo.php?workbook=14_04.xlsx&amp;sheet=A0&amp;row=782&amp;col=7&amp;number=0&amp;sourceID=14","0")</f>
        <v>0</v>
      </c>
    </row>
    <row r="783" spans="1:7">
      <c r="A783" s="3">
        <v>14</v>
      </c>
      <c r="B783" s="3">
        <v>4</v>
      </c>
      <c r="C783" s="3">
        <v>32</v>
      </c>
      <c r="D783" s="3">
        <v>13</v>
      </c>
      <c r="E783" s="3">
        <v>441.142</v>
      </c>
      <c r="F783" s="4" t="str">
        <f>HYPERLINK("http://141.218.60.56/~jnz1568/getInfo.php?workbook=14_04.xlsx&amp;sheet=A0&amp;row=783&amp;col=6&amp;number=49720000&amp;sourceID=14","49720000")</f>
        <v>49720000</v>
      </c>
      <c r="G783" s="4" t="str">
        <f>HYPERLINK("http://141.218.60.56/~jnz1568/getInfo.php?workbook=14_04.xlsx&amp;sheet=A0&amp;row=783&amp;col=7&amp;number=0&amp;sourceID=14","0")</f>
        <v>0</v>
      </c>
    </row>
    <row r="784" spans="1:7">
      <c r="A784" s="3">
        <v>14</v>
      </c>
      <c r="B784" s="3">
        <v>4</v>
      </c>
      <c r="C784" s="3">
        <v>33</v>
      </c>
      <c r="D784" s="3">
        <v>13</v>
      </c>
      <c r="E784" s="3">
        <v>-429.03</v>
      </c>
      <c r="F784" s="4" t="str">
        <f>HYPERLINK("http://141.218.60.56/~jnz1568/getInfo.php?workbook=14_04.xlsx&amp;sheet=A0&amp;row=784&amp;col=6&amp;number=107.5&amp;sourceID=14","107.5")</f>
        <v>107.5</v>
      </c>
      <c r="G784" s="4" t="str">
        <f>HYPERLINK("http://141.218.60.56/~jnz1568/getInfo.php?workbook=14_04.xlsx&amp;sheet=A0&amp;row=784&amp;col=7&amp;number=0&amp;sourceID=14","0")</f>
        <v>0</v>
      </c>
    </row>
    <row r="785" spans="1:7">
      <c r="A785" s="3">
        <v>14</v>
      </c>
      <c r="B785" s="3">
        <v>4</v>
      </c>
      <c r="C785" s="3">
        <v>34</v>
      </c>
      <c r="D785" s="3">
        <v>13</v>
      </c>
      <c r="E785" s="3">
        <v>-421.624</v>
      </c>
      <c r="F785" s="4" t="str">
        <f>HYPERLINK("http://141.218.60.56/~jnz1568/getInfo.php?workbook=14_04.xlsx&amp;sheet=A0&amp;row=785&amp;col=6&amp;number=2.222&amp;sourceID=14","2.222")</f>
        <v>2.222</v>
      </c>
      <c r="G785" s="4" t="str">
        <f>HYPERLINK("http://141.218.60.56/~jnz1568/getInfo.php?workbook=14_04.xlsx&amp;sheet=A0&amp;row=785&amp;col=7&amp;number=0&amp;sourceID=14","0")</f>
        <v>0</v>
      </c>
    </row>
    <row r="786" spans="1:7">
      <c r="A786" s="3">
        <v>14</v>
      </c>
      <c r="B786" s="3">
        <v>4</v>
      </c>
      <c r="C786" s="3">
        <v>35</v>
      </c>
      <c r="D786" s="3">
        <v>13</v>
      </c>
      <c r="E786" s="3">
        <v>417.841</v>
      </c>
      <c r="F786" s="4" t="str">
        <f>HYPERLINK("http://141.218.60.56/~jnz1568/getInfo.php?workbook=14_04.xlsx&amp;sheet=A0&amp;row=786&amp;col=6&amp;number=964.3&amp;sourceID=14","964.3")</f>
        <v>964.3</v>
      </c>
      <c r="G786" s="4" t="str">
        <f>HYPERLINK("http://141.218.60.56/~jnz1568/getInfo.php?workbook=14_04.xlsx&amp;sheet=A0&amp;row=786&amp;col=7&amp;number=0&amp;sourceID=14","0")</f>
        <v>0</v>
      </c>
    </row>
    <row r="787" spans="1:7">
      <c r="A787" s="3">
        <v>14</v>
      </c>
      <c r="B787" s="3">
        <v>4</v>
      </c>
      <c r="C787" s="3">
        <v>37</v>
      </c>
      <c r="D787" s="3">
        <v>13</v>
      </c>
      <c r="E787" s="3">
        <v>405.341</v>
      </c>
      <c r="F787" s="4" t="str">
        <f>HYPERLINK("http://141.218.60.56/~jnz1568/getInfo.php?workbook=14_04.xlsx&amp;sheet=A0&amp;row=787&amp;col=6&amp;number=249300000&amp;sourceID=14","249300000")</f>
        <v>249300000</v>
      </c>
      <c r="G787" s="4" t="str">
        <f>HYPERLINK("http://141.218.60.56/~jnz1568/getInfo.php?workbook=14_04.xlsx&amp;sheet=A0&amp;row=787&amp;col=7&amp;number=0&amp;sourceID=14","0")</f>
        <v>0</v>
      </c>
    </row>
    <row r="788" spans="1:7">
      <c r="A788" s="3">
        <v>14</v>
      </c>
      <c r="B788" s="3">
        <v>4</v>
      </c>
      <c r="C788" s="3">
        <v>38</v>
      </c>
      <c r="D788" s="3">
        <v>13</v>
      </c>
      <c r="E788" s="3">
        <v>-383.279</v>
      </c>
      <c r="F788" s="4" t="str">
        <f>HYPERLINK("http://141.218.60.56/~jnz1568/getInfo.php?workbook=14_04.xlsx&amp;sheet=A0&amp;row=788&amp;col=6&amp;number=22.44&amp;sourceID=14","22.44")</f>
        <v>22.44</v>
      </c>
      <c r="G788" s="4" t="str">
        <f>HYPERLINK("http://141.218.60.56/~jnz1568/getInfo.php?workbook=14_04.xlsx&amp;sheet=A0&amp;row=788&amp;col=7&amp;number=0&amp;sourceID=14","0")</f>
        <v>0</v>
      </c>
    </row>
    <row r="789" spans="1:7">
      <c r="A789" s="3">
        <v>14</v>
      </c>
      <c r="B789" s="3">
        <v>4</v>
      </c>
      <c r="C789" s="3">
        <v>39</v>
      </c>
      <c r="D789" s="3">
        <v>13</v>
      </c>
      <c r="E789" s="3">
        <v>388.923</v>
      </c>
      <c r="F789" s="4" t="str">
        <f>HYPERLINK("http://141.218.60.56/~jnz1568/getInfo.php?workbook=14_04.xlsx&amp;sheet=A0&amp;row=789&amp;col=6&amp;number=4.089&amp;sourceID=14","4.089")</f>
        <v>4.089</v>
      </c>
      <c r="G789" s="4" t="str">
        <f>HYPERLINK("http://141.218.60.56/~jnz1568/getInfo.php?workbook=14_04.xlsx&amp;sheet=A0&amp;row=789&amp;col=7&amp;number=0&amp;sourceID=14","0")</f>
        <v>0</v>
      </c>
    </row>
    <row r="790" spans="1:7">
      <c r="A790" s="3">
        <v>14</v>
      </c>
      <c r="B790" s="3">
        <v>4</v>
      </c>
      <c r="C790" s="3">
        <v>40</v>
      </c>
      <c r="D790" s="3">
        <v>13</v>
      </c>
      <c r="E790" s="3">
        <v>384.412</v>
      </c>
      <c r="F790" s="4" t="str">
        <f>HYPERLINK("http://141.218.60.56/~jnz1568/getInfo.php?workbook=14_04.xlsx&amp;sheet=A0&amp;row=790&amp;col=6&amp;number=35.42&amp;sourceID=14","35.42")</f>
        <v>35.42</v>
      </c>
      <c r="G790" s="4" t="str">
        <f>HYPERLINK("http://141.218.60.56/~jnz1568/getInfo.php?workbook=14_04.xlsx&amp;sheet=A0&amp;row=790&amp;col=7&amp;number=0&amp;sourceID=14","0")</f>
        <v>0</v>
      </c>
    </row>
    <row r="791" spans="1:7">
      <c r="A791" s="3">
        <v>14</v>
      </c>
      <c r="B791" s="3">
        <v>4</v>
      </c>
      <c r="C791" s="3">
        <v>41</v>
      </c>
      <c r="D791" s="3">
        <v>13</v>
      </c>
      <c r="E791" s="3">
        <v>368.928</v>
      </c>
      <c r="F791" s="4" t="str">
        <f>HYPERLINK("http://141.218.60.56/~jnz1568/getInfo.php?workbook=14_04.xlsx&amp;sheet=A0&amp;row=791&amp;col=6&amp;number=0.2345&amp;sourceID=14","0.2345")</f>
        <v>0.2345</v>
      </c>
      <c r="G791" s="4" t="str">
        <f>HYPERLINK("http://141.218.60.56/~jnz1568/getInfo.php?workbook=14_04.xlsx&amp;sheet=A0&amp;row=791&amp;col=7&amp;number=0&amp;sourceID=14","0")</f>
        <v>0</v>
      </c>
    </row>
    <row r="792" spans="1:7">
      <c r="A792" s="3">
        <v>14</v>
      </c>
      <c r="B792" s="3">
        <v>4</v>
      </c>
      <c r="C792" s="3">
        <v>42</v>
      </c>
      <c r="D792" s="3">
        <v>13</v>
      </c>
      <c r="E792" s="3">
        <v>372.967</v>
      </c>
      <c r="F792" s="4" t="str">
        <f>HYPERLINK("http://141.218.60.56/~jnz1568/getInfo.php?workbook=14_04.xlsx&amp;sheet=A0&amp;row=792&amp;col=6&amp;number=12.92&amp;sourceID=14","12.92")</f>
        <v>12.92</v>
      </c>
      <c r="G792" s="4" t="str">
        <f>HYPERLINK("http://141.218.60.56/~jnz1568/getInfo.php?workbook=14_04.xlsx&amp;sheet=A0&amp;row=792&amp;col=7&amp;number=0&amp;sourceID=14","0")</f>
        <v>0</v>
      </c>
    </row>
    <row r="793" spans="1:7">
      <c r="A793" s="3">
        <v>14</v>
      </c>
      <c r="B793" s="3">
        <v>4</v>
      </c>
      <c r="C793" s="3">
        <v>43</v>
      </c>
      <c r="D793" s="3">
        <v>13</v>
      </c>
      <c r="E793" s="3">
        <v>368.807</v>
      </c>
      <c r="F793" s="4" t="str">
        <f>HYPERLINK("http://141.218.60.56/~jnz1568/getInfo.php?workbook=14_04.xlsx&amp;sheet=A0&amp;row=793&amp;col=6&amp;number=0.06857&amp;sourceID=14","0.06857")</f>
        <v>0.06857</v>
      </c>
      <c r="G793" s="4" t="str">
        <f>HYPERLINK("http://141.218.60.56/~jnz1568/getInfo.php?workbook=14_04.xlsx&amp;sheet=A0&amp;row=793&amp;col=7&amp;number=0&amp;sourceID=14","0")</f>
        <v>0</v>
      </c>
    </row>
    <row r="794" spans="1:7">
      <c r="A794" s="3">
        <v>14</v>
      </c>
      <c r="B794" s="3">
        <v>4</v>
      </c>
      <c r="C794" s="3">
        <v>44</v>
      </c>
      <c r="D794" s="3">
        <v>13</v>
      </c>
      <c r="E794" s="3">
        <v>-343.75</v>
      </c>
      <c r="F794" s="4" t="str">
        <f>HYPERLINK("http://141.218.60.56/~jnz1568/getInfo.php?workbook=14_04.xlsx&amp;sheet=A0&amp;row=794&amp;col=6&amp;number=1112000000&amp;sourceID=14","1112000000")</f>
        <v>1112000000</v>
      </c>
      <c r="G794" s="4" t="str">
        <f>HYPERLINK("http://141.218.60.56/~jnz1568/getInfo.php?workbook=14_04.xlsx&amp;sheet=A0&amp;row=794&amp;col=7&amp;number=0&amp;sourceID=14","0")</f>
        <v>0</v>
      </c>
    </row>
    <row r="795" spans="1:7">
      <c r="A795" s="3">
        <v>14</v>
      </c>
      <c r="B795" s="3">
        <v>4</v>
      </c>
      <c r="C795" s="3">
        <v>45</v>
      </c>
      <c r="D795" s="3">
        <v>13</v>
      </c>
      <c r="E795" s="3">
        <v>336.456</v>
      </c>
      <c r="F795" s="4" t="str">
        <f>HYPERLINK("http://141.218.60.56/~jnz1568/getInfo.php?workbook=14_04.xlsx&amp;sheet=A0&amp;row=795&amp;col=6&amp;number=12200&amp;sourceID=14","12200")</f>
        <v>12200</v>
      </c>
      <c r="G795" s="4" t="str">
        <f>HYPERLINK("http://141.218.60.56/~jnz1568/getInfo.php?workbook=14_04.xlsx&amp;sheet=A0&amp;row=795&amp;col=7&amp;number=0&amp;sourceID=14","0")</f>
        <v>0</v>
      </c>
    </row>
    <row r="796" spans="1:7">
      <c r="A796" s="3">
        <v>14</v>
      </c>
      <c r="B796" s="3">
        <v>4</v>
      </c>
      <c r="C796" s="3">
        <v>46</v>
      </c>
      <c r="D796" s="3">
        <v>13</v>
      </c>
      <c r="E796" s="3">
        <v>335.442</v>
      </c>
      <c r="F796" s="4" t="str">
        <f>HYPERLINK("http://141.218.60.56/~jnz1568/getInfo.php?workbook=14_04.xlsx&amp;sheet=A0&amp;row=796&amp;col=6&amp;number=2007&amp;sourceID=14","2007")</f>
        <v>2007</v>
      </c>
      <c r="G796" s="4" t="str">
        <f>HYPERLINK("http://141.218.60.56/~jnz1568/getInfo.php?workbook=14_04.xlsx&amp;sheet=A0&amp;row=796&amp;col=7&amp;number=0&amp;sourceID=14","0")</f>
        <v>0</v>
      </c>
    </row>
    <row r="797" spans="1:7">
      <c r="A797" s="3">
        <v>14</v>
      </c>
      <c r="B797" s="3">
        <v>4</v>
      </c>
      <c r="C797" s="3">
        <v>47</v>
      </c>
      <c r="D797" s="3">
        <v>13</v>
      </c>
      <c r="E797" s="3">
        <v>153.58</v>
      </c>
      <c r="F797" s="4" t="str">
        <f>HYPERLINK("http://141.218.60.56/~jnz1568/getInfo.php?workbook=14_04.xlsx&amp;sheet=A0&amp;row=797&amp;col=6&amp;number=1037000000&amp;sourceID=14","1037000000")</f>
        <v>1037000000</v>
      </c>
      <c r="G797" s="4" t="str">
        <f>HYPERLINK("http://141.218.60.56/~jnz1568/getInfo.php?workbook=14_04.xlsx&amp;sheet=A0&amp;row=797&amp;col=7&amp;number=0&amp;sourceID=14","0")</f>
        <v>0</v>
      </c>
    </row>
    <row r="798" spans="1:7">
      <c r="A798" s="3">
        <v>14</v>
      </c>
      <c r="B798" s="3">
        <v>4</v>
      </c>
      <c r="C798" s="3">
        <v>48</v>
      </c>
      <c r="D798" s="3">
        <v>13</v>
      </c>
      <c r="E798" s="3">
        <v>153.262</v>
      </c>
      <c r="F798" s="4" t="str">
        <f>HYPERLINK("http://141.218.60.56/~jnz1568/getInfo.php?workbook=14_04.xlsx&amp;sheet=A0&amp;row=798&amp;col=6&amp;number=33200000000&amp;sourceID=14","33200000000")</f>
        <v>33200000000</v>
      </c>
      <c r="G798" s="4" t="str">
        <f>HYPERLINK("http://141.218.60.56/~jnz1568/getInfo.php?workbook=14_04.xlsx&amp;sheet=A0&amp;row=798&amp;col=7&amp;number=0&amp;sourceID=14","0")</f>
        <v>0</v>
      </c>
    </row>
    <row r="799" spans="1:7">
      <c r="A799" s="3">
        <v>14</v>
      </c>
      <c r="B799" s="3">
        <v>4</v>
      </c>
      <c r="C799" s="3">
        <v>49</v>
      </c>
      <c r="D799" s="3">
        <v>13</v>
      </c>
      <c r="E799" s="3">
        <v>142.821</v>
      </c>
      <c r="F799" s="4" t="str">
        <f>HYPERLINK("http://141.218.60.56/~jnz1568/getInfo.php?workbook=14_04.xlsx&amp;sheet=A0&amp;row=799&amp;col=6&amp;number=7.171&amp;sourceID=14","7.171")</f>
        <v>7.171</v>
      </c>
      <c r="G799" s="4" t="str">
        <f>HYPERLINK("http://141.218.60.56/~jnz1568/getInfo.php?workbook=14_04.xlsx&amp;sheet=A0&amp;row=799&amp;col=7&amp;number=0&amp;sourceID=14","0")</f>
        <v>0</v>
      </c>
    </row>
    <row r="800" spans="1:7">
      <c r="A800" s="3">
        <v>14</v>
      </c>
      <c r="B800" s="3">
        <v>4</v>
      </c>
      <c r="C800" s="3">
        <v>50</v>
      </c>
      <c r="D800" s="3">
        <v>13</v>
      </c>
      <c r="E800" s="3">
        <v>142.821</v>
      </c>
      <c r="F800" s="4" t="str">
        <f>HYPERLINK("http://141.218.60.56/~jnz1568/getInfo.php?workbook=14_04.xlsx&amp;sheet=A0&amp;row=800&amp;col=6&amp;number=4586&amp;sourceID=14","4586")</f>
        <v>4586</v>
      </c>
      <c r="G800" s="4" t="str">
        <f>HYPERLINK("http://141.218.60.56/~jnz1568/getInfo.php?workbook=14_04.xlsx&amp;sheet=A0&amp;row=800&amp;col=7&amp;number=0&amp;sourceID=14","0")</f>
        <v>0</v>
      </c>
    </row>
    <row r="801" spans="1:7">
      <c r="A801" s="3">
        <v>14</v>
      </c>
      <c r="B801" s="3">
        <v>4</v>
      </c>
      <c r="C801" s="3">
        <v>51</v>
      </c>
      <c r="D801" s="3">
        <v>13</v>
      </c>
      <c r="E801" s="3">
        <v>142.675</v>
      </c>
      <c r="F801" s="4" t="str">
        <f>HYPERLINK("http://141.218.60.56/~jnz1568/getInfo.php?workbook=14_04.xlsx&amp;sheet=A0&amp;row=801&amp;col=6&amp;number=183500&amp;sourceID=14","183500")</f>
        <v>183500</v>
      </c>
      <c r="G801" s="4" t="str">
        <f>HYPERLINK("http://141.218.60.56/~jnz1568/getInfo.php?workbook=14_04.xlsx&amp;sheet=A0&amp;row=801&amp;col=7&amp;number=0&amp;sourceID=14","0")</f>
        <v>0</v>
      </c>
    </row>
    <row r="802" spans="1:7">
      <c r="A802" s="3">
        <v>14</v>
      </c>
      <c r="B802" s="3">
        <v>4</v>
      </c>
      <c r="C802" s="3">
        <v>52</v>
      </c>
      <c r="D802" s="3">
        <v>13</v>
      </c>
      <c r="E802" s="3">
        <v>143.536</v>
      </c>
      <c r="F802" s="4" t="str">
        <f>HYPERLINK("http://141.218.60.56/~jnz1568/getInfo.php?workbook=14_04.xlsx&amp;sheet=A0&amp;row=802&amp;col=6&amp;number=4609000&amp;sourceID=14","4609000")</f>
        <v>4609000</v>
      </c>
      <c r="G802" s="4" t="str">
        <f>HYPERLINK("http://141.218.60.56/~jnz1568/getInfo.php?workbook=14_04.xlsx&amp;sheet=A0&amp;row=802&amp;col=7&amp;number=0&amp;sourceID=14","0")</f>
        <v>0</v>
      </c>
    </row>
    <row r="803" spans="1:7">
      <c r="A803" s="3">
        <v>14</v>
      </c>
      <c r="B803" s="3">
        <v>4</v>
      </c>
      <c r="C803" s="3">
        <v>53</v>
      </c>
      <c r="D803" s="3">
        <v>13</v>
      </c>
      <c r="E803" s="3">
        <v>140.315</v>
      </c>
      <c r="F803" s="4" t="str">
        <f>HYPERLINK("http://141.218.60.56/~jnz1568/getInfo.php?workbook=14_04.xlsx&amp;sheet=A0&amp;row=803&amp;col=6&amp;number=3272000000&amp;sourceID=14","3272000000")</f>
        <v>3272000000</v>
      </c>
      <c r="G803" s="4" t="str">
        <f>HYPERLINK("http://141.218.60.56/~jnz1568/getInfo.php?workbook=14_04.xlsx&amp;sheet=A0&amp;row=803&amp;col=7&amp;number=0&amp;sourceID=14","0")</f>
        <v>0</v>
      </c>
    </row>
    <row r="804" spans="1:7">
      <c r="A804" s="3">
        <v>14</v>
      </c>
      <c r="B804" s="3">
        <v>4</v>
      </c>
      <c r="C804" s="3">
        <v>54</v>
      </c>
      <c r="D804" s="3">
        <v>13</v>
      </c>
      <c r="E804" s="3">
        <v>140.321</v>
      </c>
      <c r="F804" s="4" t="str">
        <f>HYPERLINK("http://141.218.60.56/~jnz1568/getInfo.php?workbook=14_04.xlsx&amp;sheet=A0&amp;row=804&amp;col=6&amp;number=6417000000&amp;sourceID=14","6417000000")</f>
        <v>6417000000</v>
      </c>
      <c r="G804" s="4" t="str">
        <f>HYPERLINK("http://141.218.60.56/~jnz1568/getInfo.php?workbook=14_04.xlsx&amp;sheet=A0&amp;row=804&amp;col=7&amp;number=0&amp;sourceID=14","0")</f>
        <v>0</v>
      </c>
    </row>
    <row r="805" spans="1:7">
      <c r="A805" s="3">
        <v>14</v>
      </c>
      <c r="B805" s="3">
        <v>4</v>
      </c>
      <c r="C805" s="3">
        <v>56</v>
      </c>
      <c r="D805" s="3">
        <v>13</v>
      </c>
      <c r="E805" s="3">
        <v>138.081</v>
      </c>
      <c r="F805" s="4" t="str">
        <f>HYPERLINK("http://141.218.60.56/~jnz1568/getInfo.php?workbook=14_04.xlsx&amp;sheet=A0&amp;row=805&amp;col=6&amp;number=83410000000&amp;sourceID=14","83410000000")</f>
        <v>83410000000</v>
      </c>
      <c r="G805" s="4" t="str">
        <f>HYPERLINK("http://141.218.60.56/~jnz1568/getInfo.php?workbook=14_04.xlsx&amp;sheet=A0&amp;row=805&amp;col=7&amp;number=0&amp;sourceID=14","0")</f>
        <v>0</v>
      </c>
    </row>
    <row r="806" spans="1:7">
      <c r="A806" s="3">
        <v>14</v>
      </c>
      <c r="B806" s="3">
        <v>4</v>
      </c>
      <c r="C806" s="3">
        <v>57</v>
      </c>
      <c r="D806" s="3">
        <v>13</v>
      </c>
      <c r="E806" s="3">
        <v>-115.734</v>
      </c>
      <c r="F806" s="4" t="str">
        <f>HYPERLINK("http://141.218.60.56/~jnz1568/getInfo.php?workbook=14_04.xlsx&amp;sheet=A0&amp;row=806&amp;col=6&amp;number=0.3901&amp;sourceID=14","0.3901")</f>
        <v>0.3901</v>
      </c>
      <c r="G806" s="4" t="str">
        <f>HYPERLINK("http://141.218.60.56/~jnz1568/getInfo.php?workbook=14_04.xlsx&amp;sheet=A0&amp;row=806&amp;col=7&amp;number=0&amp;sourceID=14","0")</f>
        <v>0</v>
      </c>
    </row>
    <row r="807" spans="1:7">
      <c r="A807" s="3">
        <v>14</v>
      </c>
      <c r="B807" s="3">
        <v>4</v>
      </c>
      <c r="C807" s="3">
        <v>58</v>
      </c>
      <c r="D807" s="3">
        <v>13</v>
      </c>
      <c r="E807" s="3">
        <v>-115.54</v>
      </c>
      <c r="F807" s="4" t="str">
        <f>HYPERLINK("http://141.218.60.56/~jnz1568/getInfo.php?workbook=14_04.xlsx&amp;sheet=A0&amp;row=807&amp;col=6&amp;number=96.87&amp;sourceID=14","96.87")</f>
        <v>96.87</v>
      </c>
      <c r="G807" s="4" t="str">
        <f>HYPERLINK("http://141.218.60.56/~jnz1568/getInfo.php?workbook=14_04.xlsx&amp;sheet=A0&amp;row=807&amp;col=7&amp;number=0&amp;sourceID=14","0")</f>
        <v>0</v>
      </c>
    </row>
    <row r="808" spans="1:7">
      <c r="A808" s="3">
        <v>14</v>
      </c>
      <c r="B808" s="3">
        <v>4</v>
      </c>
      <c r="C808" s="3">
        <v>59</v>
      </c>
      <c r="D808" s="3">
        <v>13</v>
      </c>
      <c r="E808" s="3">
        <v>115.799</v>
      </c>
      <c r="F808" s="4" t="str">
        <f>HYPERLINK("http://141.218.60.56/~jnz1568/getInfo.php?workbook=14_04.xlsx&amp;sheet=A0&amp;row=808&amp;col=6&amp;number=77.3&amp;sourceID=14","77.3")</f>
        <v>77.3</v>
      </c>
      <c r="G808" s="4" t="str">
        <f>HYPERLINK("http://141.218.60.56/~jnz1568/getInfo.php?workbook=14_04.xlsx&amp;sheet=A0&amp;row=808&amp;col=7&amp;number=0&amp;sourceID=14","0")</f>
        <v>0</v>
      </c>
    </row>
    <row r="809" spans="1:7">
      <c r="A809" s="3">
        <v>14</v>
      </c>
      <c r="B809" s="3">
        <v>4</v>
      </c>
      <c r="C809" s="3">
        <v>60</v>
      </c>
      <c r="D809" s="3">
        <v>13</v>
      </c>
      <c r="E809" s="3">
        <v>-113.848</v>
      </c>
      <c r="F809" s="4" t="str">
        <f>HYPERLINK("http://141.218.60.56/~jnz1568/getInfo.php?workbook=14_04.xlsx&amp;sheet=A0&amp;row=809&amp;col=6&amp;number=89.75&amp;sourceID=14","89.75")</f>
        <v>89.75</v>
      </c>
      <c r="G809" s="4" t="str">
        <f>HYPERLINK("http://141.218.60.56/~jnz1568/getInfo.php?workbook=14_04.xlsx&amp;sheet=A0&amp;row=809&amp;col=7&amp;number=0&amp;sourceID=14","0")</f>
        <v>0</v>
      </c>
    </row>
    <row r="810" spans="1:7">
      <c r="A810" s="3">
        <v>14</v>
      </c>
      <c r="B810" s="3">
        <v>4</v>
      </c>
      <c r="C810" s="3">
        <v>61</v>
      </c>
      <c r="D810" s="3">
        <v>13</v>
      </c>
      <c r="E810" s="3">
        <v>-112.322</v>
      </c>
      <c r="F810" s="4" t="str">
        <f>HYPERLINK("http://141.218.60.56/~jnz1568/getInfo.php?workbook=14_04.xlsx&amp;sheet=A0&amp;row=810&amp;col=6&amp;number=710000000&amp;sourceID=14","710000000")</f>
        <v>710000000</v>
      </c>
      <c r="G810" s="4" t="str">
        <f>HYPERLINK("http://141.218.60.56/~jnz1568/getInfo.php?workbook=14_04.xlsx&amp;sheet=A0&amp;row=810&amp;col=7&amp;number=0&amp;sourceID=14","0")</f>
        <v>0</v>
      </c>
    </row>
    <row r="811" spans="1:7">
      <c r="A811" s="3">
        <v>14</v>
      </c>
      <c r="B811" s="3">
        <v>4</v>
      </c>
      <c r="C811" s="3">
        <v>62</v>
      </c>
      <c r="D811" s="3">
        <v>13</v>
      </c>
      <c r="E811" s="3">
        <v>-112.877</v>
      </c>
      <c r="F811" s="4" t="str">
        <f>HYPERLINK("http://141.218.60.56/~jnz1568/getInfo.php?workbook=14_04.xlsx&amp;sheet=A0&amp;row=811&amp;col=6&amp;number=980900000&amp;sourceID=14","980900000")</f>
        <v>980900000</v>
      </c>
      <c r="G811" s="4" t="str">
        <f>HYPERLINK("http://141.218.60.56/~jnz1568/getInfo.php?workbook=14_04.xlsx&amp;sheet=A0&amp;row=811&amp;col=7&amp;number=0&amp;sourceID=14","0")</f>
        <v>0</v>
      </c>
    </row>
    <row r="812" spans="1:7">
      <c r="A812" s="3">
        <v>14</v>
      </c>
      <c r="B812" s="3">
        <v>4</v>
      </c>
      <c r="C812" s="3">
        <v>63</v>
      </c>
      <c r="D812" s="3">
        <v>13</v>
      </c>
      <c r="E812" s="3">
        <v>-112.29</v>
      </c>
      <c r="F812" s="4" t="str">
        <f>HYPERLINK("http://141.218.60.56/~jnz1568/getInfo.php?workbook=14_04.xlsx&amp;sheet=A0&amp;row=812&amp;col=6&amp;number=61760000&amp;sourceID=14","61760000")</f>
        <v>61760000</v>
      </c>
      <c r="G812" s="4" t="str">
        <f>HYPERLINK("http://141.218.60.56/~jnz1568/getInfo.php?workbook=14_04.xlsx&amp;sheet=A0&amp;row=812&amp;col=7&amp;number=0&amp;sourceID=14","0")</f>
        <v>0</v>
      </c>
    </row>
    <row r="813" spans="1:7">
      <c r="A813" s="3">
        <v>14</v>
      </c>
      <c r="B813" s="3">
        <v>4</v>
      </c>
      <c r="C813" s="3">
        <v>65</v>
      </c>
      <c r="D813" s="3">
        <v>13</v>
      </c>
      <c r="E813" s="3">
        <v>-111.389</v>
      </c>
      <c r="F813" s="4" t="str">
        <f>HYPERLINK("http://141.218.60.56/~jnz1568/getInfo.php?workbook=14_04.xlsx&amp;sheet=A0&amp;row=813&amp;col=6&amp;number=420300000&amp;sourceID=14","420300000")</f>
        <v>420300000</v>
      </c>
      <c r="G813" s="4" t="str">
        <f>HYPERLINK("http://141.218.60.56/~jnz1568/getInfo.php?workbook=14_04.xlsx&amp;sheet=A0&amp;row=813&amp;col=7&amp;number=0&amp;sourceID=14","0")</f>
        <v>0</v>
      </c>
    </row>
    <row r="814" spans="1:7">
      <c r="A814" s="3">
        <v>14</v>
      </c>
      <c r="B814" s="3">
        <v>4</v>
      </c>
      <c r="C814" s="3">
        <v>66</v>
      </c>
      <c r="D814" s="3">
        <v>13</v>
      </c>
      <c r="E814" s="3">
        <v>-111.408</v>
      </c>
      <c r="F814" s="4" t="str">
        <f>HYPERLINK("http://141.218.60.56/~jnz1568/getInfo.php?workbook=14_04.xlsx&amp;sheet=A0&amp;row=814&amp;col=6&amp;number=160600000&amp;sourceID=14","160600000")</f>
        <v>160600000</v>
      </c>
      <c r="G814" s="4" t="str">
        <f>HYPERLINK("http://141.218.60.56/~jnz1568/getInfo.php?workbook=14_04.xlsx&amp;sheet=A0&amp;row=814&amp;col=7&amp;number=0&amp;sourceID=14","0")</f>
        <v>0</v>
      </c>
    </row>
    <row r="815" spans="1:7">
      <c r="A815" s="3">
        <v>14</v>
      </c>
      <c r="B815" s="3">
        <v>4</v>
      </c>
      <c r="C815" s="3">
        <v>67</v>
      </c>
      <c r="D815" s="3">
        <v>13</v>
      </c>
      <c r="E815" s="3">
        <v>-110.849</v>
      </c>
      <c r="F815" s="4" t="str">
        <f>HYPERLINK("http://141.218.60.56/~jnz1568/getInfo.php?workbook=14_04.xlsx&amp;sheet=A0&amp;row=815&amp;col=6&amp;number=5279000&amp;sourceID=14","5279000")</f>
        <v>5279000</v>
      </c>
      <c r="G815" s="4" t="str">
        <f>HYPERLINK("http://141.218.60.56/~jnz1568/getInfo.php?workbook=14_04.xlsx&amp;sheet=A0&amp;row=815&amp;col=7&amp;number=0&amp;sourceID=14","0")</f>
        <v>0</v>
      </c>
    </row>
    <row r="816" spans="1:7">
      <c r="A816" s="3">
        <v>14</v>
      </c>
      <c r="B816" s="3">
        <v>4</v>
      </c>
      <c r="C816" s="3">
        <v>68</v>
      </c>
      <c r="D816" s="3">
        <v>13</v>
      </c>
      <c r="E816" s="3">
        <v>-110.752</v>
      </c>
      <c r="F816" s="4" t="str">
        <f>HYPERLINK("http://141.218.60.56/~jnz1568/getInfo.php?workbook=14_04.xlsx&amp;sheet=A0&amp;row=816&amp;col=6&amp;number=90900000&amp;sourceID=14","90900000")</f>
        <v>90900000</v>
      </c>
      <c r="G816" s="4" t="str">
        <f>HYPERLINK("http://141.218.60.56/~jnz1568/getInfo.php?workbook=14_04.xlsx&amp;sheet=A0&amp;row=816&amp;col=7&amp;number=0&amp;sourceID=14","0")</f>
        <v>0</v>
      </c>
    </row>
    <row r="817" spans="1:7">
      <c r="A817" s="3">
        <v>14</v>
      </c>
      <c r="B817" s="3">
        <v>4</v>
      </c>
      <c r="C817" s="3">
        <v>69</v>
      </c>
      <c r="D817" s="3">
        <v>13</v>
      </c>
      <c r="E817" s="3">
        <v>-110.652</v>
      </c>
      <c r="F817" s="4" t="str">
        <f>HYPERLINK("http://141.218.60.56/~jnz1568/getInfo.php?workbook=14_04.xlsx&amp;sheet=A0&amp;row=817&amp;col=6&amp;number=185100&amp;sourceID=14","185100")</f>
        <v>185100</v>
      </c>
      <c r="G817" s="4" t="str">
        <f>HYPERLINK("http://141.218.60.56/~jnz1568/getInfo.php?workbook=14_04.xlsx&amp;sheet=A0&amp;row=817&amp;col=7&amp;number=0&amp;sourceID=14","0")</f>
        <v>0</v>
      </c>
    </row>
    <row r="818" spans="1:7">
      <c r="A818" s="3">
        <v>14</v>
      </c>
      <c r="B818" s="3">
        <v>4</v>
      </c>
      <c r="C818" s="3">
        <v>70</v>
      </c>
      <c r="D818" s="3">
        <v>13</v>
      </c>
      <c r="E818" s="3">
        <v>-110.233</v>
      </c>
      <c r="F818" s="4" t="str">
        <f>HYPERLINK("http://141.218.60.56/~jnz1568/getInfo.php?workbook=14_04.xlsx&amp;sheet=A0&amp;row=818&amp;col=6&amp;number=20640&amp;sourceID=14","20640")</f>
        <v>20640</v>
      </c>
      <c r="G818" s="4" t="str">
        <f>HYPERLINK("http://141.218.60.56/~jnz1568/getInfo.php?workbook=14_04.xlsx&amp;sheet=A0&amp;row=818&amp;col=7&amp;number=0&amp;sourceID=14","0")</f>
        <v>0</v>
      </c>
    </row>
    <row r="819" spans="1:7">
      <c r="A819" s="3">
        <v>14</v>
      </c>
      <c r="B819" s="3">
        <v>4</v>
      </c>
      <c r="C819" s="3">
        <v>71</v>
      </c>
      <c r="D819" s="3">
        <v>13</v>
      </c>
      <c r="E819" s="3">
        <v>-110.062</v>
      </c>
      <c r="F819" s="4" t="str">
        <f>HYPERLINK("http://141.218.60.56/~jnz1568/getInfo.php?workbook=14_04.xlsx&amp;sheet=A0&amp;row=819&amp;col=6&amp;number=493500&amp;sourceID=14","493500")</f>
        <v>493500</v>
      </c>
      <c r="G819" s="4" t="str">
        <f>HYPERLINK("http://141.218.60.56/~jnz1568/getInfo.php?workbook=14_04.xlsx&amp;sheet=A0&amp;row=819&amp;col=7&amp;number=0&amp;sourceID=14","0")</f>
        <v>0</v>
      </c>
    </row>
    <row r="820" spans="1:7">
      <c r="A820" s="3">
        <v>14</v>
      </c>
      <c r="B820" s="3">
        <v>4</v>
      </c>
      <c r="C820" s="3">
        <v>72</v>
      </c>
      <c r="D820" s="3">
        <v>13</v>
      </c>
      <c r="E820" s="3">
        <v>-109.799</v>
      </c>
      <c r="F820" s="4" t="str">
        <f>HYPERLINK("http://141.218.60.56/~jnz1568/getInfo.php?workbook=14_04.xlsx&amp;sheet=A0&amp;row=820&amp;col=6&amp;number=2250000000&amp;sourceID=14","2250000000")</f>
        <v>2250000000</v>
      </c>
      <c r="G820" s="4" t="str">
        <f>HYPERLINK("http://141.218.60.56/~jnz1568/getInfo.php?workbook=14_04.xlsx&amp;sheet=A0&amp;row=820&amp;col=7&amp;number=0&amp;sourceID=14","0")</f>
        <v>0</v>
      </c>
    </row>
    <row r="821" spans="1:7">
      <c r="A821" s="3">
        <v>14</v>
      </c>
      <c r="B821" s="3">
        <v>4</v>
      </c>
      <c r="C821" s="3">
        <v>74</v>
      </c>
      <c r="D821" s="3">
        <v>13</v>
      </c>
      <c r="E821" s="3">
        <v>-109.459</v>
      </c>
      <c r="F821" s="4" t="str">
        <f>HYPERLINK("http://141.218.60.56/~jnz1568/getInfo.php?workbook=14_04.xlsx&amp;sheet=A0&amp;row=821&amp;col=6&amp;number=43620&amp;sourceID=14","43620")</f>
        <v>43620</v>
      </c>
      <c r="G821" s="4" t="str">
        <f>HYPERLINK("http://141.218.60.56/~jnz1568/getInfo.php?workbook=14_04.xlsx&amp;sheet=A0&amp;row=821&amp;col=7&amp;number=0&amp;sourceID=14","0")</f>
        <v>0</v>
      </c>
    </row>
    <row r="822" spans="1:7">
      <c r="A822" s="3">
        <v>14</v>
      </c>
      <c r="B822" s="3">
        <v>4</v>
      </c>
      <c r="C822" s="3">
        <v>75</v>
      </c>
      <c r="D822" s="3">
        <v>13</v>
      </c>
      <c r="E822" s="3">
        <v>-109.23</v>
      </c>
      <c r="F822" s="4" t="str">
        <f>HYPERLINK("http://141.218.60.56/~jnz1568/getInfo.php?workbook=14_04.xlsx&amp;sheet=A0&amp;row=822&amp;col=6&amp;number=154200&amp;sourceID=14","154200")</f>
        <v>154200</v>
      </c>
      <c r="G822" s="4" t="str">
        <f>HYPERLINK("http://141.218.60.56/~jnz1568/getInfo.php?workbook=14_04.xlsx&amp;sheet=A0&amp;row=822&amp;col=7&amp;number=0&amp;sourceID=14","0")</f>
        <v>0</v>
      </c>
    </row>
    <row r="823" spans="1:7">
      <c r="A823" s="3">
        <v>14</v>
      </c>
      <c r="B823" s="3">
        <v>4</v>
      </c>
      <c r="C823" s="3">
        <v>76</v>
      </c>
      <c r="D823" s="3">
        <v>13</v>
      </c>
      <c r="E823" s="3">
        <v>108.846</v>
      </c>
      <c r="F823" s="4" t="str">
        <f>HYPERLINK("http://141.218.60.56/~jnz1568/getInfo.php?workbook=14_04.xlsx&amp;sheet=A0&amp;row=823&amp;col=6&amp;number=15550&amp;sourceID=14","15550")</f>
        <v>15550</v>
      </c>
      <c r="G823" s="4" t="str">
        <f>HYPERLINK("http://141.218.60.56/~jnz1568/getInfo.php?workbook=14_04.xlsx&amp;sheet=A0&amp;row=823&amp;col=7&amp;number=0&amp;sourceID=14","0")</f>
        <v>0</v>
      </c>
    </row>
    <row r="824" spans="1:7">
      <c r="A824" s="3">
        <v>14</v>
      </c>
      <c r="B824" s="3">
        <v>4</v>
      </c>
      <c r="C824" s="3">
        <v>77</v>
      </c>
      <c r="D824" s="3">
        <v>13</v>
      </c>
      <c r="E824" s="3">
        <v>108.738</v>
      </c>
      <c r="F824" s="4" t="str">
        <f>HYPERLINK("http://141.218.60.56/~jnz1568/getInfo.php?workbook=14_04.xlsx&amp;sheet=A0&amp;row=824&amp;col=6&amp;number=20810&amp;sourceID=14","20810")</f>
        <v>20810</v>
      </c>
      <c r="G824" s="4" t="str">
        <f>HYPERLINK("http://141.218.60.56/~jnz1568/getInfo.php?workbook=14_04.xlsx&amp;sheet=A0&amp;row=824&amp;col=7&amp;number=0&amp;sourceID=14","0")</f>
        <v>0</v>
      </c>
    </row>
    <row r="825" spans="1:7">
      <c r="A825" s="3">
        <v>14</v>
      </c>
      <c r="B825" s="3">
        <v>4</v>
      </c>
      <c r="C825" s="3">
        <v>78</v>
      </c>
      <c r="D825" s="3">
        <v>13</v>
      </c>
      <c r="E825" s="3">
        <v>-108.529</v>
      </c>
      <c r="F825" s="4" t="str">
        <f>HYPERLINK("http://141.218.60.56/~jnz1568/getInfo.php?workbook=14_04.xlsx&amp;sheet=A0&amp;row=825&amp;col=6&amp;number=861.5&amp;sourceID=14","861.5")</f>
        <v>861.5</v>
      </c>
      <c r="G825" s="4" t="str">
        <f>HYPERLINK("http://141.218.60.56/~jnz1568/getInfo.php?workbook=14_04.xlsx&amp;sheet=A0&amp;row=825&amp;col=7&amp;number=0&amp;sourceID=14","0")</f>
        <v>0</v>
      </c>
    </row>
    <row r="826" spans="1:7">
      <c r="A826" s="3">
        <v>14</v>
      </c>
      <c r="B826" s="3">
        <v>4</v>
      </c>
      <c r="C826" s="3">
        <v>79</v>
      </c>
      <c r="D826" s="3">
        <v>13</v>
      </c>
      <c r="E826" s="3">
        <v>-108.477</v>
      </c>
      <c r="F826" s="4" t="str">
        <f>HYPERLINK("http://141.218.60.56/~jnz1568/getInfo.php?workbook=14_04.xlsx&amp;sheet=A0&amp;row=826&amp;col=6&amp;number=0.0004909&amp;sourceID=14","0.0004909")</f>
        <v>0.0004909</v>
      </c>
      <c r="G826" s="4" t="str">
        <f>HYPERLINK("http://141.218.60.56/~jnz1568/getInfo.php?workbook=14_04.xlsx&amp;sheet=A0&amp;row=826&amp;col=7&amp;number=0&amp;sourceID=14","0")</f>
        <v>0</v>
      </c>
    </row>
    <row r="827" spans="1:7">
      <c r="A827" s="3">
        <v>14</v>
      </c>
      <c r="B827" s="3">
        <v>4</v>
      </c>
      <c r="C827" s="3">
        <v>80</v>
      </c>
      <c r="D827" s="3">
        <v>13</v>
      </c>
      <c r="E827" s="3">
        <v>109.976</v>
      </c>
      <c r="F827" s="4" t="str">
        <f>HYPERLINK("http://141.218.60.56/~jnz1568/getInfo.php?workbook=14_04.xlsx&amp;sheet=A0&amp;row=827&amp;col=6&amp;number=6023000000&amp;sourceID=14","6023000000")</f>
        <v>6023000000</v>
      </c>
      <c r="G827" s="4" t="str">
        <f>HYPERLINK("http://141.218.60.56/~jnz1568/getInfo.php?workbook=14_04.xlsx&amp;sheet=A0&amp;row=827&amp;col=7&amp;number=0&amp;sourceID=14","0")</f>
        <v>0</v>
      </c>
    </row>
    <row r="828" spans="1:7">
      <c r="A828" s="3">
        <v>14</v>
      </c>
      <c r="B828" s="3">
        <v>4</v>
      </c>
      <c r="C828" s="3">
        <v>81</v>
      </c>
      <c r="D828" s="3">
        <v>13</v>
      </c>
      <c r="E828" s="3">
        <v>107.554</v>
      </c>
      <c r="F828" s="4" t="str">
        <f>HYPERLINK("http://141.218.60.56/~jnz1568/getInfo.php?workbook=14_04.xlsx&amp;sheet=A0&amp;row=828&amp;col=6&amp;number=1282000&amp;sourceID=14","1282000")</f>
        <v>1282000</v>
      </c>
      <c r="G828" s="4" t="str">
        <f>HYPERLINK("http://141.218.60.56/~jnz1568/getInfo.php?workbook=14_04.xlsx&amp;sheet=A0&amp;row=828&amp;col=7&amp;number=0&amp;sourceID=14","0")</f>
        <v>0</v>
      </c>
    </row>
    <row r="829" spans="1:7">
      <c r="A829" s="3">
        <v>14</v>
      </c>
      <c r="B829" s="3">
        <v>4</v>
      </c>
      <c r="C829" s="3">
        <v>82</v>
      </c>
      <c r="D829" s="3">
        <v>13</v>
      </c>
      <c r="E829" s="3">
        <v>-107.101</v>
      </c>
      <c r="F829" s="4" t="str">
        <f>HYPERLINK("http://141.218.60.56/~jnz1568/getInfo.php?workbook=14_04.xlsx&amp;sheet=A0&amp;row=829&amp;col=6&amp;number=1272000&amp;sourceID=14","1272000")</f>
        <v>1272000</v>
      </c>
      <c r="G829" s="4" t="str">
        <f>HYPERLINK("http://141.218.60.56/~jnz1568/getInfo.php?workbook=14_04.xlsx&amp;sheet=A0&amp;row=829&amp;col=7&amp;number=0&amp;sourceID=14","0")</f>
        <v>0</v>
      </c>
    </row>
    <row r="830" spans="1:7">
      <c r="A830" s="3">
        <v>14</v>
      </c>
      <c r="B830" s="3">
        <v>4</v>
      </c>
      <c r="C830" s="3">
        <v>83</v>
      </c>
      <c r="D830" s="3">
        <v>13</v>
      </c>
      <c r="E830" s="3">
        <v>-100.541</v>
      </c>
      <c r="F830" s="4" t="str">
        <f>HYPERLINK("http://141.218.60.56/~jnz1568/getInfo.php?workbook=14_04.xlsx&amp;sheet=A0&amp;row=830&amp;col=6&amp;number=405800000&amp;sourceID=14","405800000")</f>
        <v>405800000</v>
      </c>
      <c r="G830" s="4" t="str">
        <f>HYPERLINK("http://141.218.60.56/~jnz1568/getInfo.php?workbook=14_04.xlsx&amp;sheet=A0&amp;row=830&amp;col=7&amp;number=0&amp;sourceID=14","0")</f>
        <v>0</v>
      </c>
    </row>
    <row r="831" spans="1:7">
      <c r="A831" s="3">
        <v>14</v>
      </c>
      <c r="B831" s="3">
        <v>4</v>
      </c>
      <c r="C831" s="3">
        <v>84</v>
      </c>
      <c r="D831" s="3">
        <v>13</v>
      </c>
      <c r="E831" s="3">
        <v>-99.82</v>
      </c>
      <c r="F831" s="4" t="str">
        <f>HYPERLINK("http://141.218.60.56/~jnz1568/getInfo.php?workbook=14_04.xlsx&amp;sheet=A0&amp;row=831&amp;col=6&amp;number=12730000000&amp;sourceID=14","12730000000")</f>
        <v>12730000000</v>
      </c>
      <c r="G831" s="4" t="str">
        <f>HYPERLINK("http://141.218.60.56/~jnz1568/getInfo.php?workbook=14_04.xlsx&amp;sheet=A0&amp;row=831&amp;col=7&amp;number=0&amp;sourceID=14","0")</f>
        <v>0</v>
      </c>
    </row>
    <row r="832" spans="1:7">
      <c r="A832" s="3">
        <v>14</v>
      </c>
      <c r="B832" s="3">
        <v>4</v>
      </c>
      <c r="C832" s="3">
        <v>85</v>
      </c>
      <c r="D832" s="3">
        <v>13</v>
      </c>
      <c r="E832" s="3">
        <v>-99.095</v>
      </c>
      <c r="F832" s="4" t="str">
        <f>HYPERLINK("http://141.218.60.56/~jnz1568/getInfo.php?workbook=14_04.xlsx&amp;sheet=A0&amp;row=832&amp;col=6&amp;number=5.112&amp;sourceID=14","5.112")</f>
        <v>5.112</v>
      </c>
      <c r="G832" s="4" t="str">
        <f>HYPERLINK("http://141.218.60.56/~jnz1568/getInfo.php?workbook=14_04.xlsx&amp;sheet=A0&amp;row=832&amp;col=7&amp;number=0&amp;sourceID=14","0")</f>
        <v>0</v>
      </c>
    </row>
    <row r="833" spans="1:7">
      <c r="A833" s="3">
        <v>14</v>
      </c>
      <c r="B833" s="3">
        <v>4</v>
      </c>
      <c r="C833" s="3">
        <v>86</v>
      </c>
      <c r="D833" s="3">
        <v>13</v>
      </c>
      <c r="E833" s="3">
        <v>-99.083</v>
      </c>
      <c r="F833" s="4" t="str">
        <f>HYPERLINK("http://141.218.60.56/~jnz1568/getInfo.php?workbook=14_04.xlsx&amp;sheet=A0&amp;row=833&amp;col=6&amp;number=9036&amp;sourceID=14","9036")</f>
        <v>9036</v>
      </c>
      <c r="G833" s="4" t="str">
        <f>HYPERLINK("http://141.218.60.56/~jnz1568/getInfo.php?workbook=14_04.xlsx&amp;sheet=A0&amp;row=833&amp;col=7&amp;number=0&amp;sourceID=14","0")</f>
        <v>0</v>
      </c>
    </row>
    <row r="834" spans="1:7">
      <c r="A834" s="3">
        <v>14</v>
      </c>
      <c r="B834" s="3">
        <v>4</v>
      </c>
      <c r="C834" s="3">
        <v>87</v>
      </c>
      <c r="D834" s="3">
        <v>13</v>
      </c>
      <c r="E834" s="3">
        <v>98.608</v>
      </c>
      <c r="F834" s="4" t="str">
        <f>HYPERLINK("http://141.218.60.56/~jnz1568/getInfo.php?workbook=14_04.xlsx&amp;sheet=A0&amp;row=834&amp;col=6&amp;number=67230&amp;sourceID=14","67230")</f>
        <v>67230</v>
      </c>
      <c r="G834" s="4" t="str">
        <f>HYPERLINK("http://141.218.60.56/~jnz1568/getInfo.php?workbook=14_04.xlsx&amp;sheet=A0&amp;row=834&amp;col=7&amp;number=0&amp;sourceID=14","0")</f>
        <v>0</v>
      </c>
    </row>
    <row r="835" spans="1:7">
      <c r="A835" s="3">
        <v>14</v>
      </c>
      <c r="B835" s="3">
        <v>4</v>
      </c>
      <c r="C835" s="3">
        <v>88</v>
      </c>
      <c r="D835" s="3">
        <v>13</v>
      </c>
      <c r="E835" s="3">
        <v>-98.803</v>
      </c>
      <c r="F835" s="4" t="str">
        <f>HYPERLINK("http://141.218.60.56/~jnz1568/getInfo.php?workbook=14_04.xlsx&amp;sheet=A0&amp;row=835&amp;col=6&amp;number=1788000&amp;sourceID=14","1788000")</f>
        <v>1788000</v>
      </c>
      <c r="G835" s="4" t="str">
        <f>HYPERLINK("http://141.218.60.56/~jnz1568/getInfo.php?workbook=14_04.xlsx&amp;sheet=A0&amp;row=835&amp;col=7&amp;number=0&amp;sourceID=14","0")</f>
        <v>0</v>
      </c>
    </row>
    <row r="836" spans="1:7">
      <c r="A836" s="3">
        <v>14</v>
      </c>
      <c r="B836" s="3">
        <v>4</v>
      </c>
      <c r="C836" s="3">
        <v>89</v>
      </c>
      <c r="D836" s="3">
        <v>13</v>
      </c>
      <c r="E836" s="3">
        <v>-98.259</v>
      </c>
      <c r="F836" s="4" t="str">
        <f>HYPERLINK("http://141.218.60.56/~jnz1568/getInfo.php?workbook=14_04.xlsx&amp;sheet=A0&amp;row=836&amp;col=6&amp;number=1563000000&amp;sourceID=14","1563000000")</f>
        <v>1563000000</v>
      </c>
      <c r="G836" s="4" t="str">
        <f>HYPERLINK("http://141.218.60.56/~jnz1568/getInfo.php?workbook=14_04.xlsx&amp;sheet=A0&amp;row=836&amp;col=7&amp;number=0&amp;sourceID=14","0")</f>
        <v>0</v>
      </c>
    </row>
    <row r="837" spans="1:7">
      <c r="A837" s="3">
        <v>14</v>
      </c>
      <c r="B837" s="3">
        <v>4</v>
      </c>
      <c r="C837" s="3">
        <v>90</v>
      </c>
      <c r="D837" s="3">
        <v>13</v>
      </c>
      <c r="E837" s="3">
        <v>98.164</v>
      </c>
      <c r="F837" s="4" t="str">
        <f>HYPERLINK("http://141.218.60.56/~jnz1568/getInfo.php?workbook=14_04.xlsx&amp;sheet=A0&amp;row=837&amp;col=6&amp;number=3107000000&amp;sourceID=14","3107000000")</f>
        <v>3107000000</v>
      </c>
      <c r="G837" s="4" t="str">
        <f>HYPERLINK("http://141.218.60.56/~jnz1568/getInfo.php?workbook=14_04.xlsx&amp;sheet=A0&amp;row=837&amp;col=7&amp;number=0&amp;sourceID=14","0")</f>
        <v>0</v>
      </c>
    </row>
    <row r="838" spans="1:7">
      <c r="A838" s="3">
        <v>14</v>
      </c>
      <c r="B838" s="3">
        <v>4</v>
      </c>
      <c r="C838" s="3">
        <v>92</v>
      </c>
      <c r="D838" s="3">
        <v>13</v>
      </c>
      <c r="E838" s="3">
        <v>97.795</v>
      </c>
      <c r="F838" s="4" t="str">
        <f>HYPERLINK("http://141.218.60.56/~jnz1568/getInfo.php?workbook=14_04.xlsx&amp;sheet=A0&amp;row=838&amp;col=6&amp;number=43850000000&amp;sourceID=14","43850000000")</f>
        <v>43850000000</v>
      </c>
      <c r="G838" s="4" t="str">
        <f>HYPERLINK("http://141.218.60.56/~jnz1568/getInfo.php?workbook=14_04.xlsx&amp;sheet=A0&amp;row=838&amp;col=7&amp;number=0&amp;sourceID=14","0")</f>
        <v>0</v>
      </c>
    </row>
    <row r="839" spans="1:7">
      <c r="A839" s="3">
        <v>14</v>
      </c>
      <c r="B839" s="3">
        <v>4</v>
      </c>
      <c r="C839" s="3">
        <v>15</v>
      </c>
      <c r="D839" s="3">
        <v>14</v>
      </c>
      <c r="E839" s="3">
        <v>-105922.333</v>
      </c>
      <c r="F839" s="4" t="str">
        <f>HYPERLINK("http://141.218.60.56/~jnz1568/getInfo.php?workbook=14_04.xlsx&amp;sheet=A0&amp;row=839&amp;col=6&amp;number=0.01398&amp;sourceID=14","0.01398")</f>
        <v>0.01398</v>
      </c>
      <c r="G839" s="4" t="str">
        <f>HYPERLINK("http://141.218.60.56/~jnz1568/getInfo.php?workbook=14_04.xlsx&amp;sheet=A0&amp;row=839&amp;col=7&amp;number=0&amp;sourceID=14","0")</f>
        <v>0</v>
      </c>
    </row>
    <row r="840" spans="1:7">
      <c r="A840" s="3">
        <v>14</v>
      </c>
      <c r="B840" s="3">
        <v>4</v>
      </c>
      <c r="C840" s="3">
        <v>16</v>
      </c>
      <c r="D840" s="3">
        <v>14</v>
      </c>
      <c r="E840" s="3">
        <v>-48029.668</v>
      </c>
      <c r="F840" s="4" t="str">
        <f>HYPERLINK("http://141.218.60.56/~jnz1568/getInfo.php?workbook=14_04.xlsx&amp;sheet=A0&amp;row=840&amp;col=6&amp;number=6.357e-07&amp;sourceID=14","6.357e-07")</f>
        <v>6.357e-07</v>
      </c>
      <c r="G840" s="4" t="str">
        <f>HYPERLINK("http://141.218.60.56/~jnz1568/getInfo.php?workbook=14_04.xlsx&amp;sheet=A0&amp;row=840&amp;col=7&amp;number=0&amp;sourceID=14","0")</f>
        <v>0</v>
      </c>
    </row>
    <row r="841" spans="1:7">
      <c r="A841" s="3">
        <v>14</v>
      </c>
      <c r="B841" s="3">
        <v>4</v>
      </c>
      <c r="C841" s="3">
        <v>17</v>
      </c>
      <c r="D841" s="3">
        <v>14</v>
      </c>
      <c r="E841" s="3">
        <v>-2295.356</v>
      </c>
      <c r="F841" s="4" t="str">
        <f>HYPERLINK("http://141.218.60.56/~jnz1568/getInfo.php?workbook=14_04.xlsx&amp;sheet=A0&amp;row=841&amp;col=6&amp;number=24860000&amp;sourceID=14","24860000")</f>
        <v>24860000</v>
      </c>
      <c r="G841" s="4" t="str">
        <f>HYPERLINK("http://141.218.60.56/~jnz1568/getInfo.php?workbook=14_04.xlsx&amp;sheet=A0&amp;row=841&amp;col=7&amp;number=0&amp;sourceID=14","0")</f>
        <v>0</v>
      </c>
    </row>
    <row r="842" spans="1:7">
      <c r="A842" s="3">
        <v>14</v>
      </c>
      <c r="B842" s="3">
        <v>4</v>
      </c>
      <c r="C842" s="3">
        <v>22</v>
      </c>
      <c r="D842" s="3">
        <v>14</v>
      </c>
      <c r="E842" s="3">
        <v>-720.988</v>
      </c>
      <c r="F842" s="4" t="str">
        <f>HYPERLINK("http://141.218.60.56/~jnz1568/getInfo.php?workbook=14_04.xlsx&amp;sheet=A0&amp;row=842&amp;col=6&amp;number=0.02474&amp;sourceID=14","0.02474")</f>
        <v>0.02474</v>
      </c>
      <c r="G842" s="4" t="str">
        <f>HYPERLINK("http://141.218.60.56/~jnz1568/getInfo.php?workbook=14_04.xlsx&amp;sheet=A0&amp;row=842&amp;col=7&amp;number=0&amp;sourceID=14","0")</f>
        <v>0</v>
      </c>
    </row>
    <row r="843" spans="1:7">
      <c r="A843" s="3">
        <v>14</v>
      </c>
      <c r="B843" s="3">
        <v>4</v>
      </c>
      <c r="C843" s="3">
        <v>23</v>
      </c>
      <c r="D843" s="3">
        <v>14</v>
      </c>
      <c r="E843" s="3">
        <v>-692.524</v>
      </c>
      <c r="F843" s="4" t="str">
        <f>HYPERLINK("http://141.218.60.56/~jnz1568/getInfo.php?workbook=14_04.xlsx&amp;sheet=A0&amp;row=843&amp;col=6&amp;number=0.1979&amp;sourceID=14","0.1979")</f>
        <v>0.1979</v>
      </c>
      <c r="G843" s="4" t="str">
        <f>HYPERLINK("http://141.218.60.56/~jnz1568/getInfo.php?workbook=14_04.xlsx&amp;sheet=A0&amp;row=843&amp;col=7&amp;number=0&amp;sourceID=14","0")</f>
        <v>0</v>
      </c>
    </row>
    <row r="844" spans="1:7">
      <c r="A844" s="3">
        <v>14</v>
      </c>
      <c r="B844" s="3">
        <v>4</v>
      </c>
      <c r="C844" s="3">
        <v>24</v>
      </c>
      <c r="D844" s="3">
        <v>14</v>
      </c>
      <c r="E844" s="3">
        <v>-571.535</v>
      </c>
      <c r="F844" s="4" t="str">
        <f>HYPERLINK("http://141.218.60.56/~jnz1568/getInfo.php?workbook=14_04.xlsx&amp;sheet=A0&amp;row=844&amp;col=6&amp;number=1.086&amp;sourceID=14","1.086")</f>
        <v>1.086</v>
      </c>
      <c r="G844" s="4" t="str">
        <f>HYPERLINK("http://141.218.60.56/~jnz1568/getInfo.php?workbook=14_04.xlsx&amp;sheet=A0&amp;row=844&amp;col=7&amp;number=0&amp;sourceID=14","0")</f>
        <v>0</v>
      </c>
    </row>
    <row r="845" spans="1:7">
      <c r="A845" s="3">
        <v>14</v>
      </c>
      <c r="B845" s="3">
        <v>4</v>
      </c>
      <c r="C845" s="3">
        <v>25</v>
      </c>
      <c r="D845" s="3">
        <v>14</v>
      </c>
      <c r="E845" s="3">
        <v>-541.774</v>
      </c>
      <c r="F845" s="4" t="str">
        <f>HYPERLINK("http://141.218.60.56/~jnz1568/getInfo.php?workbook=14_04.xlsx&amp;sheet=A0&amp;row=845&amp;col=6&amp;number=60710000&amp;sourceID=14","60710000")</f>
        <v>60710000</v>
      </c>
      <c r="G845" s="4" t="str">
        <f>HYPERLINK("http://141.218.60.56/~jnz1568/getInfo.php?workbook=14_04.xlsx&amp;sheet=A0&amp;row=845&amp;col=7&amp;number=0&amp;sourceID=14","0")</f>
        <v>0</v>
      </c>
    </row>
    <row r="846" spans="1:7">
      <c r="A846" s="3">
        <v>14</v>
      </c>
      <c r="B846" s="3">
        <v>4</v>
      </c>
      <c r="C846" s="3">
        <v>26</v>
      </c>
      <c r="D846" s="3">
        <v>14</v>
      </c>
      <c r="E846" s="3">
        <v>-517.249</v>
      </c>
      <c r="F846" s="4" t="str">
        <f>HYPERLINK("http://141.218.60.56/~jnz1568/getInfo.php?workbook=14_04.xlsx&amp;sheet=A0&amp;row=846&amp;col=6&amp;number=475800000&amp;sourceID=14","475800000")</f>
        <v>475800000</v>
      </c>
      <c r="G846" s="4" t="str">
        <f>HYPERLINK("http://141.218.60.56/~jnz1568/getInfo.php?workbook=14_04.xlsx&amp;sheet=A0&amp;row=846&amp;col=7&amp;number=0&amp;sourceID=14","0")</f>
        <v>0</v>
      </c>
    </row>
    <row r="847" spans="1:7">
      <c r="A847" s="3">
        <v>14</v>
      </c>
      <c r="B847" s="3">
        <v>4</v>
      </c>
      <c r="C847" s="3">
        <v>29</v>
      </c>
      <c r="D847" s="3">
        <v>14</v>
      </c>
      <c r="E847" s="3">
        <v>-468.884</v>
      </c>
      <c r="F847" s="4" t="str">
        <f>HYPERLINK("http://141.218.60.56/~jnz1568/getInfo.php?workbook=14_04.xlsx&amp;sheet=A0&amp;row=847&amp;col=6&amp;number=66200000&amp;sourceID=14","66200000")</f>
        <v>66200000</v>
      </c>
      <c r="G847" s="4" t="str">
        <f>HYPERLINK("http://141.218.60.56/~jnz1568/getInfo.php?workbook=14_04.xlsx&amp;sheet=A0&amp;row=847&amp;col=7&amp;number=0&amp;sourceID=14","0")</f>
        <v>0</v>
      </c>
    </row>
    <row r="848" spans="1:7">
      <c r="A848" s="3">
        <v>14</v>
      </c>
      <c r="B848" s="3">
        <v>4</v>
      </c>
      <c r="C848" s="3">
        <v>31</v>
      </c>
      <c r="D848" s="3">
        <v>14</v>
      </c>
      <c r="E848" s="3">
        <v>-447.359</v>
      </c>
      <c r="F848" s="4" t="str">
        <f>HYPERLINK("http://141.218.60.56/~jnz1568/getInfo.php?workbook=14_04.xlsx&amp;sheet=A0&amp;row=848&amp;col=6&amp;number=642800000&amp;sourceID=14","642800000")</f>
        <v>642800000</v>
      </c>
      <c r="G848" s="4" t="str">
        <f>HYPERLINK("http://141.218.60.56/~jnz1568/getInfo.php?workbook=14_04.xlsx&amp;sheet=A0&amp;row=848&amp;col=7&amp;number=0&amp;sourceID=14","0")</f>
        <v>0</v>
      </c>
    </row>
    <row r="849" spans="1:7">
      <c r="A849" s="3">
        <v>14</v>
      </c>
      <c r="B849" s="3">
        <v>4</v>
      </c>
      <c r="C849" s="3">
        <v>33</v>
      </c>
      <c r="D849" s="3">
        <v>14</v>
      </c>
      <c r="E849" s="3">
        <v>-433.405</v>
      </c>
      <c r="F849" s="4" t="str">
        <f>HYPERLINK("http://141.218.60.56/~jnz1568/getInfo.php?workbook=14_04.xlsx&amp;sheet=A0&amp;row=849&amp;col=6&amp;number=192.5&amp;sourceID=14","192.5")</f>
        <v>192.5</v>
      </c>
      <c r="G849" s="4" t="str">
        <f>HYPERLINK("http://141.218.60.56/~jnz1568/getInfo.php?workbook=14_04.xlsx&amp;sheet=A0&amp;row=849&amp;col=7&amp;number=0&amp;sourceID=14","0")</f>
        <v>0</v>
      </c>
    </row>
    <row r="850" spans="1:7">
      <c r="A850" s="3">
        <v>14</v>
      </c>
      <c r="B850" s="3">
        <v>4</v>
      </c>
      <c r="C850" s="3">
        <v>35</v>
      </c>
      <c r="D850" s="3">
        <v>14</v>
      </c>
      <c r="E850" s="3">
        <v>-421.25</v>
      </c>
      <c r="F850" s="4" t="str">
        <f>HYPERLINK("http://141.218.60.56/~jnz1568/getInfo.php?workbook=14_04.xlsx&amp;sheet=A0&amp;row=850&amp;col=6&amp;number=45.65&amp;sourceID=14","45.65")</f>
        <v>45.65</v>
      </c>
      <c r="G850" s="4" t="str">
        <f>HYPERLINK("http://141.218.60.56/~jnz1568/getInfo.php?workbook=14_04.xlsx&amp;sheet=A0&amp;row=850&amp;col=7&amp;number=0&amp;sourceID=14","0")</f>
        <v>0</v>
      </c>
    </row>
    <row r="851" spans="1:7">
      <c r="A851" s="3">
        <v>14</v>
      </c>
      <c r="B851" s="3">
        <v>4</v>
      </c>
      <c r="C851" s="3">
        <v>38</v>
      </c>
      <c r="D851" s="3">
        <v>14</v>
      </c>
      <c r="E851" s="3">
        <v>-386.767</v>
      </c>
      <c r="F851" s="4" t="str">
        <f>HYPERLINK("http://141.218.60.56/~jnz1568/getInfo.php?workbook=14_04.xlsx&amp;sheet=A0&amp;row=851&amp;col=6&amp;number=0.3522&amp;sourceID=14","0.3522")</f>
        <v>0.3522</v>
      </c>
      <c r="G851" s="4" t="str">
        <f>HYPERLINK("http://141.218.60.56/~jnz1568/getInfo.php?workbook=14_04.xlsx&amp;sheet=A0&amp;row=851&amp;col=7&amp;number=0&amp;sourceID=14","0")</f>
        <v>0</v>
      </c>
    </row>
    <row r="852" spans="1:7">
      <c r="A852" s="3">
        <v>14</v>
      </c>
      <c r="B852" s="3">
        <v>4</v>
      </c>
      <c r="C852" s="3">
        <v>39</v>
      </c>
      <c r="D852" s="3">
        <v>14</v>
      </c>
      <c r="E852" s="3">
        <v>-385.04</v>
      </c>
      <c r="F852" s="4" t="str">
        <f>HYPERLINK("http://141.218.60.56/~jnz1568/getInfo.php?workbook=14_04.xlsx&amp;sheet=A0&amp;row=852&amp;col=6&amp;number=18.63&amp;sourceID=14","18.63")</f>
        <v>18.63</v>
      </c>
      <c r="G852" s="4" t="str">
        <f>HYPERLINK("http://141.218.60.56/~jnz1568/getInfo.php?workbook=14_04.xlsx&amp;sheet=A0&amp;row=852&amp;col=7&amp;number=0&amp;sourceID=14","0")</f>
        <v>0</v>
      </c>
    </row>
    <row r="853" spans="1:7">
      <c r="A853" s="3">
        <v>14</v>
      </c>
      <c r="B853" s="3">
        <v>4</v>
      </c>
      <c r="C853" s="3">
        <v>41</v>
      </c>
      <c r="D853" s="3">
        <v>14</v>
      </c>
      <c r="E853" s="3">
        <v>-370.542</v>
      </c>
      <c r="F853" s="4" t="str">
        <f>HYPERLINK("http://141.218.60.56/~jnz1568/getInfo.php?workbook=14_04.xlsx&amp;sheet=A0&amp;row=853&amp;col=6&amp;number=28.96&amp;sourceID=14","28.96")</f>
        <v>28.96</v>
      </c>
      <c r="G853" s="4" t="str">
        <f>HYPERLINK("http://141.218.60.56/~jnz1568/getInfo.php?workbook=14_04.xlsx&amp;sheet=A0&amp;row=853&amp;col=7&amp;number=0&amp;sourceID=14","0")</f>
        <v>0</v>
      </c>
    </row>
    <row r="854" spans="1:7">
      <c r="A854" s="3">
        <v>14</v>
      </c>
      <c r="B854" s="3">
        <v>4</v>
      </c>
      <c r="C854" s="3">
        <v>42</v>
      </c>
      <c r="D854" s="3">
        <v>14</v>
      </c>
      <c r="E854" s="3">
        <v>-368.548</v>
      </c>
      <c r="F854" s="4" t="str">
        <f>HYPERLINK("http://141.218.60.56/~jnz1568/getInfo.php?workbook=14_04.xlsx&amp;sheet=A0&amp;row=854&amp;col=6&amp;number=0.05628&amp;sourceID=14","0.05628")</f>
        <v>0.05628</v>
      </c>
      <c r="G854" s="4" t="str">
        <f>HYPERLINK("http://141.218.60.56/~jnz1568/getInfo.php?workbook=14_04.xlsx&amp;sheet=A0&amp;row=854&amp;col=7&amp;number=0&amp;sourceID=14","0")</f>
        <v>0</v>
      </c>
    </row>
    <row r="855" spans="1:7">
      <c r="A855" s="3">
        <v>14</v>
      </c>
      <c r="B855" s="3">
        <v>4</v>
      </c>
      <c r="C855" s="3">
        <v>46</v>
      </c>
      <c r="D855" s="3">
        <v>14</v>
      </c>
      <c r="E855" s="3">
        <v>-327.213</v>
      </c>
      <c r="F855" s="4" t="str">
        <f>HYPERLINK("http://141.218.60.56/~jnz1568/getInfo.php?workbook=14_04.xlsx&amp;sheet=A0&amp;row=855&amp;col=6&amp;number=0.2416&amp;sourceID=14","0.2416")</f>
        <v>0.2416</v>
      </c>
      <c r="G855" s="4" t="str">
        <f>HYPERLINK("http://141.218.60.56/~jnz1568/getInfo.php?workbook=14_04.xlsx&amp;sheet=A0&amp;row=855&amp;col=7&amp;number=0&amp;sourceID=14","0")</f>
        <v>0</v>
      </c>
    </row>
    <row r="856" spans="1:7">
      <c r="A856" s="3">
        <v>14</v>
      </c>
      <c r="B856" s="3">
        <v>4</v>
      </c>
      <c r="C856" s="3">
        <v>47</v>
      </c>
      <c r="D856" s="3">
        <v>14</v>
      </c>
      <c r="E856" s="3">
        <v>-151.046</v>
      </c>
      <c r="F856" s="4" t="str">
        <f>HYPERLINK("http://141.218.60.56/~jnz1568/getInfo.php?workbook=14_04.xlsx&amp;sheet=A0&amp;row=856&amp;col=6&amp;number=4940000000&amp;sourceID=14","4940000000")</f>
        <v>4940000000</v>
      </c>
      <c r="G856" s="4" t="str">
        <f>HYPERLINK("http://141.218.60.56/~jnz1568/getInfo.php?workbook=14_04.xlsx&amp;sheet=A0&amp;row=856&amp;col=7&amp;number=0&amp;sourceID=14","0")</f>
        <v>0</v>
      </c>
    </row>
    <row r="857" spans="1:7">
      <c r="A857" s="3">
        <v>14</v>
      </c>
      <c r="B857" s="3">
        <v>4</v>
      </c>
      <c r="C857" s="3">
        <v>50</v>
      </c>
      <c r="D857" s="3">
        <v>14</v>
      </c>
      <c r="E857" s="3">
        <v>-144.368</v>
      </c>
      <c r="F857" s="4" t="str">
        <f>HYPERLINK("http://141.218.60.56/~jnz1568/getInfo.php?workbook=14_04.xlsx&amp;sheet=A0&amp;row=857&amp;col=6&amp;number=1.683&amp;sourceID=14","1.683")</f>
        <v>1.683</v>
      </c>
      <c r="G857" s="4" t="str">
        <f>HYPERLINK("http://141.218.60.56/~jnz1568/getInfo.php?workbook=14_04.xlsx&amp;sheet=A0&amp;row=857&amp;col=7&amp;number=0&amp;sourceID=14","0")</f>
        <v>0</v>
      </c>
    </row>
    <row r="858" spans="1:7">
      <c r="A858" s="3">
        <v>14</v>
      </c>
      <c r="B858" s="3">
        <v>4</v>
      </c>
      <c r="C858" s="3">
        <v>51</v>
      </c>
      <c r="D858" s="3">
        <v>14</v>
      </c>
      <c r="E858" s="3">
        <v>-144.24</v>
      </c>
      <c r="F858" s="4" t="str">
        <f>HYPERLINK("http://141.218.60.56/~jnz1568/getInfo.php?workbook=14_04.xlsx&amp;sheet=A0&amp;row=858&amp;col=6&amp;number=1035000&amp;sourceID=14","1035000")</f>
        <v>1035000</v>
      </c>
      <c r="G858" s="4" t="str">
        <f>HYPERLINK("http://141.218.60.56/~jnz1568/getInfo.php?workbook=14_04.xlsx&amp;sheet=A0&amp;row=858&amp;col=7&amp;number=0&amp;sourceID=14","0")</f>
        <v>0</v>
      </c>
    </row>
    <row r="859" spans="1:7">
      <c r="A859" s="3">
        <v>14</v>
      </c>
      <c r="B859" s="3">
        <v>4</v>
      </c>
      <c r="C859" s="3">
        <v>52</v>
      </c>
      <c r="D859" s="3">
        <v>14</v>
      </c>
      <c r="E859" s="3">
        <v>-143.651</v>
      </c>
      <c r="F859" s="4" t="str">
        <f>HYPERLINK("http://141.218.60.56/~jnz1568/getInfo.php?workbook=14_04.xlsx&amp;sheet=A0&amp;row=859&amp;col=6&amp;number=5.64&amp;sourceID=14","5.64")</f>
        <v>5.64</v>
      </c>
      <c r="G859" s="4" t="str">
        <f>HYPERLINK("http://141.218.60.56/~jnz1568/getInfo.php?workbook=14_04.xlsx&amp;sheet=A0&amp;row=859&amp;col=7&amp;number=0&amp;sourceID=14","0")</f>
        <v>0</v>
      </c>
    </row>
    <row r="860" spans="1:7">
      <c r="A860" s="3">
        <v>14</v>
      </c>
      <c r="B860" s="3">
        <v>4</v>
      </c>
      <c r="C860" s="3">
        <v>53</v>
      </c>
      <c r="D860" s="3">
        <v>14</v>
      </c>
      <c r="E860" s="3">
        <v>-140.806</v>
      </c>
      <c r="F860" s="4" t="str">
        <f>HYPERLINK("http://141.218.60.56/~jnz1568/getInfo.php?workbook=14_04.xlsx&amp;sheet=A0&amp;row=860&amp;col=6&amp;number=57420000000&amp;sourceID=14","57420000000")</f>
        <v>57420000000</v>
      </c>
      <c r="G860" s="4" t="str">
        <f>HYPERLINK("http://141.218.60.56/~jnz1568/getInfo.php?workbook=14_04.xlsx&amp;sheet=A0&amp;row=860&amp;col=7&amp;number=0&amp;sourceID=14","0")</f>
        <v>0</v>
      </c>
    </row>
    <row r="861" spans="1:7">
      <c r="A861" s="3">
        <v>14</v>
      </c>
      <c r="B861" s="3">
        <v>4</v>
      </c>
      <c r="C861" s="3">
        <v>58</v>
      </c>
      <c r="D861" s="3">
        <v>14</v>
      </c>
      <c r="E861" s="3">
        <v>-115.855</v>
      </c>
      <c r="F861" s="4" t="str">
        <f>HYPERLINK("http://141.218.60.56/~jnz1568/getInfo.php?workbook=14_04.xlsx&amp;sheet=A0&amp;row=861&amp;col=6&amp;number=0.02677&amp;sourceID=14","0.02677")</f>
        <v>0.02677</v>
      </c>
      <c r="G861" s="4" t="str">
        <f>HYPERLINK("http://141.218.60.56/~jnz1568/getInfo.php?workbook=14_04.xlsx&amp;sheet=A0&amp;row=861&amp;col=7&amp;number=0&amp;sourceID=14","0")</f>
        <v>0</v>
      </c>
    </row>
    <row r="862" spans="1:7">
      <c r="A862" s="3">
        <v>14</v>
      </c>
      <c r="B862" s="3">
        <v>4</v>
      </c>
      <c r="C862" s="3">
        <v>59</v>
      </c>
      <c r="D862" s="3">
        <v>14</v>
      </c>
      <c r="E862" s="3">
        <v>-114.972</v>
      </c>
      <c r="F862" s="4" t="str">
        <f>HYPERLINK("http://141.218.60.56/~jnz1568/getInfo.php?workbook=14_04.xlsx&amp;sheet=A0&amp;row=862&amp;col=6&amp;number=0.1375&amp;sourceID=14","0.1375")</f>
        <v>0.1375</v>
      </c>
      <c r="G862" s="4" t="str">
        <f>HYPERLINK("http://141.218.60.56/~jnz1568/getInfo.php?workbook=14_04.xlsx&amp;sheet=A0&amp;row=862&amp;col=7&amp;number=0&amp;sourceID=14","0")</f>
        <v>0</v>
      </c>
    </row>
    <row r="863" spans="1:7">
      <c r="A863" s="3">
        <v>14</v>
      </c>
      <c r="B863" s="3">
        <v>4</v>
      </c>
      <c r="C863" s="3">
        <v>60</v>
      </c>
      <c r="D863" s="3">
        <v>14</v>
      </c>
      <c r="E863" s="3">
        <v>-114.154</v>
      </c>
      <c r="F863" s="4" t="str">
        <f>HYPERLINK("http://141.218.60.56/~jnz1568/getInfo.php?workbook=14_04.xlsx&amp;sheet=A0&amp;row=863&amp;col=6&amp;number=0.09149&amp;sourceID=14","0.09149")</f>
        <v>0.09149</v>
      </c>
      <c r="G863" s="4" t="str">
        <f>HYPERLINK("http://141.218.60.56/~jnz1568/getInfo.php?workbook=14_04.xlsx&amp;sheet=A0&amp;row=863&amp;col=7&amp;number=0&amp;sourceID=14","0")</f>
        <v>0</v>
      </c>
    </row>
    <row r="864" spans="1:7">
      <c r="A864" s="3">
        <v>14</v>
      </c>
      <c r="B864" s="3">
        <v>4</v>
      </c>
      <c r="C864" s="3">
        <v>61</v>
      </c>
      <c r="D864" s="3">
        <v>14</v>
      </c>
      <c r="E864" s="3">
        <v>-112.619</v>
      </c>
      <c r="F864" s="4" t="str">
        <f>HYPERLINK("http://141.218.60.56/~jnz1568/getInfo.php?workbook=14_04.xlsx&amp;sheet=A0&amp;row=864&amp;col=6&amp;number=32590000&amp;sourceID=14","32590000")</f>
        <v>32590000</v>
      </c>
      <c r="G864" s="4" t="str">
        <f>HYPERLINK("http://141.218.60.56/~jnz1568/getInfo.php?workbook=14_04.xlsx&amp;sheet=A0&amp;row=864&amp;col=7&amp;number=0&amp;sourceID=14","0")</f>
        <v>0</v>
      </c>
    </row>
    <row r="865" spans="1:7">
      <c r="A865" s="3">
        <v>14</v>
      </c>
      <c r="B865" s="3">
        <v>4</v>
      </c>
      <c r="C865" s="3">
        <v>62</v>
      </c>
      <c r="D865" s="3">
        <v>14</v>
      </c>
      <c r="E865" s="3">
        <v>-113.177</v>
      </c>
      <c r="F865" s="4" t="str">
        <f>HYPERLINK("http://141.218.60.56/~jnz1568/getInfo.php?workbook=14_04.xlsx&amp;sheet=A0&amp;row=865&amp;col=6&amp;number=103600&amp;sourceID=14","103600")</f>
        <v>103600</v>
      </c>
      <c r="G865" s="4" t="str">
        <f>HYPERLINK("http://141.218.60.56/~jnz1568/getInfo.php?workbook=14_04.xlsx&amp;sheet=A0&amp;row=865&amp;col=7&amp;number=0&amp;sourceID=14","0")</f>
        <v>0</v>
      </c>
    </row>
    <row r="866" spans="1:7">
      <c r="A866" s="3">
        <v>14</v>
      </c>
      <c r="B866" s="3">
        <v>4</v>
      </c>
      <c r="C866" s="3">
        <v>65</v>
      </c>
      <c r="D866" s="3">
        <v>14</v>
      </c>
      <c r="E866" s="3">
        <v>-111.681</v>
      </c>
      <c r="F866" s="4" t="str">
        <f>HYPERLINK("http://141.218.60.56/~jnz1568/getInfo.php?workbook=14_04.xlsx&amp;sheet=A0&amp;row=866&amp;col=6&amp;number=72650000&amp;sourceID=14","72650000")</f>
        <v>72650000</v>
      </c>
      <c r="G866" s="4" t="str">
        <f>HYPERLINK("http://141.218.60.56/~jnz1568/getInfo.php?workbook=14_04.xlsx&amp;sheet=A0&amp;row=866&amp;col=7&amp;number=0&amp;sourceID=14","0")</f>
        <v>0</v>
      </c>
    </row>
    <row r="867" spans="1:7">
      <c r="A867" s="3">
        <v>14</v>
      </c>
      <c r="B867" s="3">
        <v>4</v>
      </c>
      <c r="C867" s="3">
        <v>67</v>
      </c>
      <c r="D867" s="3">
        <v>14</v>
      </c>
      <c r="E867" s="3">
        <v>-111.139</v>
      </c>
      <c r="F867" s="4" t="str">
        <f>HYPERLINK("http://141.218.60.56/~jnz1568/getInfo.php?workbook=14_04.xlsx&amp;sheet=A0&amp;row=867&amp;col=6&amp;number=32810000&amp;sourceID=14","32810000")</f>
        <v>32810000</v>
      </c>
      <c r="G867" s="4" t="str">
        <f>HYPERLINK("http://141.218.60.56/~jnz1568/getInfo.php?workbook=14_04.xlsx&amp;sheet=A0&amp;row=867&amp;col=7&amp;number=0&amp;sourceID=14","0")</f>
        <v>0</v>
      </c>
    </row>
    <row r="868" spans="1:7">
      <c r="A868" s="3">
        <v>14</v>
      </c>
      <c r="B868" s="3">
        <v>4</v>
      </c>
      <c r="C868" s="3">
        <v>69</v>
      </c>
      <c r="D868" s="3">
        <v>14</v>
      </c>
      <c r="E868" s="3">
        <v>-110.941</v>
      </c>
      <c r="F868" s="4" t="str">
        <f>HYPERLINK("http://141.218.60.56/~jnz1568/getInfo.php?workbook=14_04.xlsx&amp;sheet=A0&amp;row=868&amp;col=6&amp;number=14560&amp;sourceID=14","14560")</f>
        <v>14560</v>
      </c>
      <c r="G868" s="4" t="str">
        <f>HYPERLINK("http://141.218.60.56/~jnz1568/getInfo.php?workbook=14_04.xlsx&amp;sheet=A0&amp;row=868&amp;col=7&amp;number=0&amp;sourceID=14","0")</f>
        <v>0</v>
      </c>
    </row>
    <row r="869" spans="1:7">
      <c r="A869" s="3">
        <v>14</v>
      </c>
      <c r="B869" s="3">
        <v>4</v>
      </c>
      <c r="C869" s="3">
        <v>71</v>
      </c>
      <c r="D869" s="3">
        <v>14</v>
      </c>
      <c r="E869" s="3">
        <v>-110.348</v>
      </c>
      <c r="F869" s="4" t="str">
        <f>HYPERLINK("http://141.218.60.56/~jnz1568/getInfo.php?workbook=14_04.xlsx&amp;sheet=A0&amp;row=869&amp;col=6&amp;number=17880&amp;sourceID=14","17880")</f>
        <v>17880</v>
      </c>
      <c r="G869" s="4" t="str">
        <f>HYPERLINK("http://141.218.60.56/~jnz1568/getInfo.php?workbook=14_04.xlsx&amp;sheet=A0&amp;row=869&amp;col=7&amp;number=0&amp;sourceID=14","0")</f>
        <v>0</v>
      </c>
    </row>
    <row r="870" spans="1:7">
      <c r="A870" s="3">
        <v>14</v>
      </c>
      <c r="B870" s="3">
        <v>4</v>
      </c>
      <c r="C870" s="3">
        <v>74</v>
      </c>
      <c r="D870" s="3">
        <v>14</v>
      </c>
      <c r="E870" s="3">
        <v>-109.742</v>
      </c>
      <c r="F870" s="4" t="str">
        <f>HYPERLINK("http://141.218.60.56/~jnz1568/getInfo.php?workbook=14_04.xlsx&amp;sheet=A0&amp;row=870&amp;col=6&amp;number=0.0003178&amp;sourceID=14","0.0003178")</f>
        <v>0.0003178</v>
      </c>
      <c r="G870" s="4" t="str">
        <f>HYPERLINK("http://141.218.60.56/~jnz1568/getInfo.php?workbook=14_04.xlsx&amp;sheet=A0&amp;row=870&amp;col=7&amp;number=0&amp;sourceID=14","0")</f>
        <v>0</v>
      </c>
    </row>
    <row r="871" spans="1:7">
      <c r="A871" s="3">
        <v>14</v>
      </c>
      <c r="B871" s="3">
        <v>4</v>
      </c>
      <c r="C871" s="3">
        <v>75</v>
      </c>
      <c r="D871" s="3">
        <v>14</v>
      </c>
      <c r="E871" s="3">
        <v>-109.511</v>
      </c>
      <c r="F871" s="4" t="str">
        <f>HYPERLINK("http://141.218.60.56/~jnz1568/getInfo.php?workbook=14_04.xlsx&amp;sheet=A0&amp;row=871&amp;col=6&amp;number=6865&amp;sourceID=14","6865")</f>
        <v>6865</v>
      </c>
      <c r="G871" s="4" t="str">
        <f>HYPERLINK("http://141.218.60.56/~jnz1568/getInfo.php?workbook=14_04.xlsx&amp;sheet=A0&amp;row=871&amp;col=7&amp;number=0&amp;sourceID=14","0")</f>
        <v>0</v>
      </c>
    </row>
    <row r="872" spans="1:7">
      <c r="A872" s="3">
        <v>14</v>
      </c>
      <c r="B872" s="3">
        <v>4</v>
      </c>
      <c r="C872" s="3">
        <v>77</v>
      </c>
      <c r="D872" s="3">
        <v>14</v>
      </c>
      <c r="E872" s="3">
        <v>-108.898</v>
      </c>
      <c r="F872" s="4" t="str">
        <f>HYPERLINK("http://141.218.60.56/~jnz1568/getInfo.php?workbook=14_04.xlsx&amp;sheet=A0&amp;row=872&amp;col=6&amp;number=10350&amp;sourceID=14","10350")</f>
        <v>10350</v>
      </c>
      <c r="G872" s="4" t="str">
        <f>HYPERLINK("http://141.218.60.56/~jnz1568/getInfo.php?workbook=14_04.xlsx&amp;sheet=A0&amp;row=872&amp;col=7&amp;number=0&amp;sourceID=14","0")</f>
        <v>0</v>
      </c>
    </row>
    <row r="873" spans="1:7">
      <c r="A873" s="3">
        <v>14</v>
      </c>
      <c r="B873" s="3">
        <v>4</v>
      </c>
      <c r="C873" s="3">
        <v>78</v>
      </c>
      <c r="D873" s="3">
        <v>14</v>
      </c>
      <c r="E873" s="3">
        <v>-108.807</v>
      </c>
      <c r="F873" s="4" t="str">
        <f>HYPERLINK("http://141.218.60.56/~jnz1568/getInfo.php?workbook=14_04.xlsx&amp;sheet=A0&amp;row=873&amp;col=6&amp;number=0.001948&amp;sourceID=14","0.001948")</f>
        <v>0.001948</v>
      </c>
      <c r="G873" s="4" t="str">
        <f>HYPERLINK("http://141.218.60.56/~jnz1568/getInfo.php?workbook=14_04.xlsx&amp;sheet=A0&amp;row=873&amp;col=7&amp;number=0&amp;sourceID=14","0")</f>
        <v>0</v>
      </c>
    </row>
    <row r="874" spans="1:7">
      <c r="A874" s="3">
        <v>14</v>
      </c>
      <c r="B874" s="3">
        <v>4</v>
      </c>
      <c r="C874" s="3">
        <v>82</v>
      </c>
      <c r="D874" s="3">
        <v>14</v>
      </c>
      <c r="E874" s="3">
        <v>-107.372</v>
      </c>
      <c r="F874" s="4" t="str">
        <f>HYPERLINK("http://141.218.60.56/~jnz1568/getInfo.php?workbook=14_04.xlsx&amp;sheet=A0&amp;row=874&amp;col=6&amp;number=0.08413&amp;sourceID=14","0.08413")</f>
        <v>0.08413</v>
      </c>
      <c r="G874" s="4" t="str">
        <f>HYPERLINK("http://141.218.60.56/~jnz1568/getInfo.php?workbook=14_04.xlsx&amp;sheet=A0&amp;row=874&amp;col=7&amp;number=0&amp;sourceID=14","0")</f>
        <v>0</v>
      </c>
    </row>
    <row r="875" spans="1:7">
      <c r="A875" s="3">
        <v>14</v>
      </c>
      <c r="B875" s="3">
        <v>4</v>
      </c>
      <c r="C875" s="3">
        <v>83</v>
      </c>
      <c r="D875" s="3">
        <v>14</v>
      </c>
      <c r="E875" s="3">
        <v>-100.78</v>
      </c>
      <c r="F875" s="4" t="str">
        <f>HYPERLINK("http://141.218.60.56/~jnz1568/getInfo.php?workbook=14_04.xlsx&amp;sheet=A0&amp;row=875&amp;col=6&amp;number=1870000000&amp;sourceID=14","1870000000")</f>
        <v>1870000000</v>
      </c>
      <c r="G875" s="4" t="str">
        <f>HYPERLINK("http://141.218.60.56/~jnz1568/getInfo.php?workbook=14_04.xlsx&amp;sheet=A0&amp;row=875&amp;col=7&amp;number=0&amp;sourceID=14","0")</f>
        <v>0</v>
      </c>
    </row>
    <row r="876" spans="1:7">
      <c r="A876" s="3">
        <v>14</v>
      </c>
      <c r="B876" s="3">
        <v>4</v>
      </c>
      <c r="C876" s="3">
        <v>86</v>
      </c>
      <c r="D876" s="3">
        <v>14</v>
      </c>
      <c r="E876" s="3">
        <v>-99.314</v>
      </c>
      <c r="F876" s="4" t="str">
        <f>HYPERLINK("http://141.218.60.56/~jnz1568/getInfo.php?workbook=14_04.xlsx&amp;sheet=A0&amp;row=876&amp;col=6&amp;number=1.364&amp;sourceID=14","1.364")</f>
        <v>1.364</v>
      </c>
      <c r="G876" s="4" t="str">
        <f>HYPERLINK("http://141.218.60.56/~jnz1568/getInfo.php?workbook=14_04.xlsx&amp;sheet=A0&amp;row=876&amp;col=7&amp;number=0&amp;sourceID=14","0")</f>
        <v>0</v>
      </c>
    </row>
    <row r="877" spans="1:7">
      <c r="A877" s="3">
        <v>14</v>
      </c>
      <c r="B877" s="3">
        <v>4</v>
      </c>
      <c r="C877" s="3">
        <v>87</v>
      </c>
      <c r="D877" s="3">
        <v>14</v>
      </c>
      <c r="E877" s="3">
        <v>-99.286</v>
      </c>
      <c r="F877" s="4" t="str">
        <f>HYPERLINK("http://141.218.60.56/~jnz1568/getInfo.php?workbook=14_04.xlsx&amp;sheet=A0&amp;row=877&amp;col=6&amp;number=410600&amp;sourceID=14","410600")</f>
        <v>410600</v>
      </c>
      <c r="G877" s="4" t="str">
        <f>HYPERLINK("http://141.218.60.56/~jnz1568/getInfo.php?workbook=14_04.xlsx&amp;sheet=A0&amp;row=877&amp;col=7&amp;number=0&amp;sourceID=14","0")</f>
        <v>0</v>
      </c>
    </row>
    <row r="878" spans="1:7">
      <c r="A878" s="3">
        <v>14</v>
      </c>
      <c r="B878" s="3">
        <v>4</v>
      </c>
      <c r="C878" s="3">
        <v>88</v>
      </c>
      <c r="D878" s="3">
        <v>14</v>
      </c>
      <c r="E878" s="3">
        <v>-99.034</v>
      </c>
      <c r="F878" s="4" t="str">
        <f>HYPERLINK("http://141.218.60.56/~jnz1568/getInfo.php?workbook=14_04.xlsx&amp;sheet=A0&amp;row=878&amp;col=6&amp;number=3.97&amp;sourceID=14","3.97")</f>
        <v>3.97</v>
      </c>
      <c r="G878" s="4" t="str">
        <f>HYPERLINK("http://141.218.60.56/~jnz1568/getInfo.php?workbook=14_04.xlsx&amp;sheet=A0&amp;row=878&amp;col=7&amp;number=0&amp;sourceID=14","0")</f>
        <v>0</v>
      </c>
    </row>
    <row r="879" spans="1:7">
      <c r="A879" s="3">
        <v>14</v>
      </c>
      <c r="B879" s="3">
        <v>4</v>
      </c>
      <c r="C879" s="3">
        <v>89</v>
      </c>
      <c r="D879" s="3">
        <v>14</v>
      </c>
      <c r="E879" s="3">
        <v>-98.487</v>
      </c>
      <c r="F879" s="4" t="str">
        <f>HYPERLINK("http://141.218.60.56/~jnz1568/getInfo.php?workbook=14_04.xlsx&amp;sheet=A0&amp;row=879&amp;col=6&amp;number=27470000000&amp;sourceID=14","27470000000")</f>
        <v>27470000000</v>
      </c>
      <c r="G879" s="4" t="str">
        <f>HYPERLINK("http://141.218.60.56/~jnz1568/getInfo.php?workbook=14_04.xlsx&amp;sheet=A0&amp;row=879&amp;col=7&amp;number=0&amp;sourceID=14","0")</f>
        <v>0</v>
      </c>
    </row>
    <row r="880" spans="1:7">
      <c r="A880" s="3">
        <v>14</v>
      </c>
      <c r="B880" s="3">
        <v>4</v>
      </c>
      <c r="C880" s="3">
        <v>17</v>
      </c>
      <c r="D880" s="3">
        <v>15</v>
      </c>
      <c r="E880" s="3">
        <v>2392.006</v>
      </c>
      <c r="F880" s="4" t="str">
        <f>HYPERLINK("http://141.218.60.56/~jnz1568/getInfo.php?workbook=14_04.xlsx&amp;sheet=A0&amp;row=880&amp;col=6&amp;number=15230000&amp;sourceID=14","15230000")</f>
        <v>15230000</v>
      </c>
      <c r="G880" s="4" t="str">
        <f>HYPERLINK("http://141.218.60.56/~jnz1568/getInfo.php?workbook=14_04.xlsx&amp;sheet=A0&amp;row=880&amp;col=7&amp;number=0&amp;sourceID=14","0")</f>
        <v>0</v>
      </c>
    </row>
    <row r="881" spans="1:7">
      <c r="A881" s="3">
        <v>14</v>
      </c>
      <c r="B881" s="3">
        <v>4</v>
      </c>
      <c r="C881" s="3">
        <v>18</v>
      </c>
      <c r="D881" s="3">
        <v>15</v>
      </c>
      <c r="E881" s="3">
        <v>2321.968</v>
      </c>
      <c r="F881" s="4" t="str">
        <f>HYPERLINK("http://141.218.60.56/~jnz1568/getInfo.php?workbook=14_04.xlsx&amp;sheet=A0&amp;row=881&amp;col=6&amp;number=29850000&amp;sourceID=14","29850000")</f>
        <v>29850000</v>
      </c>
      <c r="G881" s="4" t="str">
        <f>HYPERLINK("http://141.218.60.56/~jnz1568/getInfo.php?workbook=14_04.xlsx&amp;sheet=A0&amp;row=881&amp;col=7&amp;number=0&amp;sourceID=14","0")</f>
        <v>0</v>
      </c>
    </row>
    <row r="882" spans="1:7">
      <c r="A882" s="3">
        <v>14</v>
      </c>
      <c r="B882" s="3">
        <v>4</v>
      </c>
      <c r="C882" s="3">
        <v>20</v>
      </c>
      <c r="D882" s="3">
        <v>15</v>
      </c>
      <c r="E882" s="3">
        <v>1353.457</v>
      </c>
      <c r="F882" s="4" t="str">
        <f>HYPERLINK("http://141.218.60.56/~jnz1568/getInfo.php?workbook=14_04.xlsx&amp;sheet=A0&amp;row=882&amp;col=6&amp;number=18040000&amp;sourceID=14","18040000")</f>
        <v>18040000</v>
      </c>
      <c r="G882" s="4" t="str">
        <f>HYPERLINK("http://141.218.60.56/~jnz1568/getInfo.php?workbook=14_04.xlsx&amp;sheet=A0&amp;row=882&amp;col=7&amp;number=0&amp;sourceID=14","0")</f>
        <v>0</v>
      </c>
    </row>
    <row r="883" spans="1:7">
      <c r="A883" s="3">
        <v>14</v>
      </c>
      <c r="B883" s="3">
        <v>4</v>
      </c>
      <c r="C883" s="3">
        <v>21</v>
      </c>
      <c r="D883" s="3">
        <v>15</v>
      </c>
      <c r="E883" s="3">
        <v>731.825</v>
      </c>
      <c r="F883" s="4" t="str">
        <f>HYPERLINK("http://141.218.60.56/~jnz1568/getInfo.php?workbook=14_04.xlsx&amp;sheet=A0&amp;row=883&amp;col=6&amp;number=0.2907&amp;sourceID=14","0.2907")</f>
        <v>0.2907</v>
      </c>
      <c r="G883" s="4" t="str">
        <f>HYPERLINK("http://141.218.60.56/~jnz1568/getInfo.php?workbook=14_04.xlsx&amp;sheet=A0&amp;row=883&amp;col=7&amp;number=0&amp;sourceID=14","0")</f>
        <v>0</v>
      </c>
    </row>
    <row r="884" spans="1:7">
      <c r="A884" s="3">
        <v>14</v>
      </c>
      <c r="B884" s="3">
        <v>4</v>
      </c>
      <c r="C884" s="3">
        <v>22</v>
      </c>
      <c r="D884" s="3">
        <v>15</v>
      </c>
      <c r="E884" s="3">
        <v>-725.929</v>
      </c>
      <c r="F884" s="4" t="str">
        <f>HYPERLINK("http://141.218.60.56/~jnz1568/getInfo.php?workbook=14_04.xlsx&amp;sheet=A0&amp;row=884&amp;col=6&amp;number=0.9606&amp;sourceID=14","0.9606")</f>
        <v>0.9606</v>
      </c>
      <c r="G884" s="4" t="str">
        <f>HYPERLINK("http://141.218.60.56/~jnz1568/getInfo.php?workbook=14_04.xlsx&amp;sheet=A0&amp;row=884&amp;col=7&amp;number=0&amp;sourceID=14","0")</f>
        <v>0</v>
      </c>
    </row>
    <row r="885" spans="1:7">
      <c r="A885" s="3">
        <v>14</v>
      </c>
      <c r="B885" s="3">
        <v>4</v>
      </c>
      <c r="C885" s="3">
        <v>23</v>
      </c>
      <c r="D885" s="3">
        <v>15</v>
      </c>
      <c r="E885" s="3">
        <v>-697.081</v>
      </c>
      <c r="F885" s="4" t="str">
        <f>HYPERLINK("http://141.218.60.56/~jnz1568/getInfo.php?workbook=14_04.xlsx&amp;sheet=A0&amp;row=885&amp;col=6&amp;number=1.318&amp;sourceID=14","1.318")</f>
        <v>1.318</v>
      </c>
      <c r="G885" s="4" t="str">
        <f>HYPERLINK("http://141.218.60.56/~jnz1568/getInfo.php?workbook=14_04.xlsx&amp;sheet=A0&amp;row=885&amp;col=7&amp;number=0&amp;sourceID=14","0")</f>
        <v>0</v>
      </c>
    </row>
    <row r="886" spans="1:7">
      <c r="A886" s="3">
        <v>14</v>
      </c>
      <c r="B886" s="3">
        <v>4</v>
      </c>
      <c r="C886" s="3">
        <v>24</v>
      </c>
      <c r="D886" s="3">
        <v>15</v>
      </c>
      <c r="E886" s="3">
        <v>-574.635</v>
      </c>
      <c r="F886" s="4" t="str">
        <f>HYPERLINK("http://141.218.60.56/~jnz1568/getInfo.php?workbook=14_04.xlsx&amp;sheet=A0&amp;row=886&amp;col=6&amp;number=45.06&amp;sourceID=14","45.06")</f>
        <v>45.06</v>
      </c>
      <c r="G886" s="4" t="str">
        <f>HYPERLINK("http://141.218.60.56/~jnz1568/getInfo.php?workbook=14_04.xlsx&amp;sheet=A0&amp;row=886&amp;col=7&amp;number=0&amp;sourceID=14","0")</f>
        <v>0</v>
      </c>
    </row>
    <row r="887" spans="1:7">
      <c r="A887" s="3">
        <v>14</v>
      </c>
      <c r="B887" s="3">
        <v>4</v>
      </c>
      <c r="C887" s="3">
        <v>25</v>
      </c>
      <c r="D887" s="3">
        <v>15</v>
      </c>
      <c r="E887" s="3">
        <v>-544.56</v>
      </c>
      <c r="F887" s="4" t="str">
        <f>HYPERLINK("http://141.218.60.56/~jnz1568/getInfo.php?workbook=14_04.xlsx&amp;sheet=A0&amp;row=887&amp;col=6&amp;number=9664000&amp;sourceID=14","9664000")</f>
        <v>9664000</v>
      </c>
      <c r="G887" s="4" t="str">
        <f>HYPERLINK("http://141.218.60.56/~jnz1568/getInfo.php?workbook=14_04.xlsx&amp;sheet=A0&amp;row=887&amp;col=7&amp;number=0&amp;sourceID=14","0")</f>
        <v>0</v>
      </c>
    </row>
    <row r="888" spans="1:7">
      <c r="A888" s="3">
        <v>14</v>
      </c>
      <c r="B888" s="3">
        <v>4</v>
      </c>
      <c r="C888" s="3">
        <v>26</v>
      </c>
      <c r="D888" s="3">
        <v>15</v>
      </c>
      <c r="E888" s="3">
        <v>-519.787</v>
      </c>
      <c r="F888" s="4" t="str">
        <f>HYPERLINK("http://141.218.60.56/~jnz1568/getInfo.php?workbook=14_04.xlsx&amp;sheet=A0&amp;row=888&amp;col=6&amp;number=520800000&amp;sourceID=14","520800000")</f>
        <v>520800000</v>
      </c>
      <c r="G888" s="4" t="str">
        <f>HYPERLINK("http://141.218.60.56/~jnz1568/getInfo.php?workbook=14_04.xlsx&amp;sheet=A0&amp;row=888&amp;col=7&amp;number=0&amp;sourceID=14","0")</f>
        <v>0</v>
      </c>
    </row>
    <row r="889" spans="1:7">
      <c r="A889" s="3">
        <v>14</v>
      </c>
      <c r="B889" s="3">
        <v>4</v>
      </c>
      <c r="C889" s="3">
        <v>27</v>
      </c>
      <c r="D889" s="3">
        <v>15</v>
      </c>
      <c r="E889" s="3">
        <v>517.723</v>
      </c>
      <c r="F889" s="4" t="str">
        <f>HYPERLINK("http://141.218.60.56/~jnz1568/getInfo.php?workbook=14_04.xlsx&amp;sheet=A0&amp;row=889&amp;col=6&amp;number=663400000&amp;sourceID=14","663400000")</f>
        <v>663400000</v>
      </c>
      <c r="G889" s="4" t="str">
        <f>HYPERLINK("http://141.218.60.56/~jnz1568/getInfo.php?workbook=14_04.xlsx&amp;sheet=A0&amp;row=889&amp;col=7&amp;number=0&amp;sourceID=14","0")</f>
        <v>0</v>
      </c>
    </row>
    <row r="890" spans="1:7">
      <c r="A890" s="3">
        <v>14</v>
      </c>
      <c r="B890" s="3">
        <v>4</v>
      </c>
      <c r="C890" s="3">
        <v>29</v>
      </c>
      <c r="D890" s="3">
        <v>15</v>
      </c>
      <c r="E890" s="3">
        <v>473.219</v>
      </c>
      <c r="F890" s="4" t="str">
        <f>HYPERLINK("http://141.218.60.56/~jnz1568/getInfo.php?workbook=14_04.xlsx&amp;sheet=A0&amp;row=890&amp;col=6&amp;number=416600000&amp;sourceID=14","416600000")</f>
        <v>416600000</v>
      </c>
      <c r="G890" s="4" t="str">
        <f>HYPERLINK("http://141.218.60.56/~jnz1568/getInfo.php?workbook=14_04.xlsx&amp;sheet=A0&amp;row=890&amp;col=7&amp;number=0&amp;sourceID=14","0")</f>
        <v>0</v>
      </c>
    </row>
    <row r="891" spans="1:7">
      <c r="A891" s="3">
        <v>14</v>
      </c>
      <c r="B891" s="3">
        <v>4</v>
      </c>
      <c r="C891" s="3">
        <v>30</v>
      </c>
      <c r="D891" s="3">
        <v>15</v>
      </c>
      <c r="E891" s="3">
        <v>-454.722</v>
      </c>
      <c r="F891" s="4" t="str">
        <f>HYPERLINK("http://141.218.60.56/~jnz1568/getInfo.php?workbook=14_04.xlsx&amp;sheet=A0&amp;row=891&amp;col=6&amp;number=1185000000&amp;sourceID=14","1185000000")</f>
        <v>1185000000</v>
      </c>
      <c r="G891" s="4" t="str">
        <f>HYPERLINK("http://141.218.60.56/~jnz1568/getInfo.php?workbook=14_04.xlsx&amp;sheet=A0&amp;row=891&amp;col=7&amp;number=0&amp;sourceID=14","0")</f>
        <v>0</v>
      </c>
    </row>
    <row r="892" spans="1:7">
      <c r="A892" s="3">
        <v>14</v>
      </c>
      <c r="B892" s="3">
        <v>4</v>
      </c>
      <c r="C892" s="3">
        <v>31</v>
      </c>
      <c r="D892" s="3">
        <v>15</v>
      </c>
      <c r="E892" s="3">
        <v>447.949</v>
      </c>
      <c r="F892" s="4" t="str">
        <f>HYPERLINK("http://141.218.60.56/~jnz1568/getInfo.php?workbook=14_04.xlsx&amp;sheet=A0&amp;row=892&amp;col=6&amp;number=452800000&amp;sourceID=14","452800000")</f>
        <v>452800000</v>
      </c>
      <c r="G892" s="4" t="str">
        <f>HYPERLINK("http://141.218.60.56/~jnz1568/getInfo.php?workbook=14_04.xlsx&amp;sheet=A0&amp;row=892&amp;col=7&amp;number=0&amp;sourceID=14","0")</f>
        <v>0</v>
      </c>
    </row>
    <row r="893" spans="1:7">
      <c r="A893" s="3">
        <v>14</v>
      </c>
      <c r="B893" s="3">
        <v>4</v>
      </c>
      <c r="C893" s="3">
        <v>32</v>
      </c>
      <c r="D893" s="3">
        <v>15</v>
      </c>
      <c r="E893" s="3">
        <v>447.829</v>
      </c>
      <c r="F893" s="4" t="str">
        <f>HYPERLINK("http://141.218.60.56/~jnz1568/getInfo.php?workbook=14_04.xlsx&amp;sheet=A0&amp;row=893&amp;col=6&amp;number=378400000&amp;sourceID=14","378400000")</f>
        <v>378400000</v>
      </c>
      <c r="G893" s="4" t="str">
        <f>HYPERLINK("http://141.218.60.56/~jnz1568/getInfo.php?workbook=14_04.xlsx&amp;sheet=A0&amp;row=893&amp;col=7&amp;number=0&amp;sourceID=14","0")</f>
        <v>0</v>
      </c>
    </row>
    <row r="894" spans="1:7">
      <c r="A894" s="3">
        <v>14</v>
      </c>
      <c r="B894" s="3">
        <v>4</v>
      </c>
      <c r="C894" s="3">
        <v>33</v>
      </c>
      <c r="D894" s="3">
        <v>15</v>
      </c>
      <c r="E894" s="3">
        <v>-435.186</v>
      </c>
      <c r="F894" s="4" t="str">
        <f>HYPERLINK("http://141.218.60.56/~jnz1568/getInfo.php?workbook=14_04.xlsx&amp;sheet=A0&amp;row=894&amp;col=6&amp;number=289&amp;sourceID=14","289")</f>
        <v>289</v>
      </c>
      <c r="G894" s="4" t="str">
        <f>HYPERLINK("http://141.218.60.56/~jnz1568/getInfo.php?workbook=14_04.xlsx&amp;sheet=A0&amp;row=894&amp;col=7&amp;number=0&amp;sourceID=14","0")</f>
        <v>0</v>
      </c>
    </row>
    <row r="895" spans="1:7">
      <c r="A895" s="3">
        <v>14</v>
      </c>
      <c r="B895" s="3">
        <v>4</v>
      </c>
      <c r="C895" s="3">
        <v>34</v>
      </c>
      <c r="D895" s="3">
        <v>15</v>
      </c>
      <c r="E895" s="3">
        <v>-427.568</v>
      </c>
      <c r="F895" s="4" t="str">
        <f>HYPERLINK("http://141.218.60.56/~jnz1568/getInfo.php?workbook=14_04.xlsx&amp;sheet=A0&amp;row=895&amp;col=6&amp;number=366.3&amp;sourceID=14","366.3")</f>
        <v>366.3</v>
      </c>
      <c r="G895" s="4" t="str">
        <f>HYPERLINK("http://141.218.60.56/~jnz1568/getInfo.php?workbook=14_04.xlsx&amp;sheet=A0&amp;row=895&amp;col=7&amp;number=0&amp;sourceID=14","0")</f>
        <v>0</v>
      </c>
    </row>
    <row r="896" spans="1:7">
      <c r="A896" s="3">
        <v>14</v>
      </c>
      <c r="B896" s="3">
        <v>4</v>
      </c>
      <c r="C896" s="3">
        <v>35</v>
      </c>
      <c r="D896" s="3">
        <v>15</v>
      </c>
      <c r="E896" s="3">
        <v>423.836</v>
      </c>
      <c r="F896" s="4" t="str">
        <f>HYPERLINK("http://141.218.60.56/~jnz1568/getInfo.php?workbook=14_04.xlsx&amp;sheet=A0&amp;row=896&amp;col=6&amp;number=0.9567&amp;sourceID=14","0.9567")</f>
        <v>0.9567</v>
      </c>
      <c r="G896" s="4" t="str">
        <f>HYPERLINK("http://141.218.60.56/~jnz1568/getInfo.php?workbook=14_04.xlsx&amp;sheet=A0&amp;row=896&amp;col=7&amp;number=0&amp;sourceID=14","0")</f>
        <v>0</v>
      </c>
    </row>
    <row r="897" spans="1:7">
      <c r="A897" s="3">
        <v>14</v>
      </c>
      <c r="B897" s="3">
        <v>4</v>
      </c>
      <c r="C897" s="3">
        <v>37</v>
      </c>
      <c r="D897" s="3">
        <v>15</v>
      </c>
      <c r="E897" s="3">
        <v>410.981</v>
      </c>
      <c r="F897" s="4" t="str">
        <f>HYPERLINK("http://141.218.60.56/~jnz1568/getInfo.php?workbook=14_04.xlsx&amp;sheet=A0&amp;row=897&amp;col=6&amp;number=22320000&amp;sourceID=14","22320000")</f>
        <v>22320000</v>
      </c>
      <c r="G897" s="4" t="str">
        <f>HYPERLINK("http://141.218.60.56/~jnz1568/getInfo.php?workbook=14_04.xlsx&amp;sheet=A0&amp;row=897&amp;col=7&amp;number=0&amp;sourceID=14","0")</f>
        <v>0</v>
      </c>
    </row>
    <row r="898" spans="1:7">
      <c r="A898" s="3">
        <v>14</v>
      </c>
      <c r="B898" s="3">
        <v>4</v>
      </c>
      <c r="C898" s="3">
        <v>38</v>
      </c>
      <c r="D898" s="3">
        <v>15</v>
      </c>
      <c r="E898" s="3">
        <v>-388.185</v>
      </c>
      <c r="F898" s="4" t="str">
        <f>HYPERLINK("http://141.218.60.56/~jnz1568/getInfo.php?workbook=14_04.xlsx&amp;sheet=A0&amp;row=898&amp;col=6&amp;number=3.287&amp;sourceID=14","3.287")</f>
        <v>3.287</v>
      </c>
      <c r="G898" s="4" t="str">
        <f>HYPERLINK("http://141.218.60.56/~jnz1568/getInfo.php?workbook=14_04.xlsx&amp;sheet=A0&amp;row=898&amp;col=7&amp;number=0&amp;sourceID=14","0")</f>
        <v>0</v>
      </c>
    </row>
    <row r="899" spans="1:7">
      <c r="A899" s="3">
        <v>14</v>
      </c>
      <c r="B899" s="3">
        <v>4</v>
      </c>
      <c r="C899" s="3">
        <v>39</v>
      </c>
      <c r="D899" s="3">
        <v>15</v>
      </c>
      <c r="E899" s="3">
        <v>394.111</v>
      </c>
      <c r="F899" s="4" t="str">
        <f>HYPERLINK("http://141.218.60.56/~jnz1568/getInfo.php?workbook=14_04.xlsx&amp;sheet=A0&amp;row=899&amp;col=6&amp;number=4.431&amp;sourceID=14","4.431")</f>
        <v>4.431</v>
      </c>
      <c r="G899" s="4" t="str">
        <f>HYPERLINK("http://141.218.60.56/~jnz1568/getInfo.php?workbook=14_04.xlsx&amp;sheet=A0&amp;row=899&amp;col=7&amp;number=0&amp;sourceID=14","0")</f>
        <v>0</v>
      </c>
    </row>
    <row r="900" spans="1:7">
      <c r="A900" s="3">
        <v>14</v>
      </c>
      <c r="B900" s="3">
        <v>4</v>
      </c>
      <c r="C900" s="3">
        <v>40</v>
      </c>
      <c r="D900" s="3">
        <v>15</v>
      </c>
      <c r="E900" s="3">
        <v>389.48</v>
      </c>
      <c r="F900" s="4" t="str">
        <f>HYPERLINK("http://141.218.60.56/~jnz1568/getInfo.php?workbook=14_04.xlsx&amp;sheet=A0&amp;row=900&amp;col=6&amp;number=3.33&amp;sourceID=14","3.33")</f>
        <v>3.33</v>
      </c>
      <c r="G900" s="4" t="str">
        <f>HYPERLINK("http://141.218.60.56/~jnz1568/getInfo.php?workbook=14_04.xlsx&amp;sheet=A0&amp;row=900&amp;col=7&amp;number=0&amp;sourceID=14","0")</f>
        <v>0</v>
      </c>
    </row>
    <row r="901" spans="1:7">
      <c r="A901" s="3">
        <v>14</v>
      </c>
      <c r="B901" s="3">
        <v>4</v>
      </c>
      <c r="C901" s="3">
        <v>41</v>
      </c>
      <c r="D901" s="3">
        <v>15</v>
      </c>
      <c r="E901" s="3">
        <v>373.594</v>
      </c>
      <c r="F901" s="4" t="str">
        <f>HYPERLINK("http://141.218.60.56/~jnz1568/getInfo.php?workbook=14_04.xlsx&amp;sheet=A0&amp;row=901&amp;col=6&amp;number=85.01&amp;sourceID=14","85.01")</f>
        <v>85.01</v>
      </c>
      <c r="G901" s="4" t="str">
        <f>HYPERLINK("http://141.218.60.56/~jnz1568/getInfo.php?workbook=14_04.xlsx&amp;sheet=A0&amp;row=901&amp;col=7&amp;number=0&amp;sourceID=14","0")</f>
        <v>0</v>
      </c>
    </row>
    <row r="902" spans="1:7">
      <c r="A902" s="3">
        <v>14</v>
      </c>
      <c r="B902" s="3">
        <v>4</v>
      </c>
      <c r="C902" s="3">
        <v>42</v>
      </c>
      <c r="D902" s="3">
        <v>15</v>
      </c>
      <c r="E902" s="3">
        <v>377.736</v>
      </c>
      <c r="F902" s="4" t="str">
        <f>HYPERLINK("http://141.218.60.56/~jnz1568/getInfo.php?workbook=14_04.xlsx&amp;sheet=A0&amp;row=902&amp;col=6&amp;number=29.71&amp;sourceID=14","29.71")</f>
        <v>29.71</v>
      </c>
      <c r="G902" s="4" t="str">
        <f>HYPERLINK("http://141.218.60.56/~jnz1568/getInfo.php?workbook=14_04.xlsx&amp;sheet=A0&amp;row=902&amp;col=7&amp;number=0&amp;sourceID=14","0")</f>
        <v>0</v>
      </c>
    </row>
    <row r="903" spans="1:7">
      <c r="A903" s="3">
        <v>14</v>
      </c>
      <c r="B903" s="3">
        <v>4</v>
      </c>
      <c r="C903" s="3">
        <v>43</v>
      </c>
      <c r="D903" s="3">
        <v>15</v>
      </c>
      <c r="E903" s="3">
        <v>373.469</v>
      </c>
      <c r="F903" s="4" t="str">
        <f>HYPERLINK("http://141.218.60.56/~jnz1568/getInfo.php?workbook=14_04.xlsx&amp;sheet=A0&amp;row=903&amp;col=6&amp;number=0.2774&amp;sourceID=14","0.2774")</f>
        <v>0.2774</v>
      </c>
      <c r="G903" s="4" t="str">
        <f>HYPERLINK("http://141.218.60.56/~jnz1568/getInfo.php?workbook=14_04.xlsx&amp;sheet=A0&amp;row=903&amp;col=7&amp;number=0&amp;sourceID=14","0")</f>
        <v>0</v>
      </c>
    </row>
    <row r="904" spans="1:7">
      <c r="A904" s="3">
        <v>14</v>
      </c>
      <c r="B904" s="3">
        <v>4</v>
      </c>
      <c r="C904" s="3">
        <v>44</v>
      </c>
      <c r="D904" s="3">
        <v>15</v>
      </c>
      <c r="E904" s="3">
        <v>-347.691</v>
      </c>
      <c r="F904" s="4" t="str">
        <f>HYPERLINK("http://141.218.60.56/~jnz1568/getInfo.php?workbook=14_04.xlsx&amp;sheet=A0&amp;row=904&amp;col=6&amp;number=168100000&amp;sourceID=14","168100000")</f>
        <v>168100000</v>
      </c>
      <c r="G904" s="4" t="str">
        <f>HYPERLINK("http://141.218.60.56/~jnz1568/getInfo.php?workbook=14_04.xlsx&amp;sheet=A0&amp;row=904&amp;col=7&amp;number=0&amp;sourceID=14","0")</f>
        <v>0</v>
      </c>
    </row>
    <row r="905" spans="1:7">
      <c r="A905" s="3">
        <v>14</v>
      </c>
      <c r="B905" s="3">
        <v>4</v>
      </c>
      <c r="C905" s="3">
        <v>45</v>
      </c>
      <c r="D905" s="3">
        <v>15</v>
      </c>
      <c r="E905" s="3">
        <v>340.332</v>
      </c>
      <c r="F905" s="4" t="str">
        <f>HYPERLINK("http://141.218.60.56/~jnz1568/getInfo.php?workbook=14_04.xlsx&amp;sheet=A0&amp;row=905&amp;col=6&amp;number=915.1&amp;sourceID=14","915.1")</f>
        <v>915.1</v>
      </c>
      <c r="G905" s="4" t="str">
        <f>HYPERLINK("http://141.218.60.56/~jnz1568/getInfo.php?workbook=14_04.xlsx&amp;sheet=A0&amp;row=905&amp;col=7&amp;number=0&amp;sourceID=14","0")</f>
        <v>0</v>
      </c>
    </row>
    <row r="906" spans="1:7">
      <c r="A906" s="3">
        <v>14</v>
      </c>
      <c r="B906" s="3">
        <v>4</v>
      </c>
      <c r="C906" s="3">
        <v>46</v>
      </c>
      <c r="D906" s="3">
        <v>15</v>
      </c>
      <c r="E906" s="3">
        <v>339.294</v>
      </c>
      <c r="F906" s="4" t="str">
        <f>HYPERLINK("http://141.218.60.56/~jnz1568/getInfo.php?workbook=14_04.xlsx&amp;sheet=A0&amp;row=906&amp;col=6&amp;number=191.7&amp;sourceID=14","191.7")</f>
        <v>191.7</v>
      </c>
      <c r="G906" s="4" t="str">
        <f>HYPERLINK("http://141.218.60.56/~jnz1568/getInfo.php?workbook=14_04.xlsx&amp;sheet=A0&amp;row=906&amp;col=7&amp;number=0&amp;sourceID=14","0")</f>
        <v>0</v>
      </c>
    </row>
    <row r="907" spans="1:7">
      <c r="A907" s="3">
        <v>14</v>
      </c>
      <c r="B907" s="3">
        <v>4</v>
      </c>
      <c r="C907" s="3">
        <v>47</v>
      </c>
      <c r="D907" s="3">
        <v>15</v>
      </c>
      <c r="E907" s="3">
        <v>154.382</v>
      </c>
      <c r="F907" s="4" t="str">
        <f>HYPERLINK("http://141.218.60.56/~jnz1568/getInfo.php?workbook=14_04.xlsx&amp;sheet=A0&amp;row=907&amp;col=6&amp;number=12980000000&amp;sourceID=14","12980000000")</f>
        <v>12980000000</v>
      </c>
      <c r="G907" s="4" t="str">
        <f>HYPERLINK("http://141.218.60.56/~jnz1568/getInfo.php?workbook=14_04.xlsx&amp;sheet=A0&amp;row=907&amp;col=7&amp;number=0&amp;sourceID=14","0")</f>
        <v>0</v>
      </c>
    </row>
    <row r="908" spans="1:7">
      <c r="A908" s="3">
        <v>14</v>
      </c>
      <c r="B908" s="3">
        <v>4</v>
      </c>
      <c r="C908" s="3">
        <v>48</v>
      </c>
      <c r="D908" s="3">
        <v>15</v>
      </c>
      <c r="E908" s="3">
        <v>154.061</v>
      </c>
      <c r="F908" s="4" t="str">
        <f>HYPERLINK("http://141.218.60.56/~jnz1568/getInfo.php?workbook=14_04.xlsx&amp;sheet=A0&amp;row=908&amp;col=6&amp;number=2796000000&amp;sourceID=14","2796000000")</f>
        <v>2796000000</v>
      </c>
      <c r="G908" s="4" t="str">
        <f>HYPERLINK("http://141.218.60.56/~jnz1568/getInfo.php?workbook=14_04.xlsx&amp;sheet=A0&amp;row=908&amp;col=7&amp;number=0&amp;sourceID=14","0")</f>
        <v>0</v>
      </c>
    </row>
    <row r="909" spans="1:7">
      <c r="A909" s="3">
        <v>14</v>
      </c>
      <c r="B909" s="3">
        <v>4</v>
      </c>
      <c r="C909" s="3">
        <v>49</v>
      </c>
      <c r="D909" s="3">
        <v>15</v>
      </c>
      <c r="E909" s="3">
        <v>143.514</v>
      </c>
      <c r="F909" s="4" t="str">
        <f>HYPERLINK("http://141.218.60.56/~jnz1568/getInfo.php?workbook=14_04.xlsx&amp;sheet=A0&amp;row=909&amp;col=6&amp;number=12.94&amp;sourceID=14","12.94")</f>
        <v>12.94</v>
      </c>
      <c r="G909" s="4" t="str">
        <f>HYPERLINK("http://141.218.60.56/~jnz1568/getInfo.php?workbook=14_04.xlsx&amp;sheet=A0&amp;row=909&amp;col=7&amp;number=0&amp;sourceID=14","0")</f>
        <v>0</v>
      </c>
    </row>
    <row r="910" spans="1:7">
      <c r="A910" s="3">
        <v>14</v>
      </c>
      <c r="B910" s="3">
        <v>4</v>
      </c>
      <c r="C910" s="3">
        <v>50</v>
      </c>
      <c r="D910" s="3">
        <v>15</v>
      </c>
      <c r="E910" s="3">
        <v>143.514</v>
      </c>
      <c r="F910" s="4" t="str">
        <f>HYPERLINK("http://141.218.60.56/~jnz1568/getInfo.php?workbook=14_04.xlsx&amp;sheet=A0&amp;row=910&amp;col=6&amp;number=1388000&amp;sourceID=14","1388000")</f>
        <v>1388000</v>
      </c>
      <c r="G910" s="4" t="str">
        <f>HYPERLINK("http://141.218.60.56/~jnz1568/getInfo.php?workbook=14_04.xlsx&amp;sheet=A0&amp;row=910&amp;col=7&amp;number=0&amp;sourceID=14","0")</f>
        <v>0</v>
      </c>
    </row>
    <row r="911" spans="1:7">
      <c r="A911" s="3">
        <v>14</v>
      </c>
      <c r="B911" s="3">
        <v>4</v>
      </c>
      <c r="C911" s="3">
        <v>51</v>
      </c>
      <c r="D911" s="3">
        <v>15</v>
      </c>
      <c r="E911" s="3">
        <v>143.367</v>
      </c>
      <c r="F911" s="4" t="str">
        <f>HYPERLINK("http://141.218.60.56/~jnz1568/getInfo.php?workbook=14_04.xlsx&amp;sheet=A0&amp;row=911&amp;col=6&amp;number=2233000&amp;sourceID=14","2233000")</f>
        <v>2233000</v>
      </c>
      <c r="G911" s="4" t="str">
        <f>HYPERLINK("http://141.218.60.56/~jnz1568/getInfo.php?workbook=14_04.xlsx&amp;sheet=A0&amp;row=911&amp;col=7&amp;number=0&amp;sourceID=14","0")</f>
        <v>0</v>
      </c>
    </row>
    <row r="912" spans="1:7">
      <c r="A912" s="3">
        <v>14</v>
      </c>
      <c r="B912" s="3">
        <v>4</v>
      </c>
      <c r="C912" s="3">
        <v>52</v>
      </c>
      <c r="D912" s="3">
        <v>15</v>
      </c>
      <c r="E912" s="3">
        <v>144.237</v>
      </c>
      <c r="F912" s="4" t="str">
        <f>HYPERLINK("http://141.218.60.56/~jnz1568/getInfo.php?workbook=14_04.xlsx&amp;sheet=A0&amp;row=912&amp;col=6&amp;number=231700&amp;sourceID=14","231700")</f>
        <v>231700</v>
      </c>
      <c r="G912" s="4" t="str">
        <f>HYPERLINK("http://141.218.60.56/~jnz1568/getInfo.php?workbook=14_04.xlsx&amp;sheet=A0&amp;row=912&amp;col=7&amp;number=0&amp;sourceID=14","0")</f>
        <v>0</v>
      </c>
    </row>
    <row r="913" spans="1:7">
      <c r="A913" s="3">
        <v>14</v>
      </c>
      <c r="B913" s="3">
        <v>4</v>
      </c>
      <c r="C913" s="3">
        <v>53</v>
      </c>
      <c r="D913" s="3">
        <v>15</v>
      </c>
      <c r="E913" s="3">
        <v>140.985</v>
      </c>
      <c r="F913" s="4" t="str">
        <f>HYPERLINK("http://141.218.60.56/~jnz1568/getInfo.php?workbook=14_04.xlsx&amp;sheet=A0&amp;row=913&amp;col=6&amp;number=39840000000&amp;sourceID=14","39840000000")</f>
        <v>39840000000</v>
      </c>
      <c r="G913" s="4" t="str">
        <f>HYPERLINK("http://141.218.60.56/~jnz1568/getInfo.php?workbook=14_04.xlsx&amp;sheet=A0&amp;row=913&amp;col=7&amp;number=0&amp;sourceID=14","0")</f>
        <v>0</v>
      </c>
    </row>
    <row r="914" spans="1:7">
      <c r="A914" s="3">
        <v>14</v>
      </c>
      <c r="B914" s="3">
        <v>4</v>
      </c>
      <c r="C914" s="3">
        <v>54</v>
      </c>
      <c r="D914" s="3">
        <v>15</v>
      </c>
      <c r="E914" s="3">
        <v>140.99</v>
      </c>
      <c r="F914" s="4" t="str">
        <f>HYPERLINK("http://141.218.60.56/~jnz1568/getInfo.php?workbook=14_04.xlsx&amp;sheet=A0&amp;row=914&amp;col=6&amp;number=71110000000&amp;sourceID=14","71110000000")</f>
        <v>71110000000</v>
      </c>
      <c r="G914" s="4" t="str">
        <f>HYPERLINK("http://141.218.60.56/~jnz1568/getInfo.php?workbook=14_04.xlsx&amp;sheet=A0&amp;row=914&amp;col=7&amp;number=0&amp;sourceID=14","0")</f>
        <v>0</v>
      </c>
    </row>
    <row r="915" spans="1:7">
      <c r="A915" s="3">
        <v>14</v>
      </c>
      <c r="B915" s="3">
        <v>4</v>
      </c>
      <c r="C915" s="3">
        <v>56</v>
      </c>
      <c r="D915" s="3">
        <v>15</v>
      </c>
      <c r="E915" s="3">
        <v>138.73</v>
      </c>
      <c r="F915" s="4" t="str">
        <f>HYPERLINK("http://141.218.60.56/~jnz1568/getInfo.php?workbook=14_04.xlsx&amp;sheet=A0&amp;row=915&amp;col=6&amp;number=7431000000&amp;sourceID=14","7431000000")</f>
        <v>7431000000</v>
      </c>
      <c r="G915" s="4" t="str">
        <f>HYPERLINK("http://141.218.60.56/~jnz1568/getInfo.php?workbook=14_04.xlsx&amp;sheet=A0&amp;row=915&amp;col=7&amp;number=0&amp;sourceID=14","0")</f>
        <v>0</v>
      </c>
    </row>
    <row r="916" spans="1:7">
      <c r="A916" s="3">
        <v>14</v>
      </c>
      <c r="B916" s="3">
        <v>4</v>
      </c>
      <c r="C916" s="3">
        <v>57</v>
      </c>
      <c r="D916" s="3">
        <v>15</v>
      </c>
      <c r="E916" s="3">
        <v>-116.177</v>
      </c>
      <c r="F916" s="4" t="str">
        <f>HYPERLINK("http://141.218.60.56/~jnz1568/getInfo.php?workbook=14_04.xlsx&amp;sheet=A0&amp;row=916&amp;col=6&amp;number=0.07376&amp;sourceID=14","0.07376")</f>
        <v>0.07376</v>
      </c>
      <c r="G916" s="4" t="str">
        <f>HYPERLINK("http://141.218.60.56/~jnz1568/getInfo.php?workbook=14_04.xlsx&amp;sheet=A0&amp;row=916&amp;col=7&amp;number=0&amp;sourceID=14","0")</f>
        <v>0</v>
      </c>
    </row>
    <row r="917" spans="1:7">
      <c r="A917" s="3">
        <v>14</v>
      </c>
      <c r="B917" s="3">
        <v>4</v>
      </c>
      <c r="C917" s="3">
        <v>58</v>
      </c>
      <c r="D917" s="3">
        <v>15</v>
      </c>
      <c r="E917" s="3">
        <v>-115.982</v>
      </c>
      <c r="F917" s="4" t="str">
        <f>HYPERLINK("http://141.218.60.56/~jnz1568/getInfo.php?workbook=14_04.xlsx&amp;sheet=A0&amp;row=917&amp;col=6&amp;number=21.31&amp;sourceID=14","21.31")</f>
        <v>21.31</v>
      </c>
      <c r="G917" s="4" t="str">
        <f>HYPERLINK("http://141.218.60.56/~jnz1568/getInfo.php?workbook=14_04.xlsx&amp;sheet=A0&amp;row=917&amp;col=7&amp;number=0&amp;sourceID=14","0")</f>
        <v>0</v>
      </c>
    </row>
    <row r="918" spans="1:7">
      <c r="A918" s="3">
        <v>14</v>
      </c>
      <c r="B918" s="3">
        <v>4</v>
      </c>
      <c r="C918" s="3">
        <v>59</v>
      </c>
      <c r="D918" s="3">
        <v>15</v>
      </c>
      <c r="E918" s="3">
        <v>116.255</v>
      </c>
      <c r="F918" s="4" t="str">
        <f>HYPERLINK("http://141.218.60.56/~jnz1568/getInfo.php?workbook=14_04.xlsx&amp;sheet=A0&amp;row=918&amp;col=6&amp;number=1.89&amp;sourceID=14","1.89")</f>
        <v>1.89</v>
      </c>
      <c r="G918" s="4" t="str">
        <f>HYPERLINK("http://141.218.60.56/~jnz1568/getInfo.php?workbook=14_04.xlsx&amp;sheet=A0&amp;row=918&amp;col=7&amp;number=0&amp;sourceID=14","0")</f>
        <v>0</v>
      </c>
    </row>
    <row r="919" spans="1:7">
      <c r="A919" s="3">
        <v>14</v>
      </c>
      <c r="B919" s="3">
        <v>4</v>
      </c>
      <c r="C919" s="3">
        <v>60</v>
      </c>
      <c r="D919" s="3">
        <v>15</v>
      </c>
      <c r="E919" s="3">
        <v>-114.277</v>
      </c>
      <c r="F919" s="4" t="str">
        <f>HYPERLINK("http://141.218.60.56/~jnz1568/getInfo.php?workbook=14_04.xlsx&amp;sheet=A0&amp;row=919&amp;col=6&amp;number=1.47&amp;sourceID=14","1.47")</f>
        <v>1.47</v>
      </c>
      <c r="G919" s="4" t="str">
        <f>HYPERLINK("http://141.218.60.56/~jnz1568/getInfo.php?workbook=14_04.xlsx&amp;sheet=A0&amp;row=919&amp;col=7&amp;number=0&amp;sourceID=14","0")</f>
        <v>0</v>
      </c>
    </row>
    <row r="920" spans="1:7">
      <c r="A920" s="3">
        <v>14</v>
      </c>
      <c r="B920" s="3">
        <v>4</v>
      </c>
      <c r="C920" s="3">
        <v>61</v>
      </c>
      <c r="D920" s="3">
        <v>15</v>
      </c>
      <c r="E920" s="3">
        <v>-112.739</v>
      </c>
      <c r="F920" s="4" t="str">
        <f>HYPERLINK("http://141.218.60.56/~jnz1568/getInfo.php?workbook=14_04.xlsx&amp;sheet=A0&amp;row=920&amp;col=6&amp;number=153700000&amp;sourceID=14","153700000")</f>
        <v>153700000</v>
      </c>
      <c r="G920" s="4" t="str">
        <f>HYPERLINK("http://141.218.60.56/~jnz1568/getInfo.php?workbook=14_04.xlsx&amp;sheet=A0&amp;row=920&amp;col=7&amp;number=0&amp;sourceID=14","0")</f>
        <v>0</v>
      </c>
    </row>
    <row r="921" spans="1:7">
      <c r="A921" s="3">
        <v>14</v>
      </c>
      <c r="B921" s="3">
        <v>4</v>
      </c>
      <c r="C921" s="3">
        <v>62</v>
      </c>
      <c r="D921" s="3">
        <v>15</v>
      </c>
      <c r="E921" s="3">
        <v>-113.298</v>
      </c>
      <c r="F921" s="4" t="str">
        <f>HYPERLINK("http://141.218.60.56/~jnz1568/getInfo.php?workbook=14_04.xlsx&amp;sheet=A0&amp;row=921&amp;col=6&amp;number=191500000&amp;sourceID=14","191500000")</f>
        <v>191500000</v>
      </c>
      <c r="G921" s="4" t="str">
        <f>HYPERLINK("http://141.218.60.56/~jnz1568/getInfo.php?workbook=14_04.xlsx&amp;sheet=A0&amp;row=921&amp;col=7&amp;number=0&amp;sourceID=14","0")</f>
        <v>0</v>
      </c>
    </row>
    <row r="922" spans="1:7">
      <c r="A922" s="3">
        <v>14</v>
      </c>
      <c r="B922" s="3">
        <v>4</v>
      </c>
      <c r="C922" s="3">
        <v>63</v>
      </c>
      <c r="D922" s="3">
        <v>15</v>
      </c>
      <c r="E922" s="3">
        <v>-112.707</v>
      </c>
      <c r="F922" s="4" t="str">
        <f>HYPERLINK("http://141.218.60.56/~jnz1568/getInfo.php?workbook=14_04.xlsx&amp;sheet=A0&amp;row=922&amp;col=6&amp;number=36910000&amp;sourceID=14","36910000")</f>
        <v>36910000</v>
      </c>
      <c r="G922" s="4" t="str">
        <f>HYPERLINK("http://141.218.60.56/~jnz1568/getInfo.php?workbook=14_04.xlsx&amp;sheet=A0&amp;row=922&amp;col=7&amp;number=0&amp;sourceID=14","0")</f>
        <v>0</v>
      </c>
    </row>
    <row r="923" spans="1:7">
      <c r="A923" s="3">
        <v>14</v>
      </c>
      <c r="B923" s="3">
        <v>4</v>
      </c>
      <c r="C923" s="3">
        <v>65</v>
      </c>
      <c r="D923" s="3">
        <v>15</v>
      </c>
      <c r="E923" s="3">
        <v>-111.799</v>
      </c>
      <c r="F923" s="4" t="str">
        <f>HYPERLINK("http://141.218.60.56/~jnz1568/getInfo.php?workbook=14_04.xlsx&amp;sheet=A0&amp;row=923&amp;col=6&amp;number=105100000&amp;sourceID=14","105100000")</f>
        <v>105100000</v>
      </c>
      <c r="G923" s="4" t="str">
        <f>HYPERLINK("http://141.218.60.56/~jnz1568/getInfo.php?workbook=14_04.xlsx&amp;sheet=A0&amp;row=923&amp;col=7&amp;number=0&amp;sourceID=14","0")</f>
        <v>0</v>
      </c>
    </row>
    <row r="924" spans="1:7">
      <c r="A924" s="3">
        <v>14</v>
      </c>
      <c r="B924" s="3">
        <v>4</v>
      </c>
      <c r="C924" s="3">
        <v>66</v>
      </c>
      <c r="D924" s="3">
        <v>15</v>
      </c>
      <c r="E924" s="3">
        <v>-111.818</v>
      </c>
      <c r="F924" s="4" t="str">
        <f>HYPERLINK("http://141.218.60.56/~jnz1568/getInfo.php?workbook=14_04.xlsx&amp;sheet=A0&amp;row=924&amp;col=6&amp;number=50510000&amp;sourceID=14","50510000")</f>
        <v>50510000</v>
      </c>
      <c r="G924" s="4" t="str">
        <f>HYPERLINK("http://141.218.60.56/~jnz1568/getInfo.php?workbook=14_04.xlsx&amp;sheet=A0&amp;row=924&amp;col=7&amp;number=0&amp;sourceID=14","0")</f>
        <v>0</v>
      </c>
    </row>
    <row r="925" spans="1:7">
      <c r="A925" s="3">
        <v>14</v>
      </c>
      <c r="B925" s="3">
        <v>4</v>
      </c>
      <c r="C925" s="3">
        <v>67</v>
      </c>
      <c r="D925" s="3">
        <v>15</v>
      </c>
      <c r="E925" s="3">
        <v>-111.255</v>
      </c>
      <c r="F925" s="4" t="str">
        <f>HYPERLINK("http://141.218.60.56/~jnz1568/getInfo.php?workbook=14_04.xlsx&amp;sheet=A0&amp;row=925&amp;col=6&amp;number=100400000&amp;sourceID=14","100400000")</f>
        <v>100400000</v>
      </c>
      <c r="G925" s="4" t="str">
        <f>HYPERLINK("http://141.218.60.56/~jnz1568/getInfo.php?workbook=14_04.xlsx&amp;sheet=A0&amp;row=925&amp;col=7&amp;number=0&amp;sourceID=14","0")</f>
        <v>0</v>
      </c>
    </row>
    <row r="926" spans="1:7">
      <c r="A926" s="3">
        <v>14</v>
      </c>
      <c r="B926" s="3">
        <v>4</v>
      </c>
      <c r="C926" s="3">
        <v>68</v>
      </c>
      <c r="D926" s="3">
        <v>15</v>
      </c>
      <c r="E926" s="3">
        <v>-111.158</v>
      </c>
      <c r="F926" s="4" t="str">
        <f>HYPERLINK("http://141.218.60.56/~jnz1568/getInfo.php?workbook=14_04.xlsx&amp;sheet=A0&amp;row=926&amp;col=6&amp;number=10060000&amp;sourceID=14","10060000")</f>
        <v>10060000</v>
      </c>
      <c r="G926" s="4" t="str">
        <f>HYPERLINK("http://141.218.60.56/~jnz1568/getInfo.php?workbook=14_04.xlsx&amp;sheet=A0&amp;row=926&amp;col=7&amp;number=0&amp;sourceID=14","0")</f>
        <v>0</v>
      </c>
    </row>
    <row r="927" spans="1:7">
      <c r="A927" s="3">
        <v>14</v>
      </c>
      <c r="B927" s="3">
        <v>4</v>
      </c>
      <c r="C927" s="3">
        <v>69</v>
      </c>
      <c r="D927" s="3">
        <v>15</v>
      </c>
      <c r="E927" s="3">
        <v>-111.057</v>
      </c>
      <c r="F927" s="4" t="str">
        <f>HYPERLINK("http://141.218.60.56/~jnz1568/getInfo.php?workbook=14_04.xlsx&amp;sheet=A0&amp;row=927&amp;col=6&amp;number=73650&amp;sourceID=14","73650")</f>
        <v>73650</v>
      </c>
      <c r="G927" s="4" t="str">
        <f>HYPERLINK("http://141.218.60.56/~jnz1568/getInfo.php?workbook=14_04.xlsx&amp;sheet=A0&amp;row=927&amp;col=7&amp;number=0&amp;sourceID=14","0")</f>
        <v>0</v>
      </c>
    </row>
    <row r="928" spans="1:7">
      <c r="A928" s="3">
        <v>14</v>
      </c>
      <c r="B928" s="3">
        <v>4</v>
      </c>
      <c r="C928" s="3">
        <v>70</v>
      </c>
      <c r="D928" s="3">
        <v>15</v>
      </c>
      <c r="E928" s="3">
        <v>-110.635</v>
      </c>
      <c r="F928" s="4" t="str">
        <f>HYPERLINK("http://141.218.60.56/~jnz1568/getInfo.php?workbook=14_04.xlsx&amp;sheet=A0&amp;row=928&amp;col=6&amp;number=53100&amp;sourceID=14","53100")</f>
        <v>53100</v>
      </c>
      <c r="G928" s="4" t="str">
        <f>HYPERLINK("http://141.218.60.56/~jnz1568/getInfo.php?workbook=14_04.xlsx&amp;sheet=A0&amp;row=928&amp;col=7&amp;number=0&amp;sourceID=14","0")</f>
        <v>0</v>
      </c>
    </row>
    <row r="929" spans="1:7">
      <c r="A929" s="3">
        <v>14</v>
      </c>
      <c r="B929" s="3">
        <v>4</v>
      </c>
      <c r="C929" s="3">
        <v>71</v>
      </c>
      <c r="D929" s="3">
        <v>15</v>
      </c>
      <c r="E929" s="3">
        <v>-110.463</v>
      </c>
      <c r="F929" s="4" t="str">
        <f>HYPERLINK("http://141.218.60.56/~jnz1568/getInfo.php?workbook=14_04.xlsx&amp;sheet=A0&amp;row=929&amp;col=6&amp;number=54260&amp;sourceID=14","54260")</f>
        <v>54260</v>
      </c>
      <c r="G929" s="4" t="str">
        <f>HYPERLINK("http://141.218.60.56/~jnz1568/getInfo.php?workbook=14_04.xlsx&amp;sheet=A0&amp;row=929&amp;col=7&amp;number=0&amp;sourceID=14","0")</f>
        <v>0</v>
      </c>
    </row>
    <row r="930" spans="1:7">
      <c r="A930" s="3">
        <v>14</v>
      </c>
      <c r="B930" s="3">
        <v>4</v>
      </c>
      <c r="C930" s="3">
        <v>72</v>
      </c>
      <c r="D930" s="3">
        <v>15</v>
      </c>
      <c r="E930" s="3">
        <v>-110.198</v>
      </c>
      <c r="F930" s="4" t="str">
        <f>HYPERLINK("http://141.218.60.56/~jnz1568/getInfo.php?workbook=14_04.xlsx&amp;sheet=A0&amp;row=930&amp;col=6&amp;number=133200000&amp;sourceID=14","133200000")</f>
        <v>133200000</v>
      </c>
      <c r="G930" s="4" t="str">
        <f>HYPERLINK("http://141.218.60.56/~jnz1568/getInfo.php?workbook=14_04.xlsx&amp;sheet=A0&amp;row=930&amp;col=7&amp;number=0&amp;sourceID=14","0")</f>
        <v>0</v>
      </c>
    </row>
    <row r="931" spans="1:7">
      <c r="A931" s="3">
        <v>14</v>
      </c>
      <c r="B931" s="3">
        <v>4</v>
      </c>
      <c r="C931" s="3">
        <v>74</v>
      </c>
      <c r="D931" s="3">
        <v>15</v>
      </c>
      <c r="E931" s="3">
        <v>-109.856</v>
      </c>
      <c r="F931" s="4" t="str">
        <f>HYPERLINK("http://141.218.60.56/~jnz1568/getInfo.php?workbook=14_04.xlsx&amp;sheet=A0&amp;row=931&amp;col=6&amp;number=45260&amp;sourceID=14","45260")</f>
        <v>45260</v>
      </c>
      <c r="G931" s="4" t="str">
        <f>HYPERLINK("http://141.218.60.56/~jnz1568/getInfo.php?workbook=14_04.xlsx&amp;sheet=A0&amp;row=931&amp;col=7&amp;number=0&amp;sourceID=14","0")</f>
        <v>0</v>
      </c>
    </row>
    <row r="932" spans="1:7">
      <c r="A932" s="3">
        <v>14</v>
      </c>
      <c r="B932" s="3">
        <v>4</v>
      </c>
      <c r="C932" s="3">
        <v>75</v>
      </c>
      <c r="D932" s="3">
        <v>15</v>
      </c>
      <c r="E932" s="3">
        <v>-109.625</v>
      </c>
      <c r="F932" s="4" t="str">
        <f>HYPERLINK("http://141.218.60.56/~jnz1568/getInfo.php?workbook=14_04.xlsx&amp;sheet=A0&amp;row=932&amp;col=6&amp;number=3921&amp;sourceID=14","3921")</f>
        <v>3921</v>
      </c>
      <c r="G932" s="4" t="str">
        <f>HYPERLINK("http://141.218.60.56/~jnz1568/getInfo.php?workbook=14_04.xlsx&amp;sheet=A0&amp;row=932&amp;col=7&amp;number=0&amp;sourceID=14","0")</f>
        <v>0</v>
      </c>
    </row>
    <row r="933" spans="1:7">
      <c r="A933" s="3">
        <v>14</v>
      </c>
      <c r="B933" s="3">
        <v>4</v>
      </c>
      <c r="C933" s="3">
        <v>76</v>
      </c>
      <c r="D933" s="3">
        <v>15</v>
      </c>
      <c r="E933" s="3">
        <v>109.248</v>
      </c>
      <c r="F933" s="4" t="str">
        <f>HYPERLINK("http://141.218.60.56/~jnz1568/getInfo.php?workbook=14_04.xlsx&amp;sheet=A0&amp;row=933&amp;col=6&amp;number=2323&amp;sourceID=14","2323")</f>
        <v>2323</v>
      </c>
      <c r="G933" s="4" t="str">
        <f>HYPERLINK("http://141.218.60.56/~jnz1568/getInfo.php?workbook=14_04.xlsx&amp;sheet=A0&amp;row=933&amp;col=7&amp;number=0&amp;sourceID=14","0")</f>
        <v>0</v>
      </c>
    </row>
    <row r="934" spans="1:7">
      <c r="A934" s="3">
        <v>14</v>
      </c>
      <c r="B934" s="3">
        <v>4</v>
      </c>
      <c r="C934" s="3">
        <v>77</v>
      </c>
      <c r="D934" s="3">
        <v>15</v>
      </c>
      <c r="E934" s="3">
        <v>109.14</v>
      </c>
      <c r="F934" s="4" t="str">
        <f>HYPERLINK("http://141.218.60.56/~jnz1568/getInfo.php?workbook=14_04.xlsx&amp;sheet=A0&amp;row=934&amp;col=6&amp;number=16950&amp;sourceID=14","16950")</f>
        <v>16950</v>
      </c>
      <c r="G934" s="4" t="str">
        <f>HYPERLINK("http://141.218.60.56/~jnz1568/getInfo.php?workbook=14_04.xlsx&amp;sheet=A0&amp;row=934&amp;col=7&amp;number=0&amp;sourceID=14","0")</f>
        <v>0</v>
      </c>
    </row>
    <row r="935" spans="1:7">
      <c r="A935" s="3">
        <v>14</v>
      </c>
      <c r="B935" s="3">
        <v>4</v>
      </c>
      <c r="C935" s="3">
        <v>78</v>
      </c>
      <c r="D935" s="3">
        <v>15</v>
      </c>
      <c r="E935" s="3">
        <v>-108.919</v>
      </c>
      <c r="F935" s="4" t="str">
        <f>HYPERLINK("http://141.218.60.56/~jnz1568/getInfo.php?workbook=14_04.xlsx&amp;sheet=A0&amp;row=935&amp;col=6&amp;number=20570&amp;sourceID=14","20570")</f>
        <v>20570</v>
      </c>
      <c r="G935" s="4" t="str">
        <f>HYPERLINK("http://141.218.60.56/~jnz1568/getInfo.php?workbook=14_04.xlsx&amp;sheet=A0&amp;row=935&amp;col=7&amp;number=0&amp;sourceID=14","0")</f>
        <v>0</v>
      </c>
    </row>
    <row r="936" spans="1:7">
      <c r="A936" s="3">
        <v>14</v>
      </c>
      <c r="B936" s="3">
        <v>4</v>
      </c>
      <c r="C936" s="3">
        <v>79</v>
      </c>
      <c r="D936" s="3">
        <v>15</v>
      </c>
      <c r="E936" s="3">
        <v>-108.867</v>
      </c>
      <c r="F936" s="4" t="str">
        <f>HYPERLINK("http://141.218.60.56/~jnz1568/getInfo.php?workbook=14_04.xlsx&amp;sheet=A0&amp;row=936&amp;col=6&amp;number=0.01891&amp;sourceID=14","0.01891")</f>
        <v>0.01891</v>
      </c>
      <c r="G936" s="4" t="str">
        <f>HYPERLINK("http://141.218.60.56/~jnz1568/getInfo.php?workbook=14_04.xlsx&amp;sheet=A0&amp;row=936&amp;col=7&amp;number=0&amp;sourceID=14","0")</f>
        <v>0</v>
      </c>
    </row>
    <row r="937" spans="1:7">
      <c r="A937" s="3">
        <v>14</v>
      </c>
      <c r="B937" s="3">
        <v>4</v>
      </c>
      <c r="C937" s="3">
        <v>80</v>
      </c>
      <c r="D937" s="3">
        <v>15</v>
      </c>
      <c r="E937" s="3">
        <v>110.387</v>
      </c>
      <c r="F937" s="4" t="str">
        <f>HYPERLINK("http://141.218.60.56/~jnz1568/getInfo.php?workbook=14_04.xlsx&amp;sheet=A0&amp;row=937&amp;col=6&amp;number=498900000&amp;sourceID=14","498900000")</f>
        <v>498900000</v>
      </c>
      <c r="G937" s="4" t="str">
        <f>HYPERLINK("http://141.218.60.56/~jnz1568/getInfo.php?workbook=14_04.xlsx&amp;sheet=A0&amp;row=937&amp;col=7&amp;number=0&amp;sourceID=14","0")</f>
        <v>0</v>
      </c>
    </row>
    <row r="938" spans="1:7">
      <c r="A938" s="3">
        <v>14</v>
      </c>
      <c r="B938" s="3">
        <v>4</v>
      </c>
      <c r="C938" s="3">
        <v>81</v>
      </c>
      <c r="D938" s="3">
        <v>15</v>
      </c>
      <c r="E938" s="3">
        <v>107.947</v>
      </c>
      <c r="F938" s="4" t="str">
        <f>HYPERLINK("http://141.218.60.56/~jnz1568/getInfo.php?workbook=14_04.xlsx&amp;sheet=A0&amp;row=938&amp;col=6&amp;number=93190&amp;sourceID=14","93190")</f>
        <v>93190</v>
      </c>
      <c r="G938" s="4" t="str">
        <f>HYPERLINK("http://141.218.60.56/~jnz1568/getInfo.php?workbook=14_04.xlsx&amp;sheet=A0&amp;row=938&amp;col=7&amp;number=0&amp;sourceID=14","0")</f>
        <v>0</v>
      </c>
    </row>
    <row r="939" spans="1:7">
      <c r="A939" s="3">
        <v>14</v>
      </c>
      <c r="B939" s="3">
        <v>4</v>
      </c>
      <c r="C939" s="3">
        <v>82</v>
      </c>
      <c r="D939" s="3">
        <v>15</v>
      </c>
      <c r="E939" s="3">
        <v>-107.481</v>
      </c>
      <c r="F939" s="4" t="str">
        <f>HYPERLINK("http://141.218.60.56/~jnz1568/getInfo.php?workbook=14_04.xlsx&amp;sheet=A0&amp;row=939&amp;col=6&amp;number=86230&amp;sourceID=14","86230")</f>
        <v>86230</v>
      </c>
      <c r="G939" s="4" t="str">
        <f>HYPERLINK("http://141.218.60.56/~jnz1568/getInfo.php?workbook=14_04.xlsx&amp;sheet=A0&amp;row=939&amp;col=7&amp;number=0&amp;sourceID=14","0")</f>
        <v>0</v>
      </c>
    </row>
    <row r="940" spans="1:7">
      <c r="A940" s="3">
        <v>14</v>
      </c>
      <c r="B940" s="3">
        <v>4</v>
      </c>
      <c r="C940" s="3">
        <v>83</v>
      </c>
      <c r="D940" s="3">
        <v>15</v>
      </c>
      <c r="E940" s="3">
        <v>-100.876</v>
      </c>
      <c r="F940" s="4" t="str">
        <f>HYPERLINK("http://141.218.60.56/~jnz1568/getInfo.php?workbook=14_04.xlsx&amp;sheet=A0&amp;row=940&amp;col=6&amp;number=5274000000&amp;sourceID=14","5274000000")</f>
        <v>5274000000</v>
      </c>
      <c r="G940" s="4" t="str">
        <f>HYPERLINK("http://141.218.60.56/~jnz1568/getInfo.php?workbook=14_04.xlsx&amp;sheet=A0&amp;row=940&amp;col=7&amp;number=0&amp;sourceID=14","0")</f>
        <v>0</v>
      </c>
    </row>
    <row r="941" spans="1:7">
      <c r="A941" s="3">
        <v>14</v>
      </c>
      <c r="B941" s="3">
        <v>4</v>
      </c>
      <c r="C941" s="3">
        <v>84</v>
      </c>
      <c r="D941" s="3">
        <v>15</v>
      </c>
      <c r="E941" s="3">
        <v>-100.15</v>
      </c>
      <c r="F941" s="4" t="str">
        <f>HYPERLINK("http://141.218.60.56/~jnz1568/getInfo.php?workbook=14_04.xlsx&amp;sheet=A0&amp;row=941&amp;col=6&amp;number=1115000000&amp;sourceID=14","1115000000")</f>
        <v>1115000000</v>
      </c>
      <c r="G941" s="4" t="str">
        <f>HYPERLINK("http://141.218.60.56/~jnz1568/getInfo.php?workbook=14_04.xlsx&amp;sheet=A0&amp;row=941&amp;col=7&amp;number=0&amp;sourceID=14","0")</f>
        <v>0</v>
      </c>
    </row>
    <row r="942" spans="1:7">
      <c r="A942" s="3">
        <v>14</v>
      </c>
      <c r="B942" s="3">
        <v>4</v>
      </c>
      <c r="C942" s="3">
        <v>85</v>
      </c>
      <c r="D942" s="3">
        <v>15</v>
      </c>
      <c r="E942" s="3">
        <v>-99.419</v>
      </c>
      <c r="F942" s="4" t="str">
        <f>HYPERLINK("http://141.218.60.56/~jnz1568/getInfo.php?workbook=14_04.xlsx&amp;sheet=A0&amp;row=942&amp;col=6&amp;number=8.954&amp;sourceID=14","8.954")</f>
        <v>8.954</v>
      </c>
      <c r="G942" s="4" t="str">
        <f>HYPERLINK("http://141.218.60.56/~jnz1568/getInfo.php?workbook=14_04.xlsx&amp;sheet=A0&amp;row=942&amp;col=7&amp;number=0&amp;sourceID=14","0")</f>
        <v>0</v>
      </c>
    </row>
    <row r="943" spans="1:7">
      <c r="A943" s="3">
        <v>14</v>
      </c>
      <c r="B943" s="3">
        <v>4</v>
      </c>
      <c r="C943" s="3">
        <v>86</v>
      </c>
      <c r="D943" s="3">
        <v>15</v>
      </c>
      <c r="E943" s="3">
        <v>-99.407</v>
      </c>
      <c r="F943" s="4" t="str">
        <f>HYPERLINK("http://141.218.60.56/~jnz1568/getInfo.php?workbook=14_04.xlsx&amp;sheet=A0&amp;row=943&amp;col=6&amp;number=519700&amp;sourceID=14","519700")</f>
        <v>519700</v>
      </c>
      <c r="G943" s="4" t="str">
        <f>HYPERLINK("http://141.218.60.56/~jnz1568/getInfo.php?workbook=14_04.xlsx&amp;sheet=A0&amp;row=943&amp;col=7&amp;number=0&amp;sourceID=14","0")</f>
        <v>0</v>
      </c>
    </row>
    <row r="944" spans="1:7">
      <c r="A944" s="3">
        <v>14</v>
      </c>
      <c r="B944" s="3">
        <v>4</v>
      </c>
      <c r="C944" s="3">
        <v>87</v>
      </c>
      <c r="D944" s="3">
        <v>15</v>
      </c>
      <c r="E944" s="3">
        <v>98.938</v>
      </c>
      <c r="F944" s="4" t="str">
        <f>HYPERLINK("http://141.218.60.56/~jnz1568/getInfo.php?workbook=14_04.xlsx&amp;sheet=A0&amp;row=944&amp;col=6&amp;number=892300&amp;sourceID=14","892300")</f>
        <v>892300</v>
      </c>
      <c r="G944" s="4" t="str">
        <f>HYPERLINK("http://141.218.60.56/~jnz1568/getInfo.php?workbook=14_04.xlsx&amp;sheet=A0&amp;row=944&amp;col=7&amp;number=0&amp;sourceID=14","0")</f>
        <v>0</v>
      </c>
    </row>
    <row r="945" spans="1:7">
      <c r="A945" s="3">
        <v>14</v>
      </c>
      <c r="B945" s="3">
        <v>4</v>
      </c>
      <c r="C945" s="3">
        <v>88</v>
      </c>
      <c r="D945" s="3">
        <v>15</v>
      </c>
      <c r="E945" s="3">
        <v>-99.126</v>
      </c>
      <c r="F945" s="4" t="str">
        <f>HYPERLINK("http://141.218.60.56/~jnz1568/getInfo.php?workbook=14_04.xlsx&amp;sheet=A0&amp;row=945&amp;col=6&amp;number=117400&amp;sourceID=14","117400")</f>
        <v>117400</v>
      </c>
      <c r="G945" s="4" t="str">
        <f>HYPERLINK("http://141.218.60.56/~jnz1568/getInfo.php?workbook=14_04.xlsx&amp;sheet=A0&amp;row=945&amp;col=7&amp;number=0&amp;sourceID=14","0")</f>
        <v>0</v>
      </c>
    </row>
    <row r="946" spans="1:7">
      <c r="A946" s="3">
        <v>14</v>
      </c>
      <c r="B946" s="3">
        <v>4</v>
      </c>
      <c r="C946" s="3">
        <v>89</v>
      </c>
      <c r="D946" s="3">
        <v>15</v>
      </c>
      <c r="E946" s="3">
        <v>-98.579</v>
      </c>
      <c r="F946" s="4" t="str">
        <f>HYPERLINK("http://141.218.60.56/~jnz1568/getInfo.php?workbook=14_04.xlsx&amp;sheet=A0&amp;row=946&amp;col=6&amp;number=19070000000&amp;sourceID=14","19070000000")</f>
        <v>19070000000</v>
      </c>
      <c r="G946" s="4" t="str">
        <f>HYPERLINK("http://141.218.60.56/~jnz1568/getInfo.php?workbook=14_04.xlsx&amp;sheet=A0&amp;row=946&amp;col=7&amp;number=0&amp;sourceID=14","0")</f>
        <v>0</v>
      </c>
    </row>
    <row r="947" spans="1:7">
      <c r="A947" s="3">
        <v>14</v>
      </c>
      <c r="B947" s="3">
        <v>4</v>
      </c>
      <c r="C947" s="3">
        <v>90</v>
      </c>
      <c r="D947" s="3">
        <v>15</v>
      </c>
      <c r="E947" s="3">
        <v>98.492</v>
      </c>
      <c r="F947" s="4" t="str">
        <f>HYPERLINK("http://141.218.60.56/~jnz1568/getInfo.php?workbook=14_04.xlsx&amp;sheet=A0&amp;row=947&amp;col=6&amp;number=34160000000&amp;sourceID=14","34160000000")</f>
        <v>34160000000</v>
      </c>
      <c r="G947" s="4" t="str">
        <f>HYPERLINK("http://141.218.60.56/~jnz1568/getInfo.php?workbook=14_04.xlsx&amp;sheet=A0&amp;row=947&amp;col=7&amp;number=0&amp;sourceID=14","0")</f>
        <v>0</v>
      </c>
    </row>
    <row r="948" spans="1:7">
      <c r="A948" s="3">
        <v>14</v>
      </c>
      <c r="B948" s="3">
        <v>4</v>
      </c>
      <c r="C948" s="3">
        <v>92</v>
      </c>
      <c r="D948" s="3">
        <v>15</v>
      </c>
      <c r="E948" s="3">
        <v>98.12</v>
      </c>
      <c r="F948" s="4" t="str">
        <f>HYPERLINK("http://141.218.60.56/~jnz1568/getInfo.php?workbook=14_04.xlsx&amp;sheet=A0&amp;row=948&amp;col=6&amp;number=3954000000&amp;sourceID=14","3954000000")</f>
        <v>3954000000</v>
      </c>
      <c r="G948" s="4" t="str">
        <f>HYPERLINK("http://141.218.60.56/~jnz1568/getInfo.php?workbook=14_04.xlsx&amp;sheet=A0&amp;row=948&amp;col=7&amp;number=0&amp;sourceID=14","0")</f>
        <v>0</v>
      </c>
    </row>
    <row r="949" spans="1:7">
      <c r="A949" s="3">
        <v>14</v>
      </c>
      <c r="B949" s="3">
        <v>4</v>
      </c>
      <c r="C949" s="3">
        <v>17</v>
      </c>
      <c r="D949" s="3">
        <v>16</v>
      </c>
      <c r="E949" s="3">
        <v>2326.939</v>
      </c>
      <c r="F949" s="4" t="str">
        <f>HYPERLINK("http://141.218.60.56/~jnz1568/getInfo.php?workbook=14_04.xlsx&amp;sheet=A0&amp;row=949&amp;col=6&amp;number=1188000&amp;sourceID=14","1188000")</f>
        <v>1188000</v>
      </c>
      <c r="G949" s="4" t="str">
        <f>HYPERLINK("http://141.218.60.56/~jnz1568/getInfo.php?workbook=14_04.xlsx&amp;sheet=A0&amp;row=949&amp;col=7&amp;number=0&amp;sourceID=14","0")</f>
        <v>0</v>
      </c>
    </row>
    <row r="950" spans="1:7">
      <c r="A950" s="3">
        <v>14</v>
      </c>
      <c r="B950" s="3">
        <v>4</v>
      </c>
      <c r="C950" s="3">
        <v>18</v>
      </c>
      <c r="D950" s="3">
        <v>16</v>
      </c>
      <c r="E950" s="3">
        <v>2260.606</v>
      </c>
      <c r="F950" s="4" t="str">
        <f>HYPERLINK("http://141.218.60.56/~jnz1568/getInfo.php?workbook=14_04.xlsx&amp;sheet=A0&amp;row=950&amp;col=6&amp;number=11700000&amp;sourceID=14","11700000")</f>
        <v>11700000</v>
      </c>
      <c r="G950" s="4" t="str">
        <f>HYPERLINK("http://141.218.60.56/~jnz1568/getInfo.php?workbook=14_04.xlsx&amp;sheet=A0&amp;row=950&amp;col=7&amp;number=0&amp;sourceID=14","0")</f>
        <v>0</v>
      </c>
    </row>
    <row r="951" spans="1:7">
      <c r="A951" s="3">
        <v>14</v>
      </c>
      <c r="B951" s="3">
        <v>4</v>
      </c>
      <c r="C951" s="3">
        <v>19</v>
      </c>
      <c r="D951" s="3">
        <v>16</v>
      </c>
      <c r="E951" s="3">
        <v>2243.615</v>
      </c>
      <c r="F951" s="4" t="str">
        <f>HYPERLINK("http://141.218.60.56/~jnz1568/getInfo.php?workbook=14_04.xlsx&amp;sheet=A0&amp;row=951&amp;col=6&amp;number=48090000&amp;sourceID=14","48090000")</f>
        <v>48090000</v>
      </c>
      <c r="G951" s="4" t="str">
        <f>HYPERLINK("http://141.218.60.56/~jnz1568/getInfo.php?workbook=14_04.xlsx&amp;sheet=A0&amp;row=951&amp;col=7&amp;number=0&amp;sourceID=14","0")</f>
        <v>0</v>
      </c>
    </row>
    <row r="952" spans="1:7">
      <c r="A952" s="3">
        <v>14</v>
      </c>
      <c r="B952" s="3">
        <v>4</v>
      </c>
      <c r="C952" s="3">
        <v>20</v>
      </c>
      <c r="D952" s="3">
        <v>16</v>
      </c>
      <c r="E952" s="3">
        <v>1332.377</v>
      </c>
      <c r="F952" s="4" t="str">
        <f>HYPERLINK("http://141.218.60.56/~jnz1568/getInfo.php?workbook=14_04.xlsx&amp;sheet=A0&amp;row=952&amp;col=6&amp;number=2509&amp;sourceID=14","2509")</f>
        <v>2509</v>
      </c>
      <c r="G952" s="4" t="str">
        <f>HYPERLINK("http://141.218.60.56/~jnz1568/getInfo.php?workbook=14_04.xlsx&amp;sheet=A0&amp;row=952&amp;col=7&amp;number=0&amp;sourceID=14","0")</f>
        <v>0</v>
      </c>
    </row>
    <row r="953" spans="1:7">
      <c r="A953" s="3">
        <v>14</v>
      </c>
      <c r="B953" s="3">
        <v>4</v>
      </c>
      <c r="C953" s="3">
        <v>21</v>
      </c>
      <c r="D953" s="3">
        <v>16</v>
      </c>
      <c r="E953" s="3">
        <v>725.617</v>
      </c>
      <c r="F953" s="4" t="str">
        <f>HYPERLINK("http://141.218.60.56/~jnz1568/getInfo.php?workbook=14_04.xlsx&amp;sheet=A0&amp;row=953&amp;col=6&amp;number=0.5844&amp;sourceID=14","0.5844")</f>
        <v>0.5844</v>
      </c>
      <c r="G953" s="4" t="str">
        <f>HYPERLINK("http://141.218.60.56/~jnz1568/getInfo.php?workbook=14_04.xlsx&amp;sheet=A0&amp;row=953&amp;col=7&amp;number=0&amp;sourceID=14","0")</f>
        <v>0</v>
      </c>
    </row>
    <row r="954" spans="1:7">
      <c r="A954" s="3">
        <v>14</v>
      </c>
      <c r="B954" s="3">
        <v>4</v>
      </c>
      <c r="C954" s="3">
        <v>22</v>
      </c>
      <c r="D954" s="3">
        <v>16</v>
      </c>
      <c r="E954" s="3">
        <v>-731.976</v>
      </c>
      <c r="F954" s="4" t="str">
        <f>HYPERLINK("http://141.218.60.56/~jnz1568/getInfo.php?workbook=14_04.xlsx&amp;sheet=A0&amp;row=954&amp;col=6&amp;number=0.8629&amp;sourceID=14","0.8629")</f>
        <v>0.8629</v>
      </c>
      <c r="G954" s="4" t="str">
        <f>HYPERLINK("http://141.218.60.56/~jnz1568/getInfo.php?workbook=14_04.xlsx&amp;sheet=A0&amp;row=954&amp;col=7&amp;number=0&amp;sourceID=14","0")</f>
        <v>0</v>
      </c>
    </row>
    <row r="955" spans="1:7">
      <c r="A955" s="3">
        <v>14</v>
      </c>
      <c r="B955" s="3">
        <v>4</v>
      </c>
      <c r="C955" s="3">
        <v>23</v>
      </c>
      <c r="D955" s="3">
        <v>16</v>
      </c>
      <c r="E955" s="3">
        <v>-702.655</v>
      </c>
      <c r="F955" s="4" t="str">
        <f>HYPERLINK("http://141.218.60.56/~jnz1568/getInfo.php?workbook=14_04.xlsx&amp;sheet=A0&amp;row=955&amp;col=6&amp;number=0.315&amp;sourceID=14","0.315")</f>
        <v>0.315</v>
      </c>
      <c r="G955" s="4" t="str">
        <f>HYPERLINK("http://141.218.60.56/~jnz1568/getInfo.php?workbook=14_04.xlsx&amp;sheet=A0&amp;row=955&amp;col=7&amp;number=0&amp;sourceID=14","0")</f>
        <v>0</v>
      </c>
    </row>
    <row r="956" spans="1:7">
      <c r="A956" s="3">
        <v>14</v>
      </c>
      <c r="B956" s="3">
        <v>4</v>
      </c>
      <c r="C956" s="3">
        <v>24</v>
      </c>
      <c r="D956" s="3">
        <v>16</v>
      </c>
      <c r="E956" s="3">
        <v>-578.418</v>
      </c>
      <c r="F956" s="4" t="str">
        <f>HYPERLINK("http://141.218.60.56/~jnz1568/getInfo.php?workbook=14_04.xlsx&amp;sheet=A0&amp;row=956&amp;col=6&amp;number=1.187&amp;sourceID=14","1.187")</f>
        <v>1.187</v>
      </c>
      <c r="G956" s="4" t="str">
        <f>HYPERLINK("http://141.218.60.56/~jnz1568/getInfo.php?workbook=14_04.xlsx&amp;sheet=A0&amp;row=956&amp;col=7&amp;number=0&amp;sourceID=14","0")</f>
        <v>0</v>
      </c>
    </row>
    <row r="957" spans="1:7">
      <c r="A957" s="3">
        <v>14</v>
      </c>
      <c r="B957" s="3">
        <v>4</v>
      </c>
      <c r="C957" s="3">
        <v>25</v>
      </c>
      <c r="D957" s="3">
        <v>16</v>
      </c>
      <c r="E957" s="3">
        <v>-547.955</v>
      </c>
      <c r="F957" s="4" t="str">
        <f>HYPERLINK("http://141.218.60.56/~jnz1568/getInfo.php?workbook=14_04.xlsx&amp;sheet=A0&amp;row=957&amp;col=6&amp;number=732100&amp;sourceID=14","732100")</f>
        <v>732100</v>
      </c>
      <c r="G957" s="4" t="str">
        <f>HYPERLINK("http://141.218.60.56/~jnz1568/getInfo.php?workbook=14_04.xlsx&amp;sheet=A0&amp;row=957&amp;col=7&amp;number=0&amp;sourceID=14","0")</f>
        <v>0</v>
      </c>
    </row>
    <row r="958" spans="1:7">
      <c r="A958" s="3">
        <v>14</v>
      </c>
      <c r="B958" s="3">
        <v>4</v>
      </c>
      <c r="C958" s="3">
        <v>26</v>
      </c>
      <c r="D958" s="3">
        <v>16</v>
      </c>
      <c r="E958" s="3">
        <v>-522.88</v>
      </c>
      <c r="F958" s="4" t="str">
        <f>HYPERLINK("http://141.218.60.56/~jnz1568/getInfo.php?workbook=14_04.xlsx&amp;sheet=A0&amp;row=958&amp;col=6&amp;number=57390000&amp;sourceID=14","57390000")</f>
        <v>57390000</v>
      </c>
      <c r="G958" s="4" t="str">
        <f>HYPERLINK("http://141.218.60.56/~jnz1568/getInfo.php?workbook=14_04.xlsx&amp;sheet=A0&amp;row=958&amp;col=7&amp;number=0&amp;sourceID=14","0")</f>
        <v>0</v>
      </c>
    </row>
    <row r="959" spans="1:7">
      <c r="A959" s="3">
        <v>14</v>
      </c>
      <c r="B959" s="3">
        <v>4</v>
      </c>
      <c r="C959" s="3">
        <v>27</v>
      </c>
      <c r="D959" s="3">
        <v>16</v>
      </c>
      <c r="E959" s="3">
        <v>514.608</v>
      </c>
      <c r="F959" s="4" t="str">
        <f>HYPERLINK("http://141.218.60.56/~jnz1568/getInfo.php?workbook=14_04.xlsx&amp;sheet=A0&amp;row=959&amp;col=6&amp;number=313800000&amp;sourceID=14","313800000")</f>
        <v>313800000</v>
      </c>
      <c r="G959" s="4" t="str">
        <f>HYPERLINK("http://141.218.60.56/~jnz1568/getInfo.php?workbook=14_04.xlsx&amp;sheet=A0&amp;row=959&amp;col=7&amp;number=0&amp;sourceID=14","0")</f>
        <v>0</v>
      </c>
    </row>
    <row r="960" spans="1:7">
      <c r="A960" s="3">
        <v>14</v>
      </c>
      <c r="B960" s="3">
        <v>4</v>
      </c>
      <c r="C960" s="3">
        <v>28</v>
      </c>
      <c r="D960" s="3">
        <v>16</v>
      </c>
      <c r="E960" s="3">
        <v>506.838</v>
      </c>
      <c r="F960" s="4" t="str">
        <f>HYPERLINK("http://141.218.60.56/~jnz1568/getInfo.php?workbook=14_04.xlsx&amp;sheet=A0&amp;row=960&amp;col=6&amp;number=1088000000&amp;sourceID=14","1088000000")</f>
        <v>1088000000</v>
      </c>
      <c r="G960" s="4" t="str">
        <f>HYPERLINK("http://141.218.60.56/~jnz1568/getInfo.php?workbook=14_04.xlsx&amp;sheet=A0&amp;row=960&amp;col=7&amp;number=0&amp;sourceID=14","0")</f>
        <v>0</v>
      </c>
    </row>
    <row r="961" spans="1:7">
      <c r="A961" s="3">
        <v>14</v>
      </c>
      <c r="B961" s="3">
        <v>4</v>
      </c>
      <c r="C961" s="3">
        <v>29</v>
      </c>
      <c r="D961" s="3">
        <v>16</v>
      </c>
      <c r="E961" s="3">
        <v>470.616</v>
      </c>
      <c r="F961" s="4" t="str">
        <f>HYPERLINK("http://141.218.60.56/~jnz1568/getInfo.php?workbook=14_04.xlsx&amp;sheet=A0&amp;row=961&amp;col=6&amp;number=1152000000&amp;sourceID=14","1152000000")</f>
        <v>1152000000</v>
      </c>
      <c r="G961" s="4" t="str">
        <f>HYPERLINK("http://141.218.60.56/~jnz1568/getInfo.php?workbook=14_04.xlsx&amp;sheet=A0&amp;row=961&amp;col=7&amp;number=0&amp;sourceID=14","0")</f>
        <v>0</v>
      </c>
    </row>
    <row r="962" spans="1:7">
      <c r="A962" s="3">
        <v>14</v>
      </c>
      <c r="B962" s="3">
        <v>4</v>
      </c>
      <c r="C962" s="3">
        <v>31</v>
      </c>
      <c r="D962" s="3">
        <v>16</v>
      </c>
      <c r="E962" s="3">
        <v>445.616</v>
      </c>
      <c r="F962" s="4" t="str">
        <f>HYPERLINK("http://141.218.60.56/~jnz1568/getInfo.php?workbook=14_04.xlsx&amp;sheet=A0&amp;row=962&amp;col=6&amp;number=253700000&amp;sourceID=14","253700000")</f>
        <v>253700000</v>
      </c>
      <c r="G962" s="4" t="str">
        <f>HYPERLINK("http://141.218.60.56/~jnz1568/getInfo.php?workbook=14_04.xlsx&amp;sheet=A0&amp;row=962&amp;col=7&amp;number=0&amp;sourceID=14","0")</f>
        <v>0</v>
      </c>
    </row>
    <row r="963" spans="1:7">
      <c r="A963" s="3">
        <v>14</v>
      </c>
      <c r="B963" s="3">
        <v>4</v>
      </c>
      <c r="C963" s="3">
        <v>32</v>
      </c>
      <c r="D963" s="3">
        <v>16</v>
      </c>
      <c r="E963" s="3">
        <v>445.497</v>
      </c>
      <c r="F963" s="4" t="str">
        <f>HYPERLINK("http://141.218.60.56/~jnz1568/getInfo.php?workbook=14_04.xlsx&amp;sheet=A0&amp;row=963&amp;col=6&amp;number=943500000&amp;sourceID=14","943500000")</f>
        <v>943500000</v>
      </c>
      <c r="G963" s="4" t="str">
        <f>HYPERLINK("http://141.218.60.56/~jnz1568/getInfo.php?workbook=14_04.xlsx&amp;sheet=A0&amp;row=963&amp;col=7&amp;number=0&amp;sourceID=14","0")</f>
        <v>0</v>
      </c>
    </row>
    <row r="964" spans="1:7">
      <c r="A964" s="3">
        <v>14</v>
      </c>
      <c r="B964" s="3">
        <v>4</v>
      </c>
      <c r="C964" s="3">
        <v>33</v>
      </c>
      <c r="D964" s="3">
        <v>16</v>
      </c>
      <c r="E964" s="3">
        <v>-437.352</v>
      </c>
      <c r="F964" s="4" t="str">
        <f>HYPERLINK("http://141.218.60.56/~jnz1568/getInfo.php?workbook=14_04.xlsx&amp;sheet=A0&amp;row=964&amp;col=6&amp;number=28.05&amp;sourceID=14","28.05")</f>
        <v>28.05</v>
      </c>
      <c r="G964" s="4" t="str">
        <f>HYPERLINK("http://141.218.60.56/~jnz1568/getInfo.php?workbook=14_04.xlsx&amp;sheet=A0&amp;row=964&amp;col=7&amp;number=0&amp;sourceID=14","0")</f>
        <v>0</v>
      </c>
    </row>
    <row r="965" spans="1:7">
      <c r="A965" s="3">
        <v>14</v>
      </c>
      <c r="B965" s="3">
        <v>4</v>
      </c>
      <c r="C965" s="3">
        <v>34</v>
      </c>
      <c r="D965" s="3">
        <v>16</v>
      </c>
      <c r="E965" s="3">
        <v>-429.659</v>
      </c>
      <c r="F965" s="4" t="str">
        <f>HYPERLINK("http://141.218.60.56/~jnz1568/getInfo.php?workbook=14_04.xlsx&amp;sheet=A0&amp;row=965&amp;col=6&amp;number=174.7&amp;sourceID=14","174.7")</f>
        <v>174.7</v>
      </c>
      <c r="G965" s="4" t="str">
        <f>HYPERLINK("http://141.218.60.56/~jnz1568/getInfo.php?workbook=14_04.xlsx&amp;sheet=A0&amp;row=965&amp;col=7&amp;number=0&amp;sourceID=14","0")</f>
        <v>0</v>
      </c>
    </row>
    <row r="966" spans="1:7">
      <c r="A966" s="3">
        <v>14</v>
      </c>
      <c r="B966" s="3">
        <v>4</v>
      </c>
      <c r="C966" s="3">
        <v>35</v>
      </c>
      <c r="D966" s="3">
        <v>16</v>
      </c>
      <c r="E966" s="3">
        <v>421.746</v>
      </c>
      <c r="F966" s="4" t="str">
        <f>HYPERLINK("http://141.218.60.56/~jnz1568/getInfo.php?workbook=14_04.xlsx&amp;sheet=A0&amp;row=966&amp;col=6&amp;number=5.774&amp;sourceID=14","5.774")</f>
        <v>5.774</v>
      </c>
      <c r="G966" s="4" t="str">
        <f>HYPERLINK("http://141.218.60.56/~jnz1568/getInfo.php?workbook=14_04.xlsx&amp;sheet=A0&amp;row=966&amp;col=7&amp;number=0&amp;sourceID=14","0")</f>
        <v>0</v>
      </c>
    </row>
    <row r="967" spans="1:7">
      <c r="A967" s="3">
        <v>14</v>
      </c>
      <c r="B967" s="3">
        <v>4</v>
      </c>
      <c r="C967" s="3">
        <v>36</v>
      </c>
      <c r="D967" s="3">
        <v>16</v>
      </c>
      <c r="E967" s="3">
        <v>-421.793</v>
      </c>
      <c r="F967" s="4" t="str">
        <f>HYPERLINK("http://141.218.60.56/~jnz1568/getInfo.php?workbook=14_04.xlsx&amp;sheet=A0&amp;row=967&amp;col=6&amp;number=566.9&amp;sourceID=14","566.9")</f>
        <v>566.9</v>
      </c>
      <c r="G967" s="4" t="str">
        <f>HYPERLINK("http://141.218.60.56/~jnz1568/getInfo.php?workbook=14_04.xlsx&amp;sheet=A0&amp;row=967&amp;col=7&amp;number=0&amp;sourceID=14","0")</f>
        <v>0</v>
      </c>
    </row>
    <row r="968" spans="1:7">
      <c r="A968" s="3">
        <v>14</v>
      </c>
      <c r="B968" s="3">
        <v>4</v>
      </c>
      <c r="C968" s="3">
        <v>37</v>
      </c>
      <c r="D968" s="3">
        <v>16</v>
      </c>
      <c r="E968" s="3">
        <v>409.015</v>
      </c>
      <c r="F968" s="4" t="str">
        <f>HYPERLINK("http://141.218.60.56/~jnz1568/getInfo.php?workbook=14_04.xlsx&amp;sheet=A0&amp;row=968&amp;col=6&amp;number=22400000&amp;sourceID=14","22400000")</f>
        <v>22400000</v>
      </c>
      <c r="G968" s="4" t="str">
        <f>HYPERLINK("http://141.218.60.56/~jnz1568/getInfo.php?workbook=14_04.xlsx&amp;sheet=A0&amp;row=968&amp;col=7&amp;number=0&amp;sourceID=14","0")</f>
        <v>0</v>
      </c>
    </row>
    <row r="969" spans="1:7">
      <c r="A969" s="3">
        <v>14</v>
      </c>
      <c r="B969" s="3">
        <v>4</v>
      </c>
      <c r="C969" s="3">
        <v>38</v>
      </c>
      <c r="D969" s="3">
        <v>16</v>
      </c>
      <c r="E969" s="3">
        <v>-389.907</v>
      </c>
      <c r="F969" s="4" t="str">
        <f>HYPERLINK("http://141.218.60.56/~jnz1568/getInfo.php?workbook=14_04.xlsx&amp;sheet=A0&amp;row=969&amp;col=6&amp;number=1.309&amp;sourceID=14","1.309")</f>
        <v>1.309</v>
      </c>
      <c r="G969" s="4" t="str">
        <f>HYPERLINK("http://141.218.60.56/~jnz1568/getInfo.php?workbook=14_04.xlsx&amp;sheet=A0&amp;row=969&amp;col=7&amp;number=0&amp;sourceID=14","0")</f>
        <v>0</v>
      </c>
    </row>
    <row r="970" spans="1:7">
      <c r="A970" s="3">
        <v>14</v>
      </c>
      <c r="B970" s="3">
        <v>4</v>
      </c>
      <c r="C970" s="3">
        <v>39</v>
      </c>
      <c r="D970" s="3">
        <v>16</v>
      </c>
      <c r="E970" s="3">
        <v>392.304</v>
      </c>
      <c r="F970" s="4" t="str">
        <f>HYPERLINK("http://141.218.60.56/~jnz1568/getInfo.php?workbook=14_04.xlsx&amp;sheet=A0&amp;row=970&amp;col=6&amp;number=1.583&amp;sourceID=14","1.583")</f>
        <v>1.583</v>
      </c>
      <c r="G970" s="4" t="str">
        <f>HYPERLINK("http://141.218.60.56/~jnz1568/getInfo.php?workbook=14_04.xlsx&amp;sheet=A0&amp;row=970&amp;col=7&amp;number=0&amp;sourceID=14","0")</f>
        <v>0</v>
      </c>
    </row>
    <row r="971" spans="1:7">
      <c r="A971" s="3">
        <v>14</v>
      </c>
      <c r="B971" s="3">
        <v>4</v>
      </c>
      <c r="C971" s="3">
        <v>40</v>
      </c>
      <c r="D971" s="3">
        <v>16</v>
      </c>
      <c r="E971" s="3">
        <v>387.715</v>
      </c>
      <c r="F971" s="4" t="str">
        <f>HYPERLINK("http://141.218.60.56/~jnz1568/getInfo.php?workbook=14_04.xlsx&amp;sheet=A0&amp;row=971&amp;col=6&amp;number=0.5728&amp;sourceID=14","0.5728")</f>
        <v>0.5728</v>
      </c>
      <c r="G971" s="4" t="str">
        <f>HYPERLINK("http://141.218.60.56/~jnz1568/getInfo.php?workbook=14_04.xlsx&amp;sheet=A0&amp;row=971&amp;col=7&amp;number=0&amp;sourceID=14","0")</f>
        <v>0</v>
      </c>
    </row>
    <row r="972" spans="1:7">
      <c r="A972" s="3">
        <v>14</v>
      </c>
      <c r="B972" s="3">
        <v>4</v>
      </c>
      <c r="C972" s="3">
        <v>41</v>
      </c>
      <c r="D972" s="3">
        <v>16</v>
      </c>
      <c r="E972" s="3">
        <v>371.969</v>
      </c>
      <c r="F972" s="4" t="str">
        <f>HYPERLINK("http://141.218.60.56/~jnz1568/getInfo.php?workbook=14_04.xlsx&amp;sheet=A0&amp;row=972&amp;col=6&amp;number=72.65&amp;sourceID=14","72.65")</f>
        <v>72.65</v>
      </c>
      <c r="G972" s="4" t="str">
        <f>HYPERLINK("http://141.218.60.56/~jnz1568/getInfo.php?workbook=14_04.xlsx&amp;sheet=A0&amp;row=972&amp;col=7&amp;number=0&amp;sourceID=14","0")</f>
        <v>0</v>
      </c>
    </row>
    <row r="973" spans="1:7">
      <c r="A973" s="3">
        <v>14</v>
      </c>
      <c r="B973" s="3">
        <v>4</v>
      </c>
      <c r="C973" s="3">
        <v>42</v>
      </c>
      <c r="D973" s="3">
        <v>16</v>
      </c>
      <c r="E973" s="3">
        <v>376.075</v>
      </c>
      <c r="F973" s="4" t="str">
        <f>HYPERLINK("http://141.218.60.56/~jnz1568/getInfo.php?workbook=14_04.xlsx&amp;sheet=A0&amp;row=973&amp;col=6&amp;number=143.3&amp;sourceID=14","143.3")</f>
        <v>143.3</v>
      </c>
      <c r="G973" s="4" t="str">
        <f>HYPERLINK("http://141.218.60.56/~jnz1568/getInfo.php?workbook=14_04.xlsx&amp;sheet=A0&amp;row=973&amp;col=7&amp;number=0&amp;sourceID=14","0")</f>
        <v>0</v>
      </c>
    </row>
    <row r="974" spans="1:7">
      <c r="A974" s="3">
        <v>14</v>
      </c>
      <c r="B974" s="3">
        <v>4</v>
      </c>
      <c r="C974" s="3">
        <v>43</v>
      </c>
      <c r="D974" s="3">
        <v>16</v>
      </c>
      <c r="E974" s="3">
        <v>371.846</v>
      </c>
      <c r="F974" s="4" t="str">
        <f>HYPERLINK("http://141.218.60.56/~jnz1568/getInfo.php?workbook=14_04.xlsx&amp;sheet=A0&amp;row=974&amp;col=6&amp;number=200.7&amp;sourceID=14","200.7")</f>
        <v>200.7</v>
      </c>
      <c r="G974" s="4" t="str">
        <f>HYPERLINK("http://141.218.60.56/~jnz1568/getInfo.php?workbook=14_04.xlsx&amp;sheet=A0&amp;row=974&amp;col=7&amp;number=0&amp;sourceID=14","0")</f>
        <v>0</v>
      </c>
    </row>
    <row r="975" spans="1:7">
      <c r="A975" s="3">
        <v>14</v>
      </c>
      <c r="B975" s="3">
        <v>4</v>
      </c>
      <c r="C975" s="3">
        <v>45</v>
      </c>
      <c r="D975" s="3">
        <v>16</v>
      </c>
      <c r="E975" s="3">
        <v>338.984</v>
      </c>
      <c r="F975" s="4" t="str">
        <f>HYPERLINK("http://141.218.60.56/~jnz1568/getInfo.php?workbook=14_04.xlsx&amp;sheet=A0&amp;row=975&amp;col=6&amp;number=1.162&amp;sourceID=14","1.162")</f>
        <v>1.162</v>
      </c>
      <c r="G975" s="4" t="str">
        <f>HYPERLINK("http://141.218.60.56/~jnz1568/getInfo.php?workbook=14_04.xlsx&amp;sheet=A0&amp;row=975&amp;col=7&amp;number=0&amp;sourceID=14","0")</f>
        <v>0</v>
      </c>
    </row>
    <row r="976" spans="1:7">
      <c r="A976" s="3">
        <v>14</v>
      </c>
      <c r="B976" s="3">
        <v>4</v>
      </c>
      <c r="C976" s="3">
        <v>46</v>
      </c>
      <c r="D976" s="3">
        <v>16</v>
      </c>
      <c r="E976" s="3">
        <v>337.954</v>
      </c>
      <c r="F976" s="4" t="str">
        <f>HYPERLINK("http://141.218.60.56/~jnz1568/getInfo.php?workbook=14_04.xlsx&amp;sheet=A0&amp;row=976&amp;col=6&amp;number=1.136&amp;sourceID=14","1.136")</f>
        <v>1.136</v>
      </c>
      <c r="G976" s="4" t="str">
        <f>HYPERLINK("http://141.218.60.56/~jnz1568/getInfo.php?workbook=14_04.xlsx&amp;sheet=A0&amp;row=976&amp;col=7&amp;number=0&amp;sourceID=14","0")</f>
        <v>0</v>
      </c>
    </row>
    <row r="977" spans="1:7">
      <c r="A977" s="3">
        <v>14</v>
      </c>
      <c r="B977" s="3">
        <v>4</v>
      </c>
      <c r="C977" s="3">
        <v>47</v>
      </c>
      <c r="D977" s="3">
        <v>16</v>
      </c>
      <c r="E977" s="3">
        <v>154.104</v>
      </c>
      <c r="F977" s="4" t="str">
        <f>HYPERLINK("http://141.218.60.56/~jnz1568/getInfo.php?workbook=14_04.xlsx&amp;sheet=A0&amp;row=977&amp;col=6&amp;number=23850000000&amp;sourceID=14","23850000000")</f>
        <v>23850000000</v>
      </c>
      <c r="G977" s="4" t="str">
        <f>HYPERLINK("http://141.218.60.56/~jnz1568/getInfo.php?workbook=14_04.xlsx&amp;sheet=A0&amp;row=977&amp;col=7&amp;number=0&amp;sourceID=14","0")</f>
        <v>0</v>
      </c>
    </row>
    <row r="978" spans="1:7">
      <c r="A978" s="3">
        <v>14</v>
      </c>
      <c r="B978" s="3">
        <v>4</v>
      </c>
      <c r="C978" s="3">
        <v>49</v>
      </c>
      <c r="D978" s="3">
        <v>16</v>
      </c>
      <c r="E978" s="3">
        <v>143.274</v>
      </c>
      <c r="F978" s="4" t="str">
        <f>HYPERLINK("http://141.218.60.56/~jnz1568/getInfo.php?workbook=14_04.xlsx&amp;sheet=A0&amp;row=978&amp;col=6&amp;number=5467000&amp;sourceID=14","5467000")</f>
        <v>5467000</v>
      </c>
      <c r="G978" s="4" t="str">
        <f>HYPERLINK("http://141.218.60.56/~jnz1568/getInfo.php?workbook=14_04.xlsx&amp;sheet=A0&amp;row=978&amp;col=7&amp;number=0&amp;sourceID=14","0")</f>
        <v>0</v>
      </c>
    </row>
    <row r="979" spans="1:7">
      <c r="A979" s="3">
        <v>14</v>
      </c>
      <c r="B979" s="3">
        <v>4</v>
      </c>
      <c r="C979" s="3">
        <v>50</v>
      </c>
      <c r="D979" s="3">
        <v>16</v>
      </c>
      <c r="E979" s="3">
        <v>143.274</v>
      </c>
      <c r="F979" s="4" t="str">
        <f>HYPERLINK("http://141.218.60.56/~jnz1568/getInfo.php?workbook=14_04.xlsx&amp;sheet=A0&amp;row=979&amp;col=6&amp;number=4039000&amp;sourceID=14","4039000")</f>
        <v>4039000</v>
      </c>
      <c r="G979" s="4" t="str">
        <f>HYPERLINK("http://141.218.60.56/~jnz1568/getInfo.php?workbook=14_04.xlsx&amp;sheet=A0&amp;row=979&amp;col=7&amp;number=0&amp;sourceID=14","0")</f>
        <v>0</v>
      </c>
    </row>
    <row r="980" spans="1:7">
      <c r="A980" s="3">
        <v>14</v>
      </c>
      <c r="B980" s="3">
        <v>4</v>
      </c>
      <c r="C980" s="3">
        <v>51</v>
      </c>
      <c r="D980" s="3">
        <v>16</v>
      </c>
      <c r="E980" s="3">
        <v>143.127</v>
      </c>
      <c r="F980" s="4" t="str">
        <f>HYPERLINK("http://141.218.60.56/~jnz1568/getInfo.php?workbook=14_04.xlsx&amp;sheet=A0&amp;row=980&amp;col=6&amp;number=1911000&amp;sourceID=14","1911000")</f>
        <v>1911000</v>
      </c>
      <c r="G980" s="4" t="str">
        <f>HYPERLINK("http://141.218.60.56/~jnz1568/getInfo.php?workbook=14_04.xlsx&amp;sheet=A0&amp;row=980&amp;col=7&amp;number=0&amp;sourceID=14","0")</f>
        <v>0</v>
      </c>
    </row>
    <row r="981" spans="1:7">
      <c r="A981" s="3">
        <v>14</v>
      </c>
      <c r="B981" s="3">
        <v>4</v>
      </c>
      <c r="C981" s="3">
        <v>52</v>
      </c>
      <c r="D981" s="3">
        <v>16</v>
      </c>
      <c r="E981" s="3">
        <v>143.994</v>
      </c>
      <c r="F981" s="4" t="str">
        <f>HYPERLINK("http://141.218.60.56/~jnz1568/getInfo.php?workbook=14_04.xlsx&amp;sheet=A0&amp;row=981&amp;col=6&amp;number=50700&amp;sourceID=14","50700")</f>
        <v>50700</v>
      </c>
      <c r="G981" s="4" t="str">
        <f>HYPERLINK("http://141.218.60.56/~jnz1568/getInfo.php?workbook=14_04.xlsx&amp;sheet=A0&amp;row=981&amp;col=7&amp;number=0&amp;sourceID=14","0")</f>
        <v>0</v>
      </c>
    </row>
    <row r="982" spans="1:7">
      <c r="A982" s="3">
        <v>14</v>
      </c>
      <c r="B982" s="3">
        <v>4</v>
      </c>
      <c r="C982" s="3">
        <v>53</v>
      </c>
      <c r="D982" s="3">
        <v>16</v>
      </c>
      <c r="E982" s="3">
        <v>140.753</v>
      </c>
      <c r="F982" s="4" t="str">
        <f>HYPERLINK("http://141.218.60.56/~jnz1568/getInfo.php?workbook=14_04.xlsx&amp;sheet=A0&amp;row=982&amp;col=6&amp;number=2908000000&amp;sourceID=14","2908000000")</f>
        <v>2908000000</v>
      </c>
      <c r="G982" s="4" t="str">
        <f>HYPERLINK("http://141.218.60.56/~jnz1568/getInfo.php?workbook=14_04.xlsx&amp;sheet=A0&amp;row=982&amp;col=7&amp;number=0&amp;sourceID=14","0")</f>
        <v>0</v>
      </c>
    </row>
    <row r="983" spans="1:7">
      <c r="A983" s="3">
        <v>14</v>
      </c>
      <c r="B983" s="3">
        <v>4</v>
      </c>
      <c r="C983" s="3">
        <v>54</v>
      </c>
      <c r="D983" s="3">
        <v>16</v>
      </c>
      <c r="E983" s="3">
        <v>140.758</v>
      </c>
      <c r="F983" s="4" t="str">
        <f>HYPERLINK("http://141.218.60.56/~jnz1568/getInfo.php?workbook=14_04.xlsx&amp;sheet=A0&amp;row=983&amp;col=6&amp;number=26140000000&amp;sourceID=14","26140000000")</f>
        <v>26140000000</v>
      </c>
      <c r="G983" s="4" t="str">
        <f>HYPERLINK("http://141.218.60.56/~jnz1568/getInfo.php?workbook=14_04.xlsx&amp;sheet=A0&amp;row=983&amp;col=7&amp;number=0&amp;sourceID=14","0")</f>
        <v>0</v>
      </c>
    </row>
    <row r="984" spans="1:7">
      <c r="A984" s="3">
        <v>14</v>
      </c>
      <c r="B984" s="3">
        <v>4</v>
      </c>
      <c r="C984" s="3">
        <v>55</v>
      </c>
      <c r="D984" s="3">
        <v>16</v>
      </c>
      <c r="E984" s="3">
        <v>140.595</v>
      </c>
      <c r="F984" s="4" t="str">
        <f>HYPERLINK("http://141.218.60.56/~jnz1568/getInfo.php?workbook=14_04.xlsx&amp;sheet=A0&amp;row=984&amp;col=6&amp;number=104800000000&amp;sourceID=14","104800000000")</f>
        <v>104800000000</v>
      </c>
      <c r="G984" s="4" t="str">
        <f>HYPERLINK("http://141.218.60.56/~jnz1568/getInfo.php?workbook=14_04.xlsx&amp;sheet=A0&amp;row=984&amp;col=7&amp;number=0&amp;sourceID=14","0")</f>
        <v>0</v>
      </c>
    </row>
    <row r="985" spans="1:7">
      <c r="A985" s="3">
        <v>14</v>
      </c>
      <c r="B985" s="3">
        <v>4</v>
      </c>
      <c r="C985" s="3">
        <v>56</v>
      </c>
      <c r="D985" s="3">
        <v>16</v>
      </c>
      <c r="E985" s="3">
        <v>138.505</v>
      </c>
      <c r="F985" s="4" t="str">
        <f>HYPERLINK("http://141.218.60.56/~jnz1568/getInfo.php?workbook=14_04.xlsx&amp;sheet=A0&amp;row=985&amp;col=6&amp;number=3168000&amp;sourceID=14","3168000")</f>
        <v>3168000</v>
      </c>
      <c r="G985" s="4" t="str">
        <f>HYPERLINK("http://141.218.60.56/~jnz1568/getInfo.php?workbook=14_04.xlsx&amp;sheet=A0&amp;row=985&amp;col=7&amp;number=0&amp;sourceID=14","0")</f>
        <v>0</v>
      </c>
    </row>
    <row r="986" spans="1:7">
      <c r="A986" s="3">
        <v>14</v>
      </c>
      <c r="B986" s="3">
        <v>4</v>
      </c>
      <c r="C986" s="3">
        <v>57</v>
      </c>
      <c r="D986" s="3">
        <v>16</v>
      </c>
      <c r="E986" s="3">
        <v>-116.331</v>
      </c>
      <c r="F986" s="4" t="str">
        <f>HYPERLINK("http://141.218.60.56/~jnz1568/getInfo.php?workbook=14_04.xlsx&amp;sheet=A0&amp;row=986&amp;col=6&amp;number=43.62&amp;sourceID=14","43.62")</f>
        <v>43.62</v>
      </c>
      <c r="G986" s="4" t="str">
        <f>HYPERLINK("http://141.218.60.56/~jnz1568/getInfo.php?workbook=14_04.xlsx&amp;sheet=A0&amp;row=986&amp;col=7&amp;number=0&amp;sourceID=14","0")</f>
        <v>0</v>
      </c>
    </row>
    <row r="987" spans="1:7">
      <c r="A987" s="3">
        <v>14</v>
      </c>
      <c r="B987" s="3">
        <v>4</v>
      </c>
      <c r="C987" s="3">
        <v>58</v>
      </c>
      <c r="D987" s="3">
        <v>16</v>
      </c>
      <c r="E987" s="3">
        <v>-116.135</v>
      </c>
      <c r="F987" s="4" t="str">
        <f>HYPERLINK("http://141.218.60.56/~jnz1568/getInfo.php?workbook=14_04.xlsx&amp;sheet=A0&amp;row=987&amp;col=6&amp;number=23.19&amp;sourceID=14","23.19")</f>
        <v>23.19</v>
      </c>
      <c r="G987" s="4" t="str">
        <f>HYPERLINK("http://141.218.60.56/~jnz1568/getInfo.php?workbook=14_04.xlsx&amp;sheet=A0&amp;row=987&amp;col=7&amp;number=0&amp;sourceID=14","0")</f>
        <v>0</v>
      </c>
    </row>
    <row r="988" spans="1:7">
      <c r="A988" s="3">
        <v>14</v>
      </c>
      <c r="B988" s="3">
        <v>4</v>
      </c>
      <c r="C988" s="3">
        <v>59</v>
      </c>
      <c r="D988" s="3">
        <v>16</v>
      </c>
      <c r="E988" s="3">
        <v>116.097</v>
      </c>
      <c r="F988" s="4" t="str">
        <f>HYPERLINK("http://141.218.60.56/~jnz1568/getInfo.php?workbook=14_04.xlsx&amp;sheet=A0&amp;row=988&amp;col=6&amp;number=5.102&amp;sourceID=14","5.102")</f>
        <v>5.102</v>
      </c>
      <c r="G988" s="4" t="str">
        <f>HYPERLINK("http://141.218.60.56/~jnz1568/getInfo.php?workbook=14_04.xlsx&amp;sheet=A0&amp;row=988&amp;col=7&amp;number=0&amp;sourceID=14","0")</f>
        <v>0</v>
      </c>
    </row>
    <row r="989" spans="1:7">
      <c r="A989" s="3">
        <v>14</v>
      </c>
      <c r="B989" s="3">
        <v>4</v>
      </c>
      <c r="C989" s="3">
        <v>60</v>
      </c>
      <c r="D989" s="3">
        <v>16</v>
      </c>
      <c r="E989" s="3">
        <v>-114.426</v>
      </c>
      <c r="F989" s="4" t="str">
        <f>HYPERLINK("http://141.218.60.56/~jnz1568/getInfo.php?workbook=14_04.xlsx&amp;sheet=A0&amp;row=989&amp;col=6&amp;number=2.363&amp;sourceID=14","2.363")</f>
        <v>2.363</v>
      </c>
      <c r="G989" s="4" t="str">
        <f>HYPERLINK("http://141.218.60.56/~jnz1568/getInfo.php?workbook=14_04.xlsx&amp;sheet=A0&amp;row=989&amp;col=7&amp;number=0&amp;sourceID=14","0")</f>
        <v>0</v>
      </c>
    </row>
    <row r="990" spans="1:7">
      <c r="A990" s="3">
        <v>14</v>
      </c>
      <c r="B990" s="3">
        <v>4</v>
      </c>
      <c r="C990" s="3">
        <v>61</v>
      </c>
      <c r="D990" s="3">
        <v>16</v>
      </c>
      <c r="E990" s="3">
        <v>-112.884</v>
      </c>
      <c r="F990" s="4" t="str">
        <f>HYPERLINK("http://141.218.60.56/~jnz1568/getInfo.php?workbook=14_04.xlsx&amp;sheet=A0&amp;row=990&amp;col=6&amp;number=45840000&amp;sourceID=14","45840000")</f>
        <v>45840000</v>
      </c>
      <c r="G990" s="4" t="str">
        <f>HYPERLINK("http://141.218.60.56/~jnz1568/getInfo.php?workbook=14_04.xlsx&amp;sheet=A0&amp;row=990&amp;col=7&amp;number=0&amp;sourceID=14","0")</f>
        <v>0</v>
      </c>
    </row>
    <row r="991" spans="1:7">
      <c r="A991" s="3">
        <v>14</v>
      </c>
      <c r="B991" s="3">
        <v>4</v>
      </c>
      <c r="C991" s="3">
        <v>62</v>
      </c>
      <c r="D991" s="3">
        <v>16</v>
      </c>
      <c r="E991" s="3">
        <v>-113.445</v>
      </c>
      <c r="F991" s="4" t="str">
        <f>HYPERLINK("http://141.218.60.56/~jnz1568/getInfo.php?workbook=14_04.xlsx&amp;sheet=A0&amp;row=991&amp;col=6&amp;number=8536000&amp;sourceID=14","8536000")</f>
        <v>8536000</v>
      </c>
      <c r="G991" s="4" t="str">
        <f>HYPERLINK("http://141.218.60.56/~jnz1568/getInfo.php?workbook=14_04.xlsx&amp;sheet=A0&amp;row=991&amp;col=7&amp;number=0&amp;sourceID=14","0")</f>
        <v>0</v>
      </c>
    </row>
    <row r="992" spans="1:7">
      <c r="A992" s="3">
        <v>14</v>
      </c>
      <c r="B992" s="3">
        <v>4</v>
      </c>
      <c r="C992" s="3">
        <v>63</v>
      </c>
      <c r="D992" s="3">
        <v>16</v>
      </c>
      <c r="E992" s="3">
        <v>-112.852</v>
      </c>
      <c r="F992" s="4" t="str">
        <f>HYPERLINK("http://141.218.60.56/~jnz1568/getInfo.php?workbook=14_04.xlsx&amp;sheet=A0&amp;row=992&amp;col=6&amp;number=1608000&amp;sourceID=14","1608000")</f>
        <v>1608000</v>
      </c>
      <c r="G992" s="4" t="str">
        <f>HYPERLINK("http://141.218.60.56/~jnz1568/getInfo.php?workbook=14_04.xlsx&amp;sheet=A0&amp;row=992&amp;col=7&amp;number=0&amp;sourceID=14","0")</f>
        <v>0</v>
      </c>
    </row>
    <row r="993" spans="1:7">
      <c r="A993" s="3">
        <v>14</v>
      </c>
      <c r="B993" s="3">
        <v>4</v>
      </c>
      <c r="C993" s="3">
        <v>64</v>
      </c>
      <c r="D993" s="3">
        <v>16</v>
      </c>
      <c r="E993" s="3">
        <v>-112.165</v>
      </c>
      <c r="F993" s="4" t="str">
        <f>HYPERLINK("http://141.218.60.56/~jnz1568/getInfo.php?workbook=14_04.xlsx&amp;sheet=A0&amp;row=993&amp;col=6&amp;number=19300000&amp;sourceID=14","19300000")</f>
        <v>19300000</v>
      </c>
      <c r="G993" s="4" t="str">
        <f>HYPERLINK("http://141.218.60.56/~jnz1568/getInfo.php?workbook=14_04.xlsx&amp;sheet=A0&amp;row=993&amp;col=7&amp;number=0&amp;sourceID=14","0")</f>
        <v>0</v>
      </c>
    </row>
    <row r="994" spans="1:7">
      <c r="A994" s="3">
        <v>14</v>
      </c>
      <c r="B994" s="3">
        <v>4</v>
      </c>
      <c r="C994" s="3">
        <v>65</v>
      </c>
      <c r="D994" s="3">
        <v>16</v>
      </c>
      <c r="E994" s="3">
        <v>-111.942</v>
      </c>
      <c r="F994" s="4" t="str">
        <f>HYPERLINK("http://141.218.60.56/~jnz1568/getInfo.php?workbook=14_04.xlsx&amp;sheet=A0&amp;row=994&amp;col=6&amp;number=293200000&amp;sourceID=14","293200000")</f>
        <v>293200000</v>
      </c>
      <c r="G994" s="4" t="str">
        <f>HYPERLINK("http://141.218.60.56/~jnz1568/getInfo.php?workbook=14_04.xlsx&amp;sheet=A0&amp;row=994&amp;col=7&amp;number=0&amp;sourceID=14","0")</f>
        <v>0</v>
      </c>
    </row>
    <row r="995" spans="1:7">
      <c r="A995" s="3">
        <v>14</v>
      </c>
      <c r="B995" s="3">
        <v>4</v>
      </c>
      <c r="C995" s="3">
        <v>67</v>
      </c>
      <c r="D995" s="3">
        <v>16</v>
      </c>
      <c r="E995" s="3">
        <v>-111.396</v>
      </c>
      <c r="F995" s="4" t="str">
        <f>HYPERLINK("http://141.218.60.56/~jnz1568/getInfo.php?workbook=14_04.xlsx&amp;sheet=A0&amp;row=995&amp;col=6&amp;number=285300000&amp;sourceID=14","285300000")</f>
        <v>285300000</v>
      </c>
      <c r="G995" s="4" t="str">
        <f>HYPERLINK("http://141.218.60.56/~jnz1568/getInfo.php?workbook=14_04.xlsx&amp;sheet=A0&amp;row=995&amp;col=7&amp;number=0&amp;sourceID=14","0")</f>
        <v>0</v>
      </c>
    </row>
    <row r="996" spans="1:7">
      <c r="A996" s="3">
        <v>14</v>
      </c>
      <c r="B996" s="3">
        <v>4</v>
      </c>
      <c r="C996" s="3">
        <v>68</v>
      </c>
      <c r="D996" s="3">
        <v>16</v>
      </c>
      <c r="E996" s="3">
        <v>-111.298</v>
      </c>
      <c r="F996" s="4" t="str">
        <f>HYPERLINK("http://141.218.60.56/~jnz1568/getInfo.php?workbook=14_04.xlsx&amp;sheet=A0&amp;row=996&amp;col=6&amp;number=9701000&amp;sourceID=14","9701000")</f>
        <v>9701000</v>
      </c>
      <c r="G996" s="4" t="str">
        <f>HYPERLINK("http://141.218.60.56/~jnz1568/getInfo.php?workbook=14_04.xlsx&amp;sheet=A0&amp;row=996&amp;col=7&amp;number=0&amp;sourceID=14","0")</f>
        <v>0</v>
      </c>
    </row>
    <row r="997" spans="1:7">
      <c r="A997" s="3">
        <v>14</v>
      </c>
      <c r="B997" s="3">
        <v>4</v>
      </c>
      <c r="C997" s="3">
        <v>69</v>
      </c>
      <c r="D997" s="3">
        <v>16</v>
      </c>
      <c r="E997" s="3">
        <v>-111.198</v>
      </c>
      <c r="F997" s="4" t="str">
        <f>HYPERLINK("http://141.218.60.56/~jnz1568/getInfo.php?workbook=14_04.xlsx&amp;sheet=A0&amp;row=997&amp;col=6&amp;number=642.3&amp;sourceID=14","642.3")</f>
        <v>642.3</v>
      </c>
      <c r="G997" s="4" t="str">
        <f>HYPERLINK("http://141.218.60.56/~jnz1568/getInfo.php?workbook=14_04.xlsx&amp;sheet=A0&amp;row=997&amp;col=7&amp;number=0&amp;sourceID=14","0")</f>
        <v>0</v>
      </c>
    </row>
    <row r="998" spans="1:7">
      <c r="A998" s="3">
        <v>14</v>
      </c>
      <c r="B998" s="3">
        <v>4</v>
      </c>
      <c r="C998" s="3">
        <v>70</v>
      </c>
      <c r="D998" s="3">
        <v>16</v>
      </c>
      <c r="E998" s="3">
        <v>-110.775</v>
      </c>
      <c r="F998" s="4" t="str">
        <f>HYPERLINK("http://141.218.60.56/~jnz1568/getInfo.php?workbook=14_04.xlsx&amp;sheet=A0&amp;row=998&amp;col=6&amp;number=8609&amp;sourceID=14","8609")</f>
        <v>8609</v>
      </c>
      <c r="G998" s="4" t="str">
        <f>HYPERLINK("http://141.218.60.56/~jnz1568/getInfo.php?workbook=14_04.xlsx&amp;sheet=A0&amp;row=998&amp;col=7&amp;number=0&amp;sourceID=14","0")</f>
        <v>0</v>
      </c>
    </row>
    <row r="999" spans="1:7">
      <c r="A999" s="3">
        <v>14</v>
      </c>
      <c r="B999" s="3">
        <v>4</v>
      </c>
      <c r="C999" s="3">
        <v>71</v>
      </c>
      <c r="D999" s="3">
        <v>16</v>
      </c>
      <c r="E999" s="3">
        <v>-110.602</v>
      </c>
      <c r="F999" s="4" t="str">
        <f>HYPERLINK("http://141.218.60.56/~jnz1568/getInfo.php?workbook=14_04.xlsx&amp;sheet=A0&amp;row=999&amp;col=6&amp;number=3703&amp;sourceID=14","3703")</f>
        <v>3703</v>
      </c>
      <c r="G999" s="4" t="str">
        <f>HYPERLINK("http://141.218.60.56/~jnz1568/getInfo.php?workbook=14_04.xlsx&amp;sheet=A0&amp;row=999&amp;col=7&amp;number=0&amp;sourceID=14","0")</f>
        <v>0</v>
      </c>
    </row>
    <row r="1000" spans="1:7">
      <c r="A1000" s="3">
        <v>14</v>
      </c>
      <c r="B1000" s="3">
        <v>4</v>
      </c>
      <c r="C1000" s="3">
        <v>72</v>
      </c>
      <c r="D1000" s="3">
        <v>16</v>
      </c>
      <c r="E1000" s="3">
        <v>-110.336</v>
      </c>
      <c r="F1000" s="4" t="str">
        <f>HYPERLINK("http://141.218.60.56/~jnz1568/getInfo.php?workbook=14_04.xlsx&amp;sheet=A0&amp;row=1000&amp;col=6&amp;number=479900&amp;sourceID=14","479900")</f>
        <v>479900</v>
      </c>
      <c r="G1000" s="4" t="str">
        <f>HYPERLINK("http://141.218.60.56/~jnz1568/getInfo.php?workbook=14_04.xlsx&amp;sheet=A0&amp;row=1000&amp;col=7&amp;number=0&amp;sourceID=14","0")</f>
        <v>0</v>
      </c>
    </row>
    <row r="1001" spans="1:7">
      <c r="A1001" s="3">
        <v>14</v>
      </c>
      <c r="B1001" s="3">
        <v>4</v>
      </c>
      <c r="C1001" s="3">
        <v>73</v>
      </c>
      <c r="D1001" s="3">
        <v>16</v>
      </c>
      <c r="E1001" s="3">
        <v>-110.176</v>
      </c>
      <c r="F1001" s="4" t="str">
        <f>HYPERLINK("http://141.218.60.56/~jnz1568/getInfo.php?workbook=14_04.xlsx&amp;sheet=A0&amp;row=1001&amp;col=6&amp;number=42650&amp;sourceID=14","42650")</f>
        <v>42650</v>
      </c>
      <c r="G1001" s="4" t="str">
        <f>HYPERLINK("http://141.218.60.56/~jnz1568/getInfo.php?workbook=14_04.xlsx&amp;sheet=A0&amp;row=1001&amp;col=7&amp;number=0&amp;sourceID=14","0")</f>
        <v>0</v>
      </c>
    </row>
    <row r="1002" spans="1:7">
      <c r="A1002" s="3">
        <v>14</v>
      </c>
      <c r="B1002" s="3">
        <v>4</v>
      </c>
      <c r="C1002" s="3">
        <v>74</v>
      </c>
      <c r="D1002" s="3">
        <v>16</v>
      </c>
      <c r="E1002" s="3">
        <v>-109.993</v>
      </c>
      <c r="F1002" s="4" t="str">
        <f>HYPERLINK("http://141.218.60.56/~jnz1568/getInfo.php?workbook=14_04.xlsx&amp;sheet=A0&amp;row=1002&amp;col=6&amp;number=3598&amp;sourceID=14","3598")</f>
        <v>3598</v>
      </c>
      <c r="G1002" s="4" t="str">
        <f>HYPERLINK("http://141.218.60.56/~jnz1568/getInfo.php?workbook=14_04.xlsx&amp;sheet=A0&amp;row=1002&amp;col=7&amp;number=0&amp;sourceID=14","0")</f>
        <v>0</v>
      </c>
    </row>
    <row r="1003" spans="1:7">
      <c r="A1003" s="3">
        <v>14</v>
      </c>
      <c r="B1003" s="3">
        <v>4</v>
      </c>
      <c r="C1003" s="3">
        <v>75</v>
      </c>
      <c r="D1003" s="3">
        <v>16</v>
      </c>
      <c r="E1003" s="3">
        <v>-109.762</v>
      </c>
      <c r="F1003" s="4" t="str">
        <f>HYPERLINK("http://141.218.60.56/~jnz1568/getInfo.php?workbook=14_04.xlsx&amp;sheet=A0&amp;row=1003&amp;col=6&amp;number=727.5&amp;sourceID=14","727.5")</f>
        <v>727.5</v>
      </c>
      <c r="G1003" s="4" t="str">
        <f>HYPERLINK("http://141.218.60.56/~jnz1568/getInfo.php?workbook=14_04.xlsx&amp;sheet=A0&amp;row=1003&amp;col=7&amp;number=0&amp;sourceID=14","0")</f>
        <v>0</v>
      </c>
    </row>
    <row r="1004" spans="1:7">
      <c r="A1004" s="3">
        <v>14</v>
      </c>
      <c r="B1004" s="3">
        <v>4</v>
      </c>
      <c r="C1004" s="3">
        <v>76</v>
      </c>
      <c r="D1004" s="3">
        <v>16</v>
      </c>
      <c r="E1004" s="3">
        <v>109.109</v>
      </c>
      <c r="F1004" s="4" t="str">
        <f>HYPERLINK("http://141.218.60.56/~jnz1568/getInfo.php?workbook=14_04.xlsx&amp;sheet=A0&amp;row=1004&amp;col=6&amp;number=12490&amp;sourceID=14","12490")</f>
        <v>12490</v>
      </c>
      <c r="G1004" s="4" t="str">
        <f>HYPERLINK("http://141.218.60.56/~jnz1568/getInfo.php?workbook=14_04.xlsx&amp;sheet=A0&amp;row=1004&amp;col=7&amp;number=0&amp;sourceID=14","0")</f>
        <v>0</v>
      </c>
    </row>
    <row r="1005" spans="1:7">
      <c r="A1005" s="3">
        <v>14</v>
      </c>
      <c r="B1005" s="3">
        <v>4</v>
      </c>
      <c r="C1005" s="3">
        <v>77</v>
      </c>
      <c r="D1005" s="3">
        <v>16</v>
      </c>
      <c r="E1005" s="3">
        <v>109.001</v>
      </c>
      <c r="F1005" s="4" t="str">
        <f>HYPERLINK("http://141.218.60.56/~jnz1568/getInfo.php?workbook=14_04.xlsx&amp;sheet=A0&amp;row=1005&amp;col=6&amp;number=46170&amp;sourceID=14","46170")</f>
        <v>46170</v>
      </c>
      <c r="G1005" s="4" t="str">
        <f>HYPERLINK("http://141.218.60.56/~jnz1568/getInfo.php?workbook=14_04.xlsx&amp;sheet=A0&amp;row=1005&amp;col=7&amp;number=0&amp;sourceID=14","0")</f>
        <v>0</v>
      </c>
    </row>
    <row r="1006" spans="1:7">
      <c r="A1006" s="3">
        <v>14</v>
      </c>
      <c r="B1006" s="3">
        <v>4</v>
      </c>
      <c r="C1006" s="3">
        <v>78</v>
      </c>
      <c r="D1006" s="3">
        <v>16</v>
      </c>
      <c r="E1006" s="3">
        <v>-109.054</v>
      </c>
      <c r="F1006" s="4" t="str">
        <f>HYPERLINK("http://141.218.60.56/~jnz1568/getInfo.php?workbook=14_04.xlsx&amp;sheet=A0&amp;row=1006&amp;col=6&amp;number=89210&amp;sourceID=14","89210")</f>
        <v>89210</v>
      </c>
      <c r="G1006" s="4" t="str">
        <f>HYPERLINK("http://141.218.60.56/~jnz1568/getInfo.php?workbook=14_04.xlsx&amp;sheet=A0&amp;row=1006&amp;col=7&amp;number=0&amp;sourceID=14","0")</f>
        <v>0</v>
      </c>
    </row>
    <row r="1007" spans="1:7">
      <c r="A1007" s="3">
        <v>14</v>
      </c>
      <c r="B1007" s="3">
        <v>4</v>
      </c>
      <c r="C1007" s="3">
        <v>79</v>
      </c>
      <c r="D1007" s="3">
        <v>16</v>
      </c>
      <c r="E1007" s="3">
        <v>-109.002</v>
      </c>
      <c r="F1007" s="4" t="str">
        <f>HYPERLINK("http://141.218.60.56/~jnz1568/getInfo.php?workbook=14_04.xlsx&amp;sheet=A0&amp;row=1007&amp;col=6&amp;number=122100&amp;sourceID=14","122100")</f>
        <v>122100</v>
      </c>
      <c r="G1007" s="4" t="str">
        <f>HYPERLINK("http://141.218.60.56/~jnz1568/getInfo.php?workbook=14_04.xlsx&amp;sheet=A0&amp;row=1007&amp;col=7&amp;number=0&amp;sourceID=14","0")</f>
        <v>0</v>
      </c>
    </row>
    <row r="1008" spans="1:7">
      <c r="A1008" s="3">
        <v>14</v>
      </c>
      <c r="B1008" s="3">
        <v>4</v>
      </c>
      <c r="C1008" s="3">
        <v>81</v>
      </c>
      <c r="D1008" s="3">
        <v>16</v>
      </c>
      <c r="E1008" s="3">
        <v>107.811</v>
      </c>
      <c r="F1008" s="4" t="str">
        <f>HYPERLINK("http://141.218.60.56/~jnz1568/getInfo.php?workbook=14_04.xlsx&amp;sheet=A0&amp;row=1008&amp;col=6&amp;number=2.674&amp;sourceID=14","2.674")</f>
        <v>2.674</v>
      </c>
      <c r="G1008" s="4" t="str">
        <f>HYPERLINK("http://141.218.60.56/~jnz1568/getInfo.php?workbook=14_04.xlsx&amp;sheet=A0&amp;row=1008&amp;col=7&amp;number=0&amp;sourceID=14","0")</f>
        <v>0</v>
      </c>
    </row>
    <row r="1009" spans="1:7">
      <c r="A1009" s="3">
        <v>14</v>
      </c>
      <c r="B1009" s="3">
        <v>4</v>
      </c>
      <c r="C1009" s="3">
        <v>82</v>
      </c>
      <c r="D1009" s="3">
        <v>16</v>
      </c>
      <c r="E1009" s="3">
        <v>-107.612</v>
      </c>
      <c r="F1009" s="4" t="str">
        <f>HYPERLINK("http://141.218.60.56/~jnz1568/getInfo.php?workbook=14_04.xlsx&amp;sheet=A0&amp;row=1009&amp;col=6&amp;number=929.9&amp;sourceID=14","929.9")</f>
        <v>929.9</v>
      </c>
      <c r="G1009" s="4" t="str">
        <f>HYPERLINK("http://141.218.60.56/~jnz1568/getInfo.php?workbook=14_04.xlsx&amp;sheet=A0&amp;row=1009&amp;col=7&amp;number=0&amp;sourceID=14","0")</f>
        <v>0</v>
      </c>
    </row>
    <row r="1010" spans="1:7">
      <c r="A1010" s="3">
        <v>14</v>
      </c>
      <c r="B1010" s="3">
        <v>4</v>
      </c>
      <c r="C1010" s="3">
        <v>83</v>
      </c>
      <c r="D1010" s="3">
        <v>16</v>
      </c>
      <c r="E1010" s="3">
        <v>-100.992</v>
      </c>
      <c r="F1010" s="4" t="str">
        <f>HYPERLINK("http://141.218.60.56/~jnz1568/getInfo.php?workbook=14_04.xlsx&amp;sheet=A0&amp;row=1010&amp;col=6&amp;number=9699000000&amp;sourceID=14","9699000000")</f>
        <v>9699000000</v>
      </c>
      <c r="G1010" s="4" t="str">
        <f>HYPERLINK("http://141.218.60.56/~jnz1568/getInfo.php?workbook=14_04.xlsx&amp;sheet=A0&amp;row=1010&amp;col=7&amp;number=0&amp;sourceID=14","0")</f>
        <v>0</v>
      </c>
    </row>
    <row r="1011" spans="1:7">
      <c r="A1011" s="3">
        <v>14</v>
      </c>
      <c r="B1011" s="3">
        <v>4</v>
      </c>
      <c r="C1011" s="3">
        <v>85</v>
      </c>
      <c r="D1011" s="3">
        <v>16</v>
      </c>
      <c r="E1011" s="3">
        <v>-99.532</v>
      </c>
      <c r="F1011" s="4" t="str">
        <f>HYPERLINK("http://141.218.60.56/~jnz1568/getInfo.php?workbook=14_04.xlsx&amp;sheet=A0&amp;row=1011&amp;col=6&amp;number=2134000&amp;sourceID=14","2134000")</f>
        <v>2134000</v>
      </c>
      <c r="G1011" s="4" t="str">
        <f>HYPERLINK("http://141.218.60.56/~jnz1568/getInfo.php?workbook=14_04.xlsx&amp;sheet=A0&amp;row=1011&amp;col=7&amp;number=0&amp;sourceID=14","0")</f>
        <v>0</v>
      </c>
    </row>
    <row r="1012" spans="1:7">
      <c r="A1012" s="3">
        <v>14</v>
      </c>
      <c r="B1012" s="3">
        <v>4</v>
      </c>
      <c r="C1012" s="3">
        <v>86</v>
      </c>
      <c r="D1012" s="3">
        <v>16</v>
      </c>
      <c r="E1012" s="3">
        <v>-99.52</v>
      </c>
      <c r="F1012" s="4" t="str">
        <f>HYPERLINK("http://141.218.60.56/~jnz1568/getInfo.php?workbook=14_04.xlsx&amp;sheet=A0&amp;row=1012&amp;col=6&amp;number=1595000&amp;sourceID=14","1595000")</f>
        <v>1595000</v>
      </c>
      <c r="G1012" s="4" t="str">
        <f>HYPERLINK("http://141.218.60.56/~jnz1568/getInfo.php?workbook=14_04.xlsx&amp;sheet=A0&amp;row=1012&amp;col=7&amp;number=0&amp;sourceID=14","0")</f>
        <v>0</v>
      </c>
    </row>
    <row r="1013" spans="1:7">
      <c r="A1013" s="3">
        <v>14</v>
      </c>
      <c r="B1013" s="3">
        <v>4</v>
      </c>
      <c r="C1013" s="3">
        <v>87</v>
      </c>
      <c r="D1013" s="3">
        <v>16</v>
      </c>
      <c r="E1013" s="3">
        <v>98.824</v>
      </c>
      <c r="F1013" s="4" t="str">
        <f>HYPERLINK("http://141.218.60.56/~jnz1568/getInfo.php?workbook=14_04.xlsx&amp;sheet=A0&amp;row=1013&amp;col=6&amp;number=778300&amp;sourceID=14","778300")</f>
        <v>778300</v>
      </c>
      <c r="G1013" s="4" t="str">
        <f>HYPERLINK("http://141.218.60.56/~jnz1568/getInfo.php?workbook=14_04.xlsx&amp;sheet=A0&amp;row=1013&amp;col=7&amp;number=0&amp;sourceID=14","0")</f>
        <v>0</v>
      </c>
    </row>
    <row r="1014" spans="1:7">
      <c r="A1014" s="3">
        <v>14</v>
      </c>
      <c r="B1014" s="3">
        <v>4</v>
      </c>
      <c r="C1014" s="3">
        <v>88</v>
      </c>
      <c r="D1014" s="3">
        <v>16</v>
      </c>
      <c r="E1014" s="3">
        <v>-99.238</v>
      </c>
      <c r="F1014" s="4" t="str">
        <f>HYPERLINK("http://141.218.60.56/~jnz1568/getInfo.php?workbook=14_04.xlsx&amp;sheet=A0&amp;row=1014&amp;col=6&amp;number=8878&amp;sourceID=14","8878")</f>
        <v>8878</v>
      </c>
      <c r="G1014" s="4" t="str">
        <f>HYPERLINK("http://141.218.60.56/~jnz1568/getInfo.php?workbook=14_04.xlsx&amp;sheet=A0&amp;row=1014&amp;col=7&amp;number=0&amp;sourceID=14","0")</f>
        <v>0</v>
      </c>
    </row>
    <row r="1015" spans="1:7">
      <c r="A1015" s="3">
        <v>14</v>
      </c>
      <c r="B1015" s="3">
        <v>4</v>
      </c>
      <c r="C1015" s="3">
        <v>89</v>
      </c>
      <c r="D1015" s="3">
        <v>16</v>
      </c>
      <c r="E1015" s="3">
        <v>-98.689</v>
      </c>
      <c r="F1015" s="4" t="str">
        <f>HYPERLINK("http://141.218.60.56/~jnz1568/getInfo.php?workbook=14_04.xlsx&amp;sheet=A0&amp;row=1015&amp;col=6&amp;number=1380000000&amp;sourceID=14","1380000000")</f>
        <v>1380000000</v>
      </c>
      <c r="G1015" s="4" t="str">
        <f>HYPERLINK("http://141.218.60.56/~jnz1568/getInfo.php?workbook=14_04.xlsx&amp;sheet=A0&amp;row=1015&amp;col=7&amp;number=0&amp;sourceID=14","0")</f>
        <v>0</v>
      </c>
    </row>
    <row r="1016" spans="1:7">
      <c r="A1016" s="3">
        <v>14</v>
      </c>
      <c r="B1016" s="3">
        <v>4</v>
      </c>
      <c r="C1016" s="3">
        <v>90</v>
      </c>
      <c r="D1016" s="3">
        <v>16</v>
      </c>
      <c r="E1016" s="3">
        <v>98.378</v>
      </c>
      <c r="F1016" s="4" t="str">
        <f>HYPERLINK("http://141.218.60.56/~jnz1568/getInfo.php?workbook=14_04.xlsx&amp;sheet=A0&amp;row=1016&amp;col=6&amp;number=12550000000&amp;sourceID=14","12550000000")</f>
        <v>12550000000</v>
      </c>
      <c r="G1016" s="4" t="str">
        <f>HYPERLINK("http://141.218.60.56/~jnz1568/getInfo.php?workbook=14_04.xlsx&amp;sheet=A0&amp;row=1016&amp;col=7&amp;number=0&amp;sourceID=14","0")</f>
        <v>0</v>
      </c>
    </row>
    <row r="1017" spans="1:7">
      <c r="A1017" s="3">
        <v>14</v>
      </c>
      <c r="B1017" s="3">
        <v>4</v>
      </c>
      <c r="C1017" s="3">
        <v>91</v>
      </c>
      <c r="D1017" s="3">
        <v>16</v>
      </c>
      <c r="E1017" s="3">
        <v>98.386</v>
      </c>
      <c r="F1017" s="4" t="str">
        <f>HYPERLINK("http://141.218.60.56/~jnz1568/getInfo.php?workbook=14_04.xlsx&amp;sheet=A0&amp;row=1017&amp;col=6&amp;number=50210000000&amp;sourceID=14","50210000000")</f>
        <v>50210000000</v>
      </c>
      <c r="G1017" s="4" t="str">
        <f>HYPERLINK("http://141.218.60.56/~jnz1568/getInfo.php?workbook=14_04.xlsx&amp;sheet=A0&amp;row=1017&amp;col=7&amp;number=0&amp;sourceID=14","0")</f>
        <v>0</v>
      </c>
    </row>
    <row r="1018" spans="1:7">
      <c r="A1018" s="3">
        <v>14</v>
      </c>
      <c r="B1018" s="3">
        <v>4</v>
      </c>
      <c r="C1018" s="3">
        <v>92</v>
      </c>
      <c r="D1018" s="3">
        <v>16</v>
      </c>
      <c r="E1018" s="3">
        <v>98.008</v>
      </c>
      <c r="F1018" s="4" t="str">
        <f>HYPERLINK("http://141.218.60.56/~jnz1568/getInfo.php?workbook=14_04.xlsx&amp;sheet=A0&amp;row=1018&amp;col=6&amp;number=2096000&amp;sourceID=14","2096000")</f>
        <v>2096000</v>
      </c>
      <c r="G1018" s="4" t="str">
        <f>HYPERLINK("http://141.218.60.56/~jnz1568/getInfo.php?workbook=14_04.xlsx&amp;sheet=A0&amp;row=1018&amp;col=7&amp;number=0&amp;sourceID=14","0")</f>
        <v>0</v>
      </c>
    </row>
    <row r="1019" spans="1:7">
      <c r="A1019" s="3">
        <v>14</v>
      </c>
      <c r="B1019" s="3">
        <v>4</v>
      </c>
      <c r="C1019" s="3">
        <v>18</v>
      </c>
      <c r="D1019" s="3">
        <v>17</v>
      </c>
      <c r="E1019" s="3">
        <v>79302.287</v>
      </c>
      <c r="F1019" s="4" t="str">
        <f>HYPERLINK("http://141.218.60.56/~jnz1568/getInfo.php?workbook=14_04.xlsx&amp;sheet=A0&amp;row=1019&amp;col=6&amp;number=0.04867&amp;sourceID=14","0.04867")</f>
        <v>0.04867</v>
      </c>
      <c r="G1019" s="4" t="str">
        <f>HYPERLINK("http://141.218.60.56/~jnz1568/getInfo.php?workbook=14_04.xlsx&amp;sheet=A0&amp;row=1019&amp;col=7&amp;number=0&amp;sourceID=14","0")</f>
        <v>0</v>
      </c>
    </row>
    <row r="1020" spans="1:7">
      <c r="A1020" s="3">
        <v>14</v>
      </c>
      <c r="B1020" s="3">
        <v>4</v>
      </c>
      <c r="C1020" s="3">
        <v>19</v>
      </c>
      <c r="D1020" s="3">
        <v>17</v>
      </c>
      <c r="E1020" s="3">
        <v>62656.757</v>
      </c>
      <c r="F1020" s="4" t="str">
        <f>HYPERLINK("http://141.218.60.56/~jnz1568/getInfo.php?workbook=14_04.xlsx&amp;sheet=A0&amp;row=1020&amp;col=6&amp;number=9.396e-09&amp;sourceID=14","9.396e-09")</f>
        <v>9.396e-09</v>
      </c>
      <c r="G1020" s="4" t="str">
        <f>HYPERLINK("http://141.218.60.56/~jnz1568/getInfo.php?workbook=14_04.xlsx&amp;sheet=A0&amp;row=1020&amp;col=7&amp;number=0&amp;sourceID=14","0")</f>
        <v>0</v>
      </c>
    </row>
    <row r="1021" spans="1:7">
      <c r="A1021" s="3">
        <v>14</v>
      </c>
      <c r="B1021" s="3">
        <v>4</v>
      </c>
      <c r="C1021" s="3">
        <v>20</v>
      </c>
      <c r="D1021" s="3">
        <v>17</v>
      </c>
      <c r="E1021" s="3">
        <v>3117.31</v>
      </c>
      <c r="F1021" s="4" t="str">
        <f>HYPERLINK("http://141.218.60.56/~jnz1568/getInfo.php?workbook=14_04.xlsx&amp;sheet=A0&amp;row=1021&amp;col=6&amp;number=0.05521&amp;sourceID=14","0.05521")</f>
        <v>0.05521</v>
      </c>
      <c r="G1021" s="4" t="str">
        <f>HYPERLINK("http://141.218.60.56/~jnz1568/getInfo.php?workbook=14_04.xlsx&amp;sheet=A0&amp;row=1021&amp;col=7&amp;number=0&amp;sourceID=14","0")</f>
        <v>0</v>
      </c>
    </row>
    <row r="1022" spans="1:7">
      <c r="A1022" s="3">
        <v>14</v>
      </c>
      <c r="B1022" s="3">
        <v>4</v>
      </c>
      <c r="C1022" s="3">
        <v>21</v>
      </c>
      <c r="D1022" s="3">
        <v>17</v>
      </c>
      <c r="E1022" s="3">
        <v>1054.42</v>
      </c>
      <c r="F1022" s="4" t="str">
        <f>HYPERLINK("http://141.218.60.56/~jnz1568/getInfo.php?workbook=14_04.xlsx&amp;sheet=A0&amp;row=1022&amp;col=6&amp;number=14820000&amp;sourceID=14","14820000")</f>
        <v>14820000</v>
      </c>
      <c r="G1022" s="4" t="str">
        <f>HYPERLINK("http://141.218.60.56/~jnz1568/getInfo.php?workbook=14_04.xlsx&amp;sheet=A0&amp;row=1022&amp;col=7&amp;number=0&amp;sourceID=14","0")</f>
        <v>0</v>
      </c>
    </row>
    <row r="1023" spans="1:7">
      <c r="A1023" s="3">
        <v>14</v>
      </c>
      <c r="B1023" s="3">
        <v>4</v>
      </c>
      <c r="C1023" s="3">
        <v>22</v>
      </c>
      <c r="D1023" s="3">
        <v>17</v>
      </c>
      <c r="E1023" s="3">
        <v>-1051.167</v>
      </c>
      <c r="F1023" s="4" t="str">
        <f>HYPERLINK("http://141.218.60.56/~jnz1568/getInfo.php?workbook=14_04.xlsx&amp;sheet=A0&amp;row=1023&amp;col=6&amp;number=3652000&amp;sourceID=14","3652000")</f>
        <v>3652000</v>
      </c>
      <c r="G1023" s="4" t="str">
        <f>HYPERLINK("http://141.218.60.56/~jnz1568/getInfo.php?workbook=14_04.xlsx&amp;sheet=A0&amp;row=1023&amp;col=7&amp;number=0&amp;sourceID=14","0")</f>
        <v>0</v>
      </c>
    </row>
    <row r="1024" spans="1:7">
      <c r="A1024" s="3">
        <v>14</v>
      </c>
      <c r="B1024" s="3">
        <v>4</v>
      </c>
      <c r="C1024" s="3">
        <v>23</v>
      </c>
      <c r="D1024" s="3">
        <v>17</v>
      </c>
      <c r="E1024" s="3">
        <v>-991.737</v>
      </c>
      <c r="F1024" s="4" t="str">
        <f>HYPERLINK("http://141.218.60.56/~jnz1568/getInfo.php?workbook=14_04.xlsx&amp;sheet=A0&amp;row=1024&amp;col=6&amp;number=169800&amp;sourceID=14","169800")</f>
        <v>169800</v>
      </c>
      <c r="G1024" s="4" t="str">
        <f>HYPERLINK("http://141.218.60.56/~jnz1568/getInfo.php?workbook=14_04.xlsx&amp;sheet=A0&amp;row=1024&amp;col=7&amp;number=0&amp;sourceID=14","0")</f>
        <v>0</v>
      </c>
    </row>
    <row r="1025" spans="1:7">
      <c r="A1025" s="3">
        <v>14</v>
      </c>
      <c r="B1025" s="3">
        <v>4</v>
      </c>
      <c r="C1025" s="3">
        <v>24</v>
      </c>
      <c r="D1025" s="3">
        <v>17</v>
      </c>
      <c r="E1025" s="3">
        <v>-761.028</v>
      </c>
      <c r="F1025" s="4" t="str">
        <f>HYPERLINK("http://141.218.60.56/~jnz1568/getInfo.php?workbook=14_04.xlsx&amp;sheet=A0&amp;row=1025&amp;col=6&amp;number=92570&amp;sourceID=14","92570")</f>
        <v>92570</v>
      </c>
      <c r="G1025" s="4" t="str">
        <f>HYPERLINK("http://141.218.60.56/~jnz1568/getInfo.php?workbook=14_04.xlsx&amp;sheet=A0&amp;row=1025&amp;col=7&amp;number=0&amp;sourceID=14","0")</f>
        <v>0</v>
      </c>
    </row>
    <row r="1026" spans="1:7">
      <c r="A1026" s="3">
        <v>14</v>
      </c>
      <c r="B1026" s="3">
        <v>4</v>
      </c>
      <c r="C1026" s="3">
        <v>25</v>
      </c>
      <c r="D1026" s="3">
        <v>17</v>
      </c>
      <c r="E1026" s="3">
        <v>-709.157</v>
      </c>
      <c r="F1026" s="4" t="str">
        <f>HYPERLINK("http://141.218.60.56/~jnz1568/getInfo.php?workbook=14_04.xlsx&amp;sheet=A0&amp;row=1026&amp;col=6&amp;number=0.2946&amp;sourceID=14","0.2946")</f>
        <v>0.2946</v>
      </c>
      <c r="G1026" s="4" t="str">
        <f>HYPERLINK("http://141.218.60.56/~jnz1568/getInfo.php?workbook=14_04.xlsx&amp;sheet=A0&amp;row=1026&amp;col=7&amp;number=0&amp;sourceID=14","0")</f>
        <v>0</v>
      </c>
    </row>
    <row r="1027" spans="1:7">
      <c r="A1027" s="3">
        <v>14</v>
      </c>
      <c r="B1027" s="3">
        <v>4</v>
      </c>
      <c r="C1027" s="3">
        <v>26</v>
      </c>
      <c r="D1027" s="3">
        <v>17</v>
      </c>
      <c r="E1027" s="3">
        <v>-667.716</v>
      </c>
      <c r="F1027" s="4" t="str">
        <f>HYPERLINK("http://141.218.60.56/~jnz1568/getInfo.php?workbook=14_04.xlsx&amp;sheet=A0&amp;row=1027&amp;col=6&amp;number=0.8166&amp;sourceID=14","0.8166")</f>
        <v>0.8166</v>
      </c>
      <c r="G1027" s="4" t="str">
        <f>HYPERLINK("http://141.218.60.56/~jnz1568/getInfo.php?workbook=14_04.xlsx&amp;sheet=A0&amp;row=1027&amp;col=7&amp;number=0&amp;sourceID=14","0")</f>
        <v>0</v>
      </c>
    </row>
    <row r="1028" spans="1:7">
      <c r="A1028" s="3">
        <v>14</v>
      </c>
      <c r="B1028" s="3">
        <v>4</v>
      </c>
      <c r="C1028" s="3">
        <v>27</v>
      </c>
      <c r="D1028" s="3">
        <v>17</v>
      </c>
      <c r="E1028" s="3">
        <v>660.73</v>
      </c>
      <c r="F1028" s="4" t="str">
        <f>HYPERLINK("http://141.218.60.56/~jnz1568/getInfo.php?workbook=14_04.xlsx&amp;sheet=A0&amp;row=1028&amp;col=6&amp;number=1.34&amp;sourceID=14","1.34")</f>
        <v>1.34</v>
      </c>
      <c r="G1028" s="4" t="str">
        <f>HYPERLINK("http://141.218.60.56/~jnz1568/getInfo.php?workbook=14_04.xlsx&amp;sheet=A0&amp;row=1028&amp;col=7&amp;number=0&amp;sourceID=14","0")</f>
        <v>0</v>
      </c>
    </row>
    <row r="1029" spans="1:7">
      <c r="A1029" s="3">
        <v>14</v>
      </c>
      <c r="B1029" s="3">
        <v>4</v>
      </c>
      <c r="C1029" s="3">
        <v>28</v>
      </c>
      <c r="D1029" s="3">
        <v>17</v>
      </c>
      <c r="E1029" s="3">
        <v>647.976</v>
      </c>
      <c r="F1029" s="4" t="str">
        <f>HYPERLINK("http://141.218.60.56/~jnz1568/getInfo.php?workbook=14_04.xlsx&amp;sheet=A0&amp;row=1029&amp;col=6&amp;number=0.05296&amp;sourceID=14","0.05296")</f>
        <v>0.05296</v>
      </c>
      <c r="G1029" s="4" t="str">
        <f>HYPERLINK("http://141.218.60.56/~jnz1568/getInfo.php?workbook=14_04.xlsx&amp;sheet=A0&amp;row=1029&amp;col=7&amp;number=0&amp;sourceID=14","0")</f>
        <v>0</v>
      </c>
    </row>
    <row r="1030" spans="1:7">
      <c r="A1030" s="3">
        <v>14</v>
      </c>
      <c r="B1030" s="3">
        <v>4</v>
      </c>
      <c r="C1030" s="3">
        <v>29</v>
      </c>
      <c r="D1030" s="3">
        <v>17</v>
      </c>
      <c r="E1030" s="3">
        <v>589.926</v>
      </c>
      <c r="F1030" s="4" t="str">
        <f>HYPERLINK("http://141.218.60.56/~jnz1568/getInfo.php?workbook=14_04.xlsx&amp;sheet=A0&amp;row=1030&amp;col=6&amp;number=0.0588&amp;sourceID=14","0.0588")</f>
        <v>0.0588</v>
      </c>
      <c r="G1030" s="4" t="str">
        <f>HYPERLINK("http://141.218.60.56/~jnz1568/getInfo.php?workbook=14_04.xlsx&amp;sheet=A0&amp;row=1030&amp;col=7&amp;number=0&amp;sourceID=14","0")</f>
        <v>0</v>
      </c>
    </row>
    <row r="1031" spans="1:7">
      <c r="A1031" s="3">
        <v>14</v>
      </c>
      <c r="B1031" s="3">
        <v>4</v>
      </c>
      <c r="C1031" s="3">
        <v>30</v>
      </c>
      <c r="D1031" s="3">
        <v>17</v>
      </c>
      <c r="E1031" s="3">
        <v>-564.04</v>
      </c>
      <c r="F1031" s="4" t="str">
        <f>HYPERLINK("http://141.218.60.56/~jnz1568/getInfo.php?workbook=14_04.xlsx&amp;sheet=A0&amp;row=1031&amp;col=6&amp;number=0.2813&amp;sourceID=14","0.2813")</f>
        <v>0.2813</v>
      </c>
      <c r="G1031" s="4" t="str">
        <f>HYPERLINK("http://141.218.60.56/~jnz1568/getInfo.php?workbook=14_04.xlsx&amp;sheet=A0&amp;row=1031&amp;col=7&amp;number=0&amp;sourceID=14","0")</f>
        <v>0</v>
      </c>
    </row>
    <row r="1032" spans="1:7">
      <c r="A1032" s="3">
        <v>14</v>
      </c>
      <c r="B1032" s="3">
        <v>4</v>
      </c>
      <c r="C1032" s="3">
        <v>31</v>
      </c>
      <c r="D1032" s="3">
        <v>17</v>
      </c>
      <c r="E1032" s="3">
        <v>551.166</v>
      </c>
      <c r="F1032" s="4" t="str">
        <f>HYPERLINK("http://141.218.60.56/~jnz1568/getInfo.php?workbook=14_04.xlsx&amp;sheet=A0&amp;row=1032&amp;col=6&amp;number=38.73&amp;sourceID=14","38.73")</f>
        <v>38.73</v>
      </c>
      <c r="G1032" s="4" t="str">
        <f>HYPERLINK("http://141.218.60.56/~jnz1568/getInfo.php?workbook=14_04.xlsx&amp;sheet=A0&amp;row=1032&amp;col=7&amp;number=0&amp;sourceID=14","0")</f>
        <v>0</v>
      </c>
    </row>
    <row r="1033" spans="1:7">
      <c r="A1033" s="3">
        <v>14</v>
      </c>
      <c r="B1033" s="3">
        <v>4</v>
      </c>
      <c r="C1033" s="3">
        <v>32</v>
      </c>
      <c r="D1033" s="3">
        <v>17</v>
      </c>
      <c r="E1033" s="3">
        <v>550.983</v>
      </c>
      <c r="F1033" s="4" t="str">
        <f>HYPERLINK("http://141.218.60.56/~jnz1568/getInfo.php?workbook=14_04.xlsx&amp;sheet=A0&amp;row=1033&amp;col=6&amp;number=6.951&amp;sourceID=14","6.951")</f>
        <v>6.951</v>
      </c>
      <c r="G1033" s="4" t="str">
        <f>HYPERLINK("http://141.218.60.56/~jnz1568/getInfo.php?workbook=14_04.xlsx&amp;sheet=A0&amp;row=1033&amp;col=7&amp;number=0&amp;sourceID=14","0")</f>
        <v>0</v>
      </c>
    </row>
    <row r="1034" spans="1:7">
      <c r="A1034" s="3">
        <v>14</v>
      </c>
      <c r="B1034" s="3">
        <v>4</v>
      </c>
      <c r="C1034" s="3">
        <v>33</v>
      </c>
      <c r="D1034" s="3">
        <v>17</v>
      </c>
      <c r="E1034" s="3">
        <v>-534.289</v>
      </c>
      <c r="F1034" s="4" t="str">
        <f>HYPERLINK("http://141.218.60.56/~jnz1568/getInfo.php?workbook=14_04.xlsx&amp;sheet=A0&amp;row=1034&amp;col=6&amp;number=152500000&amp;sourceID=14","152500000")</f>
        <v>152500000</v>
      </c>
      <c r="G1034" s="4" t="str">
        <f>HYPERLINK("http://141.218.60.56/~jnz1568/getInfo.php?workbook=14_04.xlsx&amp;sheet=A0&amp;row=1034&amp;col=7&amp;number=0&amp;sourceID=14","0")</f>
        <v>0</v>
      </c>
    </row>
    <row r="1035" spans="1:7">
      <c r="A1035" s="3">
        <v>14</v>
      </c>
      <c r="B1035" s="3">
        <v>4</v>
      </c>
      <c r="C1035" s="3">
        <v>35</v>
      </c>
      <c r="D1035" s="3">
        <v>17</v>
      </c>
      <c r="E1035" s="3">
        <v>515.106</v>
      </c>
      <c r="F1035" s="4" t="str">
        <f>HYPERLINK("http://141.218.60.56/~jnz1568/getInfo.php?workbook=14_04.xlsx&amp;sheet=A0&amp;row=1035&amp;col=6&amp;number=37980000&amp;sourceID=14","37980000")</f>
        <v>37980000</v>
      </c>
      <c r="G1035" s="4" t="str">
        <f>HYPERLINK("http://141.218.60.56/~jnz1568/getInfo.php?workbook=14_04.xlsx&amp;sheet=A0&amp;row=1035&amp;col=7&amp;number=0&amp;sourceID=14","0")</f>
        <v>0</v>
      </c>
    </row>
    <row r="1036" spans="1:7">
      <c r="A1036" s="3">
        <v>14</v>
      </c>
      <c r="B1036" s="3">
        <v>4</v>
      </c>
      <c r="C1036" s="3">
        <v>37</v>
      </c>
      <c r="D1036" s="3">
        <v>17</v>
      </c>
      <c r="E1036" s="3">
        <v>496.242</v>
      </c>
      <c r="F1036" s="4" t="str">
        <f>HYPERLINK("http://141.218.60.56/~jnz1568/getInfo.php?workbook=14_04.xlsx&amp;sheet=A0&amp;row=1036&amp;col=6&amp;number=0.7554&amp;sourceID=14","0.7554")</f>
        <v>0.7554</v>
      </c>
      <c r="G1036" s="4" t="str">
        <f>HYPERLINK("http://141.218.60.56/~jnz1568/getInfo.php?workbook=14_04.xlsx&amp;sheet=A0&amp;row=1036&amp;col=7&amp;number=0&amp;sourceID=14","0")</f>
        <v>0</v>
      </c>
    </row>
    <row r="1037" spans="1:7">
      <c r="A1037" s="3">
        <v>14</v>
      </c>
      <c r="B1037" s="3">
        <v>4</v>
      </c>
      <c r="C1037" s="3">
        <v>38</v>
      </c>
      <c r="D1037" s="3">
        <v>17</v>
      </c>
      <c r="E1037" s="3">
        <v>-465.144</v>
      </c>
      <c r="F1037" s="4" t="str">
        <f>HYPERLINK("http://141.218.60.56/~jnz1568/getInfo.php?workbook=14_04.xlsx&amp;sheet=A0&amp;row=1037&amp;col=6&amp;number=864700000&amp;sourceID=14","864700000")</f>
        <v>864700000</v>
      </c>
      <c r="G1037" s="4" t="str">
        <f>HYPERLINK("http://141.218.60.56/~jnz1568/getInfo.php?workbook=14_04.xlsx&amp;sheet=A0&amp;row=1037&amp;col=7&amp;number=0&amp;sourceID=14","0")</f>
        <v>0</v>
      </c>
    </row>
    <row r="1038" spans="1:7">
      <c r="A1038" s="3">
        <v>14</v>
      </c>
      <c r="B1038" s="3">
        <v>4</v>
      </c>
      <c r="C1038" s="3">
        <v>39</v>
      </c>
      <c r="D1038" s="3">
        <v>17</v>
      </c>
      <c r="E1038" s="3">
        <v>471.855</v>
      </c>
      <c r="F1038" s="4" t="str">
        <f>HYPERLINK("http://141.218.60.56/~jnz1568/getInfo.php?workbook=14_04.xlsx&amp;sheet=A0&amp;row=1038&amp;col=6&amp;number=208200000&amp;sourceID=14","208200000")</f>
        <v>208200000</v>
      </c>
      <c r="G1038" s="4" t="str">
        <f>HYPERLINK("http://141.218.60.56/~jnz1568/getInfo.php?workbook=14_04.xlsx&amp;sheet=A0&amp;row=1038&amp;col=7&amp;number=0&amp;sourceID=14","0")</f>
        <v>0</v>
      </c>
    </row>
    <row r="1039" spans="1:7">
      <c r="A1039" s="3">
        <v>14</v>
      </c>
      <c r="B1039" s="3">
        <v>4</v>
      </c>
      <c r="C1039" s="3">
        <v>41</v>
      </c>
      <c r="D1039" s="3">
        <v>17</v>
      </c>
      <c r="E1039" s="3">
        <v>442.743</v>
      </c>
      <c r="F1039" s="4" t="str">
        <f>HYPERLINK("http://141.218.60.56/~jnz1568/getInfo.php?workbook=14_04.xlsx&amp;sheet=A0&amp;row=1039&amp;col=6&amp;number=82680000&amp;sourceID=14","82680000")</f>
        <v>82680000</v>
      </c>
      <c r="G1039" s="4" t="str">
        <f>HYPERLINK("http://141.218.60.56/~jnz1568/getInfo.php?workbook=14_04.xlsx&amp;sheet=A0&amp;row=1039&amp;col=7&amp;number=0&amp;sourceID=14","0")</f>
        <v>0</v>
      </c>
    </row>
    <row r="1040" spans="1:7">
      <c r="A1040" s="3">
        <v>14</v>
      </c>
      <c r="B1040" s="3">
        <v>4</v>
      </c>
      <c r="C1040" s="3">
        <v>42</v>
      </c>
      <c r="D1040" s="3">
        <v>17</v>
      </c>
      <c r="E1040" s="3">
        <v>448.572</v>
      </c>
      <c r="F1040" s="4" t="str">
        <f>HYPERLINK("http://141.218.60.56/~jnz1568/getInfo.php?workbook=14_04.xlsx&amp;sheet=A0&amp;row=1040&amp;col=6&amp;number=745700000&amp;sourceID=14","745700000")</f>
        <v>745700000</v>
      </c>
      <c r="G1040" s="4" t="str">
        <f>HYPERLINK("http://141.218.60.56/~jnz1568/getInfo.php?workbook=14_04.xlsx&amp;sheet=A0&amp;row=1040&amp;col=7&amp;number=0&amp;sourceID=14","0")</f>
        <v>0</v>
      </c>
    </row>
    <row r="1041" spans="1:7">
      <c r="A1041" s="3">
        <v>14</v>
      </c>
      <c r="B1041" s="3">
        <v>4</v>
      </c>
      <c r="C1041" s="3">
        <v>43</v>
      </c>
      <c r="D1041" s="3">
        <v>17</v>
      </c>
      <c r="E1041" s="3">
        <v>442.569</v>
      </c>
      <c r="F1041" s="4" t="str">
        <f>HYPERLINK("http://141.218.60.56/~jnz1568/getInfo.php?workbook=14_04.xlsx&amp;sheet=A0&amp;row=1041&amp;col=6&amp;number=1810000000&amp;sourceID=14","1810000000")</f>
        <v>1810000000</v>
      </c>
      <c r="G1041" s="4" t="str">
        <f>HYPERLINK("http://141.218.60.56/~jnz1568/getInfo.php?workbook=14_04.xlsx&amp;sheet=A0&amp;row=1041&amp;col=7&amp;number=0&amp;sourceID=14","0")</f>
        <v>0</v>
      </c>
    </row>
    <row r="1042" spans="1:7">
      <c r="A1042" s="3">
        <v>14</v>
      </c>
      <c r="B1042" s="3">
        <v>4</v>
      </c>
      <c r="C1042" s="3">
        <v>44</v>
      </c>
      <c r="D1042" s="3">
        <v>17</v>
      </c>
      <c r="E1042" s="3">
        <v>-408.18</v>
      </c>
      <c r="F1042" s="4" t="str">
        <f>HYPERLINK("http://141.218.60.56/~jnz1568/getInfo.php?workbook=14_04.xlsx&amp;sheet=A0&amp;row=1042&amp;col=6&amp;number=0.003783&amp;sourceID=14","0.003783")</f>
        <v>0.003783</v>
      </c>
      <c r="G1042" s="4" t="str">
        <f>HYPERLINK("http://141.218.60.56/~jnz1568/getInfo.php?workbook=14_04.xlsx&amp;sheet=A0&amp;row=1042&amp;col=7&amp;number=0&amp;sourceID=14","0")</f>
        <v>0</v>
      </c>
    </row>
    <row r="1043" spans="1:7">
      <c r="A1043" s="3">
        <v>14</v>
      </c>
      <c r="B1043" s="3">
        <v>4</v>
      </c>
      <c r="C1043" s="3">
        <v>46</v>
      </c>
      <c r="D1043" s="3">
        <v>17</v>
      </c>
      <c r="E1043" s="3">
        <v>395.376</v>
      </c>
      <c r="F1043" s="4" t="str">
        <f>HYPERLINK("http://141.218.60.56/~jnz1568/getInfo.php?workbook=14_04.xlsx&amp;sheet=A0&amp;row=1043&amp;col=6&amp;number=2176000&amp;sourceID=14","2176000")</f>
        <v>2176000</v>
      </c>
      <c r="G1043" s="4" t="str">
        <f>HYPERLINK("http://141.218.60.56/~jnz1568/getInfo.php?workbook=14_04.xlsx&amp;sheet=A0&amp;row=1043&amp;col=7&amp;number=0&amp;sourceID=14","0")</f>
        <v>0</v>
      </c>
    </row>
    <row r="1044" spans="1:7">
      <c r="A1044" s="3">
        <v>14</v>
      </c>
      <c r="B1044" s="3">
        <v>4</v>
      </c>
      <c r="C1044" s="3">
        <v>47</v>
      </c>
      <c r="D1044" s="3">
        <v>17</v>
      </c>
      <c r="E1044" s="3">
        <v>165.034</v>
      </c>
      <c r="F1044" s="4" t="str">
        <f>HYPERLINK("http://141.218.60.56/~jnz1568/getInfo.php?workbook=14_04.xlsx&amp;sheet=A0&amp;row=1044&amp;col=6&amp;number=424200&amp;sourceID=14","424200")</f>
        <v>424200</v>
      </c>
      <c r="G1044" s="4" t="str">
        <f>HYPERLINK("http://141.218.60.56/~jnz1568/getInfo.php?workbook=14_04.xlsx&amp;sheet=A0&amp;row=1044&amp;col=7&amp;number=0&amp;sourceID=14","0")</f>
        <v>0</v>
      </c>
    </row>
    <row r="1045" spans="1:7">
      <c r="A1045" s="3">
        <v>14</v>
      </c>
      <c r="B1045" s="3">
        <v>4</v>
      </c>
      <c r="C1045" s="3">
        <v>48</v>
      </c>
      <c r="D1045" s="3">
        <v>17</v>
      </c>
      <c r="E1045" s="3">
        <v>164.667</v>
      </c>
      <c r="F1045" s="4" t="str">
        <f>HYPERLINK("http://141.218.60.56/~jnz1568/getInfo.php?workbook=14_04.xlsx&amp;sheet=A0&amp;row=1045&amp;col=6&amp;number=2.442e-06&amp;sourceID=14","2.442e-06")</f>
        <v>2.442e-06</v>
      </c>
      <c r="G1045" s="4" t="str">
        <f>HYPERLINK("http://141.218.60.56/~jnz1568/getInfo.php?workbook=14_04.xlsx&amp;sheet=A0&amp;row=1045&amp;col=7&amp;number=0&amp;sourceID=14","0")</f>
        <v>0</v>
      </c>
    </row>
    <row r="1046" spans="1:7">
      <c r="A1046" s="3">
        <v>14</v>
      </c>
      <c r="B1046" s="3">
        <v>4</v>
      </c>
      <c r="C1046" s="3">
        <v>49</v>
      </c>
      <c r="D1046" s="3">
        <v>17</v>
      </c>
      <c r="E1046" s="3">
        <v>152.674</v>
      </c>
      <c r="F1046" s="4" t="str">
        <f>HYPERLINK("http://141.218.60.56/~jnz1568/getInfo.php?workbook=14_04.xlsx&amp;sheet=A0&amp;row=1046&amp;col=6&amp;number=7265000000&amp;sourceID=14","7265000000")</f>
        <v>7265000000</v>
      </c>
      <c r="G1046" s="4" t="str">
        <f>HYPERLINK("http://141.218.60.56/~jnz1568/getInfo.php?workbook=14_04.xlsx&amp;sheet=A0&amp;row=1046&amp;col=7&amp;number=0&amp;sourceID=14","0")</f>
        <v>0</v>
      </c>
    </row>
    <row r="1047" spans="1:7">
      <c r="A1047" s="3">
        <v>14</v>
      </c>
      <c r="B1047" s="3">
        <v>4</v>
      </c>
      <c r="C1047" s="3">
        <v>50</v>
      </c>
      <c r="D1047" s="3">
        <v>17</v>
      </c>
      <c r="E1047" s="3">
        <v>152.674</v>
      </c>
      <c r="F1047" s="4" t="str">
        <f>HYPERLINK("http://141.218.60.56/~jnz1568/getInfo.php?workbook=14_04.xlsx&amp;sheet=A0&amp;row=1047&amp;col=6&amp;number=1782000000&amp;sourceID=14","1782000000")</f>
        <v>1782000000</v>
      </c>
      <c r="G1047" s="4" t="str">
        <f>HYPERLINK("http://141.218.60.56/~jnz1568/getInfo.php?workbook=14_04.xlsx&amp;sheet=A0&amp;row=1047&amp;col=7&amp;number=0&amp;sourceID=14","0")</f>
        <v>0</v>
      </c>
    </row>
    <row r="1048" spans="1:7">
      <c r="A1048" s="3">
        <v>14</v>
      </c>
      <c r="B1048" s="3">
        <v>4</v>
      </c>
      <c r="C1048" s="3">
        <v>51</v>
      </c>
      <c r="D1048" s="3">
        <v>17</v>
      </c>
      <c r="E1048" s="3">
        <v>152.508</v>
      </c>
      <c r="F1048" s="4" t="str">
        <f>HYPERLINK("http://141.218.60.56/~jnz1568/getInfo.php?workbook=14_04.xlsx&amp;sheet=A0&amp;row=1048&amp;col=6&amp;number=71430000&amp;sourceID=14","71430000")</f>
        <v>71430000</v>
      </c>
      <c r="G1048" s="4" t="str">
        <f>HYPERLINK("http://141.218.60.56/~jnz1568/getInfo.php?workbook=14_04.xlsx&amp;sheet=A0&amp;row=1048&amp;col=7&amp;number=0&amp;sourceID=14","0")</f>
        <v>0</v>
      </c>
    </row>
    <row r="1049" spans="1:7">
      <c r="A1049" s="3">
        <v>14</v>
      </c>
      <c r="B1049" s="3">
        <v>4</v>
      </c>
      <c r="C1049" s="3">
        <v>52</v>
      </c>
      <c r="D1049" s="3">
        <v>17</v>
      </c>
      <c r="E1049" s="3">
        <v>153.493</v>
      </c>
      <c r="F1049" s="4" t="str">
        <f>HYPERLINK("http://141.218.60.56/~jnz1568/getInfo.php?workbook=14_04.xlsx&amp;sheet=A0&amp;row=1049&amp;col=6&amp;number=21630000&amp;sourceID=14","21630000")</f>
        <v>21630000</v>
      </c>
      <c r="G1049" s="4" t="str">
        <f>HYPERLINK("http://141.218.60.56/~jnz1568/getInfo.php?workbook=14_04.xlsx&amp;sheet=A0&amp;row=1049&amp;col=7&amp;number=0&amp;sourceID=14","0")</f>
        <v>0</v>
      </c>
    </row>
    <row r="1050" spans="1:7">
      <c r="A1050" s="3">
        <v>14</v>
      </c>
      <c r="B1050" s="3">
        <v>4</v>
      </c>
      <c r="C1050" s="3">
        <v>53</v>
      </c>
      <c r="D1050" s="3">
        <v>17</v>
      </c>
      <c r="E1050" s="3">
        <v>149.815</v>
      </c>
      <c r="F1050" s="4" t="str">
        <f>HYPERLINK("http://141.218.60.56/~jnz1568/getInfo.php?workbook=14_04.xlsx&amp;sheet=A0&amp;row=1050&amp;col=6&amp;number=777100&amp;sourceID=14","777100")</f>
        <v>777100</v>
      </c>
      <c r="G1050" s="4" t="str">
        <f>HYPERLINK("http://141.218.60.56/~jnz1568/getInfo.php?workbook=14_04.xlsx&amp;sheet=A0&amp;row=1050&amp;col=7&amp;number=0&amp;sourceID=14","0")</f>
        <v>0</v>
      </c>
    </row>
    <row r="1051" spans="1:7">
      <c r="A1051" s="3">
        <v>14</v>
      </c>
      <c r="B1051" s="3">
        <v>4</v>
      </c>
      <c r="C1051" s="3">
        <v>54</v>
      </c>
      <c r="D1051" s="3">
        <v>17</v>
      </c>
      <c r="E1051" s="3">
        <v>149.821</v>
      </c>
      <c r="F1051" s="4" t="str">
        <f>HYPERLINK("http://141.218.60.56/~jnz1568/getInfo.php?workbook=14_04.xlsx&amp;sheet=A0&amp;row=1051&amp;col=6&amp;number=776100&amp;sourceID=14","776100")</f>
        <v>776100</v>
      </c>
      <c r="G1051" s="4" t="str">
        <f>HYPERLINK("http://141.218.60.56/~jnz1568/getInfo.php?workbook=14_04.xlsx&amp;sheet=A0&amp;row=1051&amp;col=7&amp;number=0&amp;sourceID=14","0")</f>
        <v>0</v>
      </c>
    </row>
    <row r="1052" spans="1:7">
      <c r="A1052" s="3">
        <v>14</v>
      </c>
      <c r="B1052" s="3">
        <v>4</v>
      </c>
      <c r="C1052" s="3">
        <v>55</v>
      </c>
      <c r="D1052" s="3">
        <v>17</v>
      </c>
      <c r="E1052" s="3">
        <v>149.636</v>
      </c>
      <c r="F1052" s="4" t="str">
        <f>HYPERLINK("http://141.218.60.56/~jnz1568/getInfo.php?workbook=14_04.xlsx&amp;sheet=A0&amp;row=1052&amp;col=6&amp;number=63700&amp;sourceID=14","63700")</f>
        <v>63700</v>
      </c>
      <c r="G1052" s="4" t="str">
        <f>HYPERLINK("http://141.218.60.56/~jnz1568/getInfo.php?workbook=14_04.xlsx&amp;sheet=A0&amp;row=1052&amp;col=7&amp;number=0&amp;sourceID=14","0")</f>
        <v>0</v>
      </c>
    </row>
    <row r="1053" spans="1:7">
      <c r="A1053" s="3">
        <v>14</v>
      </c>
      <c r="B1053" s="3">
        <v>4</v>
      </c>
      <c r="C1053" s="3">
        <v>56</v>
      </c>
      <c r="D1053" s="3">
        <v>17</v>
      </c>
      <c r="E1053" s="3">
        <v>147.271</v>
      </c>
      <c r="F1053" s="4" t="str">
        <f>HYPERLINK("http://141.218.60.56/~jnz1568/getInfo.php?workbook=14_04.xlsx&amp;sheet=A0&amp;row=1053&amp;col=6&amp;number=106.9&amp;sourceID=14","106.9")</f>
        <v>106.9</v>
      </c>
      <c r="G1053" s="4" t="str">
        <f>HYPERLINK("http://141.218.60.56/~jnz1568/getInfo.php?workbook=14_04.xlsx&amp;sheet=A0&amp;row=1053&amp;col=7&amp;number=0&amp;sourceID=14","0")</f>
        <v>0</v>
      </c>
    </row>
    <row r="1054" spans="1:7">
      <c r="A1054" s="3">
        <v>14</v>
      </c>
      <c r="B1054" s="3">
        <v>4</v>
      </c>
      <c r="C1054" s="3">
        <v>57</v>
      </c>
      <c r="D1054" s="3">
        <v>17</v>
      </c>
      <c r="E1054" s="3">
        <v>-122.23</v>
      </c>
      <c r="F1054" s="4" t="str">
        <f>HYPERLINK("http://141.218.60.56/~jnz1568/getInfo.php?workbook=14_04.xlsx&amp;sheet=A0&amp;row=1054&amp;col=6&amp;number=242300000&amp;sourceID=14","242300000")</f>
        <v>242300000</v>
      </c>
      <c r="G1054" s="4" t="str">
        <f>HYPERLINK("http://141.218.60.56/~jnz1568/getInfo.php?workbook=14_04.xlsx&amp;sheet=A0&amp;row=1054&amp;col=7&amp;number=0&amp;sourceID=14","0")</f>
        <v>0</v>
      </c>
    </row>
    <row r="1055" spans="1:7">
      <c r="A1055" s="3">
        <v>14</v>
      </c>
      <c r="B1055" s="3">
        <v>4</v>
      </c>
      <c r="C1055" s="3">
        <v>58</v>
      </c>
      <c r="D1055" s="3">
        <v>17</v>
      </c>
      <c r="E1055" s="3">
        <v>-122.013</v>
      </c>
      <c r="F1055" s="4" t="str">
        <f>HYPERLINK("http://141.218.60.56/~jnz1568/getInfo.php?workbook=14_04.xlsx&amp;sheet=A0&amp;row=1055&amp;col=6&amp;number=52190000&amp;sourceID=14","52190000")</f>
        <v>52190000</v>
      </c>
      <c r="G1055" s="4" t="str">
        <f>HYPERLINK("http://141.218.60.56/~jnz1568/getInfo.php?workbook=14_04.xlsx&amp;sheet=A0&amp;row=1055&amp;col=7&amp;number=0&amp;sourceID=14","0")</f>
        <v>0</v>
      </c>
    </row>
    <row r="1056" spans="1:7">
      <c r="A1056" s="3">
        <v>14</v>
      </c>
      <c r="B1056" s="3">
        <v>4</v>
      </c>
      <c r="C1056" s="3">
        <v>59</v>
      </c>
      <c r="D1056" s="3">
        <v>17</v>
      </c>
      <c r="E1056" s="3">
        <v>122.194</v>
      </c>
      <c r="F1056" s="4" t="str">
        <f>HYPERLINK("http://141.218.60.56/~jnz1568/getInfo.php?workbook=14_04.xlsx&amp;sheet=A0&amp;row=1056&amp;col=6&amp;number=1844000&amp;sourceID=14","1844000")</f>
        <v>1844000</v>
      </c>
      <c r="G1056" s="4" t="str">
        <f>HYPERLINK("http://141.218.60.56/~jnz1568/getInfo.php?workbook=14_04.xlsx&amp;sheet=A0&amp;row=1056&amp;col=7&amp;number=0&amp;sourceID=14","0")</f>
        <v>0</v>
      </c>
    </row>
    <row r="1057" spans="1:7">
      <c r="A1057" s="3">
        <v>14</v>
      </c>
      <c r="B1057" s="3">
        <v>4</v>
      </c>
      <c r="C1057" s="3">
        <v>60</v>
      </c>
      <c r="D1057" s="3">
        <v>17</v>
      </c>
      <c r="E1057" s="3">
        <v>-120.128</v>
      </c>
      <c r="F1057" s="4" t="str">
        <f>HYPERLINK("http://141.218.60.56/~jnz1568/getInfo.php?workbook=14_04.xlsx&amp;sheet=A0&amp;row=1057&amp;col=6&amp;number=4257000&amp;sourceID=14","4257000")</f>
        <v>4257000</v>
      </c>
      <c r="G1057" s="4" t="str">
        <f>HYPERLINK("http://141.218.60.56/~jnz1568/getInfo.php?workbook=14_04.xlsx&amp;sheet=A0&amp;row=1057&amp;col=7&amp;number=0&amp;sourceID=14","0")</f>
        <v>0</v>
      </c>
    </row>
    <row r="1058" spans="1:7">
      <c r="A1058" s="3">
        <v>14</v>
      </c>
      <c r="B1058" s="3">
        <v>4</v>
      </c>
      <c r="C1058" s="3">
        <v>61</v>
      </c>
      <c r="D1058" s="3">
        <v>17</v>
      </c>
      <c r="E1058" s="3">
        <v>-118.43</v>
      </c>
      <c r="F1058" s="4" t="str">
        <f>HYPERLINK("http://141.218.60.56/~jnz1568/getInfo.php?workbook=14_04.xlsx&amp;sheet=A0&amp;row=1058&amp;col=6&amp;number=28220&amp;sourceID=14","28220")</f>
        <v>28220</v>
      </c>
      <c r="G1058" s="4" t="str">
        <f>HYPERLINK("http://141.218.60.56/~jnz1568/getInfo.php?workbook=14_04.xlsx&amp;sheet=A0&amp;row=1058&amp;col=7&amp;number=0&amp;sourceID=14","0")</f>
        <v>0</v>
      </c>
    </row>
    <row r="1059" spans="1:7">
      <c r="A1059" s="3">
        <v>14</v>
      </c>
      <c r="B1059" s="3">
        <v>4</v>
      </c>
      <c r="C1059" s="3">
        <v>62</v>
      </c>
      <c r="D1059" s="3">
        <v>17</v>
      </c>
      <c r="E1059" s="3">
        <v>-119.047</v>
      </c>
      <c r="F1059" s="4" t="str">
        <f>HYPERLINK("http://141.218.60.56/~jnz1568/getInfo.php?workbook=14_04.xlsx&amp;sheet=A0&amp;row=1059&amp;col=6&amp;number=1166&amp;sourceID=14","1166")</f>
        <v>1166</v>
      </c>
      <c r="G1059" s="4" t="str">
        <f>HYPERLINK("http://141.218.60.56/~jnz1568/getInfo.php?workbook=14_04.xlsx&amp;sheet=A0&amp;row=1059&amp;col=7&amp;number=0&amp;sourceID=14","0")</f>
        <v>0</v>
      </c>
    </row>
    <row r="1060" spans="1:7">
      <c r="A1060" s="3">
        <v>14</v>
      </c>
      <c r="B1060" s="3">
        <v>4</v>
      </c>
      <c r="C1060" s="3">
        <v>63</v>
      </c>
      <c r="D1060" s="3">
        <v>17</v>
      </c>
      <c r="E1060" s="3">
        <v>-118.394</v>
      </c>
      <c r="F1060" s="4" t="str">
        <f>HYPERLINK("http://141.218.60.56/~jnz1568/getInfo.php?workbook=14_04.xlsx&amp;sheet=A0&amp;row=1060&amp;col=6&amp;number=11130&amp;sourceID=14","11130")</f>
        <v>11130</v>
      </c>
      <c r="G1060" s="4" t="str">
        <f>HYPERLINK("http://141.218.60.56/~jnz1568/getInfo.php?workbook=14_04.xlsx&amp;sheet=A0&amp;row=1060&amp;col=7&amp;number=0&amp;sourceID=14","0")</f>
        <v>0</v>
      </c>
    </row>
    <row r="1061" spans="1:7">
      <c r="A1061" s="3">
        <v>14</v>
      </c>
      <c r="B1061" s="3">
        <v>4</v>
      </c>
      <c r="C1061" s="3">
        <v>64</v>
      </c>
      <c r="D1061" s="3">
        <v>17</v>
      </c>
      <c r="E1061" s="3">
        <v>-117.638</v>
      </c>
      <c r="F1061" s="4" t="str">
        <f>HYPERLINK("http://141.218.60.56/~jnz1568/getInfo.php?workbook=14_04.xlsx&amp;sheet=A0&amp;row=1061&amp;col=6&amp;number=705.8&amp;sourceID=14","705.8")</f>
        <v>705.8</v>
      </c>
      <c r="G1061" s="4" t="str">
        <f>HYPERLINK("http://141.218.60.56/~jnz1568/getInfo.php?workbook=14_04.xlsx&amp;sheet=A0&amp;row=1061&amp;col=7&amp;number=0&amp;sourceID=14","0")</f>
        <v>0</v>
      </c>
    </row>
    <row r="1062" spans="1:7">
      <c r="A1062" s="3">
        <v>14</v>
      </c>
      <c r="B1062" s="3">
        <v>4</v>
      </c>
      <c r="C1062" s="3">
        <v>65</v>
      </c>
      <c r="D1062" s="3">
        <v>17</v>
      </c>
      <c r="E1062" s="3">
        <v>-117.393</v>
      </c>
      <c r="F1062" s="4" t="str">
        <f>HYPERLINK("http://141.218.60.56/~jnz1568/getInfo.php?workbook=14_04.xlsx&amp;sheet=A0&amp;row=1062&amp;col=6&amp;number=39150&amp;sourceID=14","39150")</f>
        <v>39150</v>
      </c>
      <c r="G1062" s="4" t="str">
        <f>HYPERLINK("http://141.218.60.56/~jnz1568/getInfo.php?workbook=14_04.xlsx&amp;sheet=A0&amp;row=1062&amp;col=7&amp;number=0&amp;sourceID=14","0")</f>
        <v>0</v>
      </c>
    </row>
    <row r="1063" spans="1:7">
      <c r="A1063" s="3">
        <v>14</v>
      </c>
      <c r="B1063" s="3">
        <v>4</v>
      </c>
      <c r="C1063" s="3">
        <v>66</v>
      </c>
      <c r="D1063" s="3">
        <v>17</v>
      </c>
      <c r="E1063" s="3">
        <v>-117.414</v>
      </c>
      <c r="F1063" s="4" t="str">
        <f>HYPERLINK("http://141.218.60.56/~jnz1568/getInfo.php?workbook=14_04.xlsx&amp;sheet=A0&amp;row=1063&amp;col=6&amp;number=0.02437&amp;sourceID=14","0.02437")</f>
        <v>0.02437</v>
      </c>
      <c r="G1063" s="4" t="str">
        <f>HYPERLINK("http://141.218.60.56/~jnz1568/getInfo.php?workbook=14_04.xlsx&amp;sheet=A0&amp;row=1063&amp;col=7&amp;number=0&amp;sourceID=14","0")</f>
        <v>0</v>
      </c>
    </row>
    <row r="1064" spans="1:7">
      <c r="A1064" s="3">
        <v>14</v>
      </c>
      <c r="B1064" s="3">
        <v>4</v>
      </c>
      <c r="C1064" s="3">
        <v>67</v>
      </c>
      <c r="D1064" s="3">
        <v>17</v>
      </c>
      <c r="E1064" s="3">
        <v>-116.794</v>
      </c>
      <c r="F1064" s="4" t="str">
        <f>HYPERLINK("http://141.218.60.56/~jnz1568/getInfo.php?workbook=14_04.xlsx&amp;sheet=A0&amp;row=1064&amp;col=6&amp;number=1299&amp;sourceID=14","1299")</f>
        <v>1299</v>
      </c>
      <c r="G1064" s="4" t="str">
        <f>HYPERLINK("http://141.218.60.56/~jnz1568/getInfo.php?workbook=14_04.xlsx&amp;sheet=A0&amp;row=1064&amp;col=7&amp;number=0&amp;sourceID=14","0")</f>
        <v>0</v>
      </c>
    </row>
    <row r="1065" spans="1:7">
      <c r="A1065" s="3">
        <v>14</v>
      </c>
      <c r="B1065" s="3">
        <v>4</v>
      </c>
      <c r="C1065" s="3">
        <v>68</v>
      </c>
      <c r="D1065" s="3">
        <v>17</v>
      </c>
      <c r="E1065" s="3">
        <v>-116.686</v>
      </c>
      <c r="F1065" s="4" t="str">
        <f>HYPERLINK("http://141.218.60.56/~jnz1568/getInfo.php?workbook=14_04.xlsx&amp;sheet=A0&amp;row=1065&amp;col=6&amp;number=3002&amp;sourceID=14","3002")</f>
        <v>3002</v>
      </c>
      <c r="G1065" s="4" t="str">
        <f>HYPERLINK("http://141.218.60.56/~jnz1568/getInfo.php?workbook=14_04.xlsx&amp;sheet=A0&amp;row=1065&amp;col=7&amp;number=0&amp;sourceID=14","0")</f>
        <v>0</v>
      </c>
    </row>
    <row r="1066" spans="1:7">
      <c r="A1066" s="3">
        <v>14</v>
      </c>
      <c r="B1066" s="3">
        <v>4</v>
      </c>
      <c r="C1066" s="3">
        <v>69</v>
      </c>
      <c r="D1066" s="3">
        <v>17</v>
      </c>
      <c r="E1066" s="3">
        <v>-116.576</v>
      </c>
      <c r="F1066" s="4" t="str">
        <f>HYPERLINK("http://141.218.60.56/~jnz1568/getInfo.php?workbook=14_04.xlsx&amp;sheet=A0&amp;row=1066&amp;col=6&amp;number=444100000&amp;sourceID=14","444100000")</f>
        <v>444100000</v>
      </c>
      <c r="G1066" s="4" t="str">
        <f>HYPERLINK("http://141.218.60.56/~jnz1568/getInfo.php?workbook=14_04.xlsx&amp;sheet=A0&amp;row=1066&amp;col=7&amp;number=0&amp;sourceID=14","0")</f>
        <v>0</v>
      </c>
    </row>
    <row r="1067" spans="1:7">
      <c r="A1067" s="3">
        <v>14</v>
      </c>
      <c r="B1067" s="3">
        <v>4</v>
      </c>
      <c r="C1067" s="3">
        <v>71</v>
      </c>
      <c r="D1067" s="3">
        <v>17</v>
      </c>
      <c r="E1067" s="3">
        <v>-115.921</v>
      </c>
      <c r="F1067" s="4" t="str">
        <f>HYPERLINK("http://141.218.60.56/~jnz1568/getInfo.php?workbook=14_04.xlsx&amp;sheet=A0&amp;row=1067&amp;col=6&amp;number=149700000&amp;sourceID=14","149700000")</f>
        <v>149700000</v>
      </c>
      <c r="G1067" s="4" t="str">
        <f>HYPERLINK("http://141.218.60.56/~jnz1568/getInfo.php?workbook=14_04.xlsx&amp;sheet=A0&amp;row=1067&amp;col=7&amp;number=0&amp;sourceID=14","0")</f>
        <v>0</v>
      </c>
    </row>
    <row r="1068" spans="1:7">
      <c r="A1068" s="3">
        <v>14</v>
      </c>
      <c r="B1068" s="3">
        <v>4</v>
      </c>
      <c r="C1068" s="3">
        <v>72</v>
      </c>
      <c r="D1068" s="3">
        <v>17</v>
      </c>
      <c r="E1068" s="3">
        <v>-115.629</v>
      </c>
      <c r="F1068" s="4" t="str">
        <f>HYPERLINK("http://141.218.60.56/~jnz1568/getInfo.php?workbook=14_04.xlsx&amp;sheet=A0&amp;row=1068&amp;col=6&amp;number=2635&amp;sourceID=14","2635")</f>
        <v>2635</v>
      </c>
      <c r="G1068" s="4" t="str">
        <f>HYPERLINK("http://141.218.60.56/~jnz1568/getInfo.php?workbook=14_04.xlsx&amp;sheet=A0&amp;row=1068&amp;col=7&amp;number=0&amp;sourceID=14","0")</f>
        <v>0</v>
      </c>
    </row>
    <row r="1069" spans="1:7">
      <c r="A1069" s="3">
        <v>14</v>
      </c>
      <c r="B1069" s="3">
        <v>4</v>
      </c>
      <c r="C1069" s="3">
        <v>74</v>
      </c>
      <c r="D1069" s="3">
        <v>17</v>
      </c>
      <c r="E1069" s="3">
        <v>-115.252</v>
      </c>
      <c r="F1069" s="4" t="str">
        <f>HYPERLINK("http://141.218.60.56/~jnz1568/getInfo.php?workbook=14_04.xlsx&amp;sheet=A0&amp;row=1069&amp;col=6&amp;number=243200000&amp;sourceID=14","243200000")</f>
        <v>243200000</v>
      </c>
      <c r="G1069" s="4" t="str">
        <f>HYPERLINK("http://141.218.60.56/~jnz1568/getInfo.php?workbook=14_04.xlsx&amp;sheet=A0&amp;row=1069&amp;col=7&amp;number=0&amp;sourceID=14","0")</f>
        <v>0</v>
      </c>
    </row>
    <row r="1070" spans="1:7">
      <c r="A1070" s="3">
        <v>14</v>
      </c>
      <c r="B1070" s="3">
        <v>4</v>
      </c>
      <c r="C1070" s="3">
        <v>75</v>
      </c>
      <c r="D1070" s="3">
        <v>17</v>
      </c>
      <c r="E1070" s="3">
        <v>-114.998</v>
      </c>
      <c r="F1070" s="4" t="str">
        <f>HYPERLINK("http://141.218.60.56/~jnz1568/getInfo.php?workbook=14_04.xlsx&amp;sheet=A0&amp;row=1070&amp;col=6&amp;number=132200&amp;sourceID=14","132200")</f>
        <v>132200</v>
      </c>
      <c r="G1070" s="4" t="str">
        <f>HYPERLINK("http://141.218.60.56/~jnz1568/getInfo.php?workbook=14_04.xlsx&amp;sheet=A0&amp;row=1070&amp;col=7&amp;number=0&amp;sourceID=14","0")</f>
        <v>0</v>
      </c>
    </row>
    <row r="1071" spans="1:7">
      <c r="A1071" s="3">
        <v>14</v>
      </c>
      <c r="B1071" s="3">
        <v>4</v>
      </c>
      <c r="C1071" s="3">
        <v>77</v>
      </c>
      <c r="D1071" s="3">
        <v>17</v>
      </c>
      <c r="E1071" s="3">
        <v>114.358</v>
      </c>
      <c r="F1071" s="4" t="str">
        <f>HYPERLINK("http://141.218.60.56/~jnz1568/getInfo.php?workbook=14_04.xlsx&amp;sheet=A0&amp;row=1071&amp;col=6&amp;number=752900&amp;sourceID=14","752900")</f>
        <v>752900</v>
      </c>
      <c r="G1071" s="4" t="str">
        <f>HYPERLINK("http://141.218.60.56/~jnz1568/getInfo.php?workbook=14_04.xlsx&amp;sheet=A0&amp;row=1071&amp;col=7&amp;number=0&amp;sourceID=14","0")</f>
        <v>0</v>
      </c>
    </row>
    <row r="1072" spans="1:7">
      <c r="A1072" s="3">
        <v>14</v>
      </c>
      <c r="B1072" s="3">
        <v>4</v>
      </c>
      <c r="C1072" s="3">
        <v>78</v>
      </c>
      <c r="D1072" s="3">
        <v>17</v>
      </c>
      <c r="E1072" s="3">
        <v>-114.221</v>
      </c>
      <c r="F1072" s="4" t="str">
        <f>HYPERLINK("http://141.218.60.56/~jnz1568/getInfo.php?workbook=14_04.xlsx&amp;sheet=A0&amp;row=1072&amp;col=6&amp;number=88720000&amp;sourceID=14","88720000")</f>
        <v>88720000</v>
      </c>
      <c r="G1072" s="4" t="str">
        <f>HYPERLINK("http://141.218.60.56/~jnz1568/getInfo.php?workbook=14_04.xlsx&amp;sheet=A0&amp;row=1072&amp;col=7&amp;number=0&amp;sourceID=14","0")</f>
        <v>0</v>
      </c>
    </row>
    <row r="1073" spans="1:7">
      <c r="A1073" s="3">
        <v>14</v>
      </c>
      <c r="B1073" s="3">
        <v>4</v>
      </c>
      <c r="C1073" s="3">
        <v>79</v>
      </c>
      <c r="D1073" s="3">
        <v>17</v>
      </c>
      <c r="E1073" s="3">
        <v>-114.164</v>
      </c>
      <c r="F1073" s="4" t="str">
        <f>HYPERLINK("http://141.218.60.56/~jnz1568/getInfo.php?workbook=14_04.xlsx&amp;sheet=A0&amp;row=1073&amp;col=6&amp;number=832900000&amp;sourceID=14","832900000")</f>
        <v>832900000</v>
      </c>
      <c r="G1073" s="4" t="str">
        <f>HYPERLINK("http://141.218.60.56/~jnz1568/getInfo.php?workbook=14_04.xlsx&amp;sheet=A0&amp;row=1073&amp;col=7&amp;number=0&amp;sourceID=14","0")</f>
        <v>0</v>
      </c>
    </row>
    <row r="1074" spans="1:7">
      <c r="A1074" s="3">
        <v>14</v>
      </c>
      <c r="B1074" s="3">
        <v>4</v>
      </c>
      <c r="C1074" s="3">
        <v>80</v>
      </c>
      <c r="D1074" s="3">
        <v>17</v>
      </c>
      <c r="E1074" s="3">
        <v>115.727</v>
      </c>
      <c r="F1074" s="4" t="str">
        <f>HYPERLINK("http://141.218.60.56/~jnz1568/getInfo.php?workbook=14_04.xlsx&amp;sheet=A0&amp;row=1074&amp;col=6&amp;number=0.0003378&amp;sourceID=14","0.0003378")</f>
        <v>0.0003378</v>
      </c>
      <c r="G1074" s="4" t="str">
        <f>HYPERLINK("http://141.218.60.56/~jnz1568/getInfo.php?workbook=14_04.xlsx&amp;sheet=A0&amp;row=1074&amp;col=7&amp;number=0&amp;sourceID=14","0")</f>
        <v>0</v>
      </c>
    </row>
    <row r="1075" spans="1:7">
      <c r="A1075" s="3">
        <v>14</v>
      </c>
      <c r="B1075" s="3">
        <v>4</v>
      </c>
      <c r="C1075" s="3">
        <v>82</v>
      </c>
      <c r="D1075" s="3">
        <v>17</v>
      </c>
      <c r="E1075" s="3">
        <v>-112.641</v>
      </c>
      <c r="F1075" s="4" t="str">
        <f>HYPERLINK("http://141.218.60.56/~jnz1568/getInfo.php?workbook=14_04.xlsx&amp;sheet=A0&amp;row=1075&amp;col=6&amp;number=9546000&amp;sourceID=14","9546000")</f>
        <v>9546000</v>
      </c>
      <c r="G1075" s="4" t="str">
        <f>HYPERLINK("http://141.218.60.56/~jnz1568/getInfo.php?workbook=14_04.xlsx&amp;sheet=A0&amp;row=1075&amp;col=7&amp;number=0&amp;sourceID=14","0")</f>
        <v>0</v>
      </c>
    </row>
    <row r="1076" spans="1:7">
      <c r="A1076" s="3">
        <v>14</v>
      </c>
      <c r="B1076" s="3">
        <v>4</v>
      </c>
      <c r="C1076" s="3">
        <v>83</v>
      </c>
      <c r="D1076" s="3">
        <v>17</v>
      </c>
      <c r="E1076" s="3">
        <v>-105.408</v>
      </c>
      <c r="F1076" s="4" t="str">
        <f>HYPERLINK("http://141.218.60.56/~jnz1568/getInfo.php?workbook=14_04.xlsx&amp;sheet=A0&amp;row=1076&amp;col=6&amp;number=126100&amp;sourceID=14","126100")</f>
        <v>126100</v>
      </c>
      <c r="G1076" s="4" t="str">
        <f>HYPERLINK("http://141.218.60.56/~jnz1568/getInfo.php?workbook=14_04.xlsx&amp;sheet=A0&amp;row=1076&amp;col=7&amp;number=0&amp;sourceID=14","0")</f>
        <v>0</v>
      </c>
    </row>
    <row r="1077" spans="1:7">
      <c r="A1077" s="3">
        <v>14</v>
      </c>
      <c r="B1077" s="3">
        <v>4</v>
      </c>
      <c r="C1077" s="3">
        <v>84</v>
      </c>
      <c r="D1077" s="3">
        <v>17</v>
      </c>
      <c r="E1077" s="3">
        <v>-104.615</v>
      </c>
      <c r="F1077" s="4" t="str">
        <f>HYPERLINK("http://141.218.60.56/~jnz1568/getInfo.php?workbook=14_04.xlsx&amp;sheet=A0&amp;row=1077&amp;col=6&amp;number=4.349e-07&amp;sourceID=14","4.349e-07")</f>
        <v>4.349e-07</v>
      </c>
      <c r="G1077" s="4" t="str">
        <f>HYPERLINK("http://141.218.60.56/~jnz1568/getInfo.php?workbook=14_04.xlsx&amp;sheet=A0&amp;row=1077&amp;col=7&amp;number=0&amp;sourceID=14","0")</f>
        <v>0</v>
      </c>
    </row>
    <row r="1078" spans="1:7">
      <c r="A1078" s="3">
        <v>14</v>
      </c>
      <c r="B1078" s="3">
        <v>4</v>
      </c>
      <c r="C1078" s="3">
        <v>85</v>
      </c>
      <c r="D1078" s="3">
        <v>17</v>
      </c>
      <c r="E1078" s="3">
        <v>-103.819</v>
      </c>
      <c r="F1078" s="4" t="str">
        <f>HYPERLINK("http://141.218.60.56/~jnz1568/getInfo.php?workbook=14_04.xlsx&amp;sheet=A0&amp;row=1078&amp;col=6&amp;number=1923000000&amp;sourceID=14","1923000000")</f>
        <v>1923000000</v>
      </c>
      <c r="G1078" s="4" t="str">
        <f>HYPERLINK("http://141.218.60.56/~jnz1568/getInfo.php?workbook=14_04.xlsx&amp;sheet=A0&amp;row=1078&amp;col=7&amp;number=0&amp;sourceID=14","0")</f>
        <v>0</v>
      </c>
    </row>
    <row r="1079" spans="1:7">
      <c r="A1079" s="3">
        <v>14</v>
      </c>
      <c r="B1079" s="3">
        <v>4</v>
      </c>
      <c r="C1079" s="3">
        <v>86</v>
      </c>
      <c r="D1079" s="3">
        <v>17</v>
      </c>
      <c r="E1079" s="3">
        <v>-103.806</v>
      </c>
      <c r="F1079" s="4" t="str">
        <f>HYPERLINK("http://141.218.60.56/~jnz1568/getInfo.php?workbook=14_04.xlsx&amp;sheet=A0&amp;row=1079&amp;col=6&amp;number=476600000&amp;sourceID=14","476600000")</f>
        <v>476600000</v>
      </c>
      <c r="G1079" s="4" t="str">
        <f>HYPERLINK("http://141.218.60.56/~jnz1568/getInfo.php?workbook=14_04.xlsx&amp;sheet=A0&amp;row=1079&amp;col=7&amp;number=0&amp;sourceID=14","0")</f>
        <v>0</v>
      </c>
    </row>
    <row r="1080" spans="1:7">
      <c r="A1080" s="3">
        <v>14</v>
      </c>
      <c r="B1080" s="3">
        <v>4</v>
      </c>
      <c r="C1080" s="3">
        <v>87</v>
      </c>
      <c r="D1080" s="3">
        <v>17</v>
      </c>
      <c r="E1080" s="3">
        <v>103.207</v>
      </c>
      <c r="F1080" s="4" t="str">
        <f>HYPERLINK("http://141.218.60.56/~jnz1568/getInfo.php?workbook=14_04.xlsx&amp;sheet=A0&amp;row=1080&amp;col=6&amp;number=19360000&amp;sourceID=14","19360000")</f>
        <v>19360000</v>
      </c>
      <c r="G1080" s="4" t="str">
        <f>HYPERLINK("http://141.218.60.56/~jnz1568/getInfo.php?workbook=14_04.xlsx&amp;sheet=A0&amp;row=1080&amp;col=7&amp;number=0&amp;sourceID=14","0")</f>
        <v>0</v>
      </c>
    </row>
    <row r="1081" spans="1:7">
      <c r="A1081" s="3">
        <v>14</v>
      </c>
      <c r="B1081" s="3">
        <v>4</v>
      </c>
      <c r="C1081" s="3">
        <v>88</v>
      </c>
      <c r="D1081" s="3">
        <v>17</v>
      </c>
      <c r="E1081" s="3">
        <v>-103.499</v>
      </c>
      <c r="F1081" s="4" t="str">
        <f>HYPERLINK("http://141.218.60.56/~jnz1568/getInfo.php?workbook=14_04.xlsx&amp;sheet=A0&amp;row=1081&amp;col=6&amp;number=2291000&amp;sourceID=14","2291000")</f>
        <v>2291000</v>
      </c>
      <c r="G1081" s="4" t="str">
        <f>HYPERLINK("http://141.218.60.56/~jnz1568/getInfo.php?workbook=14_04.xlsx&amp;sheet=A0&amp;row=1081&amp;col=7&amp;number=0&amp;sourceID=14","0")</f>
        <v>0</v>
      </c>
    </row>
    <row r="1082" spans="1:7">
      <c r="A1082" s="3">
        <v>14</v>
      </c>
      <c r="B1082" s="3">
        <v>4</v>
      </c>
      <c r="C1082" s="3">
        <v>89</v>
      </c>
      <c r="D1082" s="3">
        <v>17</v>
      </c>
      <c r="E1082" s="3">
        <v>-102.902</v>
      </c>
      <c r="F1082" s="4" t="str">
        <f>HYPERLINK("http://141.218.60.56/~jnz1568/getInfo.php?workbook=14_04.xlsx&amp;sheet=A0&amp;row=1082&amp;col=6&amp;number=257300&amp;sourceID=14","257300")</f>
        <v>257300</v>
      </c>
      <c r="G1082" s="4" t="str">
        <f>HYPERLINK("http://141.218.60.56/~jnz1568/getInfo.php?workbook=14_04.xlsx&amp;sheet=A0&amp;row=1082&amp;col=7&amp;number=0&amp;sourceID=14","0")</f>
        <v>0</v>
      </c>
    </row>
    <row r="1083" spans="1:7">
      <c r="A1083" s="3">
        <v>14</v>
      </c>
      <c r="B1083" s="3">
        <v>4</v>
      </c>
      <c r="C1083" s="3">
        <v>90</v>
      </c>
      <c r="D1083" s="3">
        <v>17</v>
      </c>
      <c r="E1083" s="3">
        <v>102.721</v>
      </c>
      <c r="F1083" s="4" t="str">
        <f>HYPERLINK("http://141.218.60.56/~jnz1568/getInfo.php?workbook=14_04.xlsx&amp;sheet=A0&amp;row=1083&amp;col=6&amp;number=259700&amp;sourceID=14","259700")</f>
        <v>259700</v>
      </c>
      <c r="G1083" s="4" t="str">
        <f>HYPERLINK("http://141.218.60.56/~jnz1568/getInfo.php?workbook=14_04.xlsx&amp;sheet=A0&amp;row=1083&amp;col=7&amp;number=0&amp;sourceID=14","0")</f>
        <v>0</v>
      </c>
    </row>
    <row r="1084" spans="1:7">
      <c r="A1084" s="3">
        <v>14</v>
      </c>
      <c r="B1084" s="3">
        <v>4</v>
      </c>
      <c r="C1084" s="3">
        <v>91</v>
      </c>
      <c r="D1084" s="3">
        <v>17</v>
      </c>
      <c r="E1084" s="3">
        <v>102.73</v>
      </c>
      <c r="F1084" s="4" t="str">
        <f>HYPERLINK("http://141.218.60.56/~jnz1568/getInfo.php?workbook=14_04.xlsx&amp;sheet=A0&amp;row=1084&amp;col=6&amp;number=21230&amp;sourceID=14","21230")</f>
        <v>21230</v>
      </c>
      <c r="G1084" s="4" t="str">
        <f>HYPERLINK("http://141.218.60.56/~jnz1568/getInfo.php?workbook=14_04.xlsx&amp;sheet=A0&amp;row=1084&amp;col=7&amp;number=0&amp;sourceID=14","0")</f>
        <v>0</v>
      </c>
    </row>
    <row r="1085" spans="1:7">
      <c r="A1085" s="3">
        <v>14</v>
      </c>
      <c r="B1085" s="3">
        <v>4</v>
      </c>
      <c r="C1085" s="3">
        <v>92</v>
      </c>
      <c r="D1085" s="3">
        <v>17</v>
      </c>
      <c r="E1085" s="3">
        <v>102.317</v>
      </c>
      <c r="F1085" s="4" t="str">
        <f>HYPERLINK("http://141.218.60.56/~jnz1568/getInfo.php?workbook=14_04.xlsx&amp;sheet=A0&amp;row=1085&amp;col=6&amp;number=45.55&amp;sourceID=14","45.55")</f>
        <v>45.55</v>
      </c>
      <c r="G1085" s="4" t="str">
        <f>HYPERLINK("http://141.218.60.56/~jnz1568/getInfo.php?workbook=14_04.xlsx&amp;sheet=A0&amp;row=1085&amp;col=7&amp;number=0&amp;sourceID=14","0")</f>
        <v>0</v>
      </c>
    </row>
    <row r="1086" spans="1:7">
      <c r="A1086" s="3">
        <v>14</v>
      </c>
      <c r="B1086" s="3">
        <v>4</v>
      </c>
      <c r="C1086" s="3">
        <v>19</v>
      </c>
      <c r="D1086" s="3">
        <v>18</v>
      </c>
      <c r="E1086" s="3">
        <v>298508.012</v>
      </c>
      <c r="F1086" s="4" t="str">
        <f>HYPERLINK("http://141.218.60.56/~jnz1568/getInfo.php?workbook=14_04.xlsx&amp;sheet=A0&amp;row=1086&amp;col=6&amp;number=0.0006761&amp;sourceID=14","0.0006761")</f>
        <v>0.0006761</v>
      </c>
      <c r="G1086" s="4" t="str">
        <f>HYPERLINK("http://141.218.60.56/~jnz1568/getInfo.php?workbook=14_04.xlsx&amp;sheet=A0&amp;row=1086&amp;col=7&amp;number=0&amp;sourceID=14","0")</f>
        <v>0</v>
      </c>
    </row>
    <row r="1087" spans="1:7">
      <c r="A1087" s="3">
        <v>14</v>
      </c>
      <c r="B1087" s="3">
        <v>4</v>
      </c>
      <c r="C1087" s="3">
        <v>20</v>
      </c>
      <c r="D1087" s="3">
        <v>18</v>
      </c>
      <c r="E1087" s="3">
        <v>3244.863</v>
      </c>
      <c r="F1087" s="4" t="str">
        <f>HYPERLINK("http://141.218.60.56/~jnz1568/getInfo.php?workbook=14_04.xlsx&amp;sheet=A0&amp;row=1087&amp;col=6&amp;number=0.009079&amp;sourceID=14","0.009079")</f>
        <v>0.009079</v>
      </c>
      <c r="G1087" s="4" t="str">
        <f>HYPERLINK("http://141.218.60.56/~jnz1568/getInfo.php?workbook=14_04.xlsx&amp;sheet=A0&amp;row=1087&amp;col=7&amp;number=0&amp;sourceID=14","0")</f>
        <v>0</v>
      </c>
    </row>
    <row r="1088" spans="1:7">
      <c r="A1088" s="3">
        <v>14</v>
      </c>
      <c r="B1088" s="3">
        <v>4</v>
      </c>
      <c r="C1088" s="3">
        <v>22</v>
      </c>
      <c r="D1088" s="3">
        <v>18</v>
      </c>
      <c r="E1088" s="3">
        <v>-1054.588</v>
      </c>
      <c r="F1088" s="4" t="str">
        <f>HYPERLINK("http://141.218.60.56/~jnz1568/getInfo.php?workbook=14_04.xlsx&amp;sheet=A0&amp;row=1088&amp;col=6&amp;number=10910000&amp;sourceID=14","10910000")</f>
        <v>10910000</v>
      </c>
      <c r="G1088" s="4" t="str">
        <f>HYPERLINK("http://141.218.60.56/~jnz1568/getInfo.php?workbook=14_04.xlsx&amp;sheet=A0&amp;row=1088&amp;col=7&amp;number=0&amp;sourceID=14","0")</f>
        <v>0</v>
      </c>
    </row>
    <row r="1089" spans="1:7">
      <c r="A1089" s="3">
        <v>14</v>
      </c>
      <c r="B1089" s="3">
        <v>4</v>
      </c>
      <c r="C1089" s="3">
        <v>23</v>
      </c>
      <c r="D1089" s="3">
        <v>18</v>
      </c>
      <c r="E1089" s="3">
        <v>-994.782</v>
      </c>
      <c r="F1089" s="4" t="str">
        <f>HYPERLINK("http://141.218.60.56/~jnz1568/getInfo.php?workbook=14_04.xlsx&amp;sheet=A0&amp;row=1089&amp;col=6&amp;number=2557000&amp;sourceID=14","2557000")</f>
        <v>2557000</v>
      </c>
      <c r="G1089" s="4" t="str">
        <f>HYPERLINK("http://141.218.60.56/~jnz1568/getInfo.php?workbook=14_04.xlsx&amp;sheet=A0&amp;row=1089&amp;col=7&amp;number=0&amp;sourceID=14","0")</f>
        <v>0</v>
      </c>
    </row>
    <row r="1090" spans="1:7">
      <c r="A1090" s="3">
        <v>14</v>
      </c>
      <c r="B1090" s="3">
        <v>4</v>
      </c>
      <c r="C1090" s="3">
        <v>24</v>
      </c>
      <c r="D1090" s="3">
        <v>18</v>
      </c>
      <c r="E1090" s="3">
        <v>-762.819</v>
      </c>
      <c r="F1090" s="4" t="str">
        <f>HYPERLINK("http://141.218.60.56/~jnz1568/getInfo.php?workbook=14_04.xlsx&amp;sheet=A0&amp;row=1090&amp;col=6&amp;number=313200&amp;sourceID=14","313200")</f>
        <v>313200</v>
      </c>
      <c r="G1090" s="4" t="str">
        <f>HYPERLINK("http://141.218.60.56/~jnz1568/getInfo.php?workbook=14_04.xlsx&amp;sheet=A0&amp;row=1090&amp;col=7&amp;number=0&amp;sourceID=14","0")</f>
        <v>0</v>
      </c>
    </row>
    <row r="1091" spans="1:7">
      <c r="A1091" s="3">
        <v>14</v>
      </c>
      <c r="B1091" s="3">
        <v>4</v>
      </c>
      <c r="C1091" s="3">
        <v>25</v>
      </c>
      <c r="D1091" s="3">
        <v>18</v>
      </c>
      <c r="E1091" s="3">
        <v>-710.713</v>
      </c>
      <c r="F1091" s="4" t="str">
        <f>HYPERLINK("http://141.218.60.56/~jnz1568/getInfo.php?workbook=14_04.xlsx&amp;sheet=A0&amp;row=1091&amp;col=6&amp;number=1.727&amp;sourceID=14","1.727")</f>
        <v>1.727</v>
      </c>
      <c r="G1091" s="4" t="str">
        <f>HYPERLINK("http://141.218.60.56/~jnz1568/getInfo.php?workbook=14_04.xlsx&amp;sheet=A0&amp;row=1091&amp;col=7&amp;number=0&amp;sourceID=14","0")</f>
        <v>0</v>
      </c>
    </row>
    <row r="1092" spans="1:7">
      <c r="A1092" s="3">
        <v>14</v>
      </c>
      <c r="B1092" s="3">
        <v>4</v>
      </c>
      <c r="C1092" s="3">
        <v>26</v>
      </c>
      <c r="D1092" s="3">
        <v>18</v>
      </c>
      <c r="E1092" s="3">
        <v>-669.095</v>
      </c>
      <c r="F1092" s="4" t="str">
        <f>HYPERLINK("http://141.218.60.56/~jnz1568/getInfo.php?workbook=14_04.xlsx&amp;sheet=A0&amp;row=1092&amp;col=6&amp;number=0.812&amp;sourceID=14","0.812")</f>
        <v>0.812</v>
      </c>
      <c r="G1092" s="4" t="str">
        <f>HYPERLINK("http://141.218.60.56/~jnz1568/getInfo.php?workbook=14_04.xlsx&amp;sheet=A0&amp;row=1092&amp;col=7&amp;number=0&amp;sourceID=14","0")</f>
        <v>0</v>
      </c>
    </row>
    <row r="1093" spans="1:7">
      <c r="A1093" s="3">
        <v>14</v>
      </c>
      <c r="B1093" s="3">
        <v>4</v>
      </c>
      <c r="C1093" s="3">
        <v>27</v>
      </c>
      <c r="D1093" s="3">
        <v>18</v>
      </c>
      <c r="E1093" s="3">
        <v>666.282</v>
      </c>
      <c r="F1093" s="4" t="str">
        <f>HYPERLINK("http://141.218.60.56/~jnz1568/getInfo.php?workbook=14_04.xlsx&amp;sheet=A0&amp;row=1093&amp;col=6&amp;number=0.5989&amp;sourceID=14","0.5989")</f>
        <v>0.5989</v>
      </c>
      <c r="G1093" s="4" t="str">
        <f>HYPERLINK("http://141.218.60.56/~jnz1568/getInfo.php?workbook=14_04.xlsx&amp;sheet=A0&amp;row=1093&amp;col=7&amp;number=0&amp;sourceID=14","0")</f>
        <v>0</v>
      </c>
    </row>
    <row r="1094" spans="1:7">
      <c r="A1094" s="3">
        <v>14</v>
      </c>
      <c r="B1094" s="3">
        <v>4</v>
      </c>
      <c r="C1094" s="3">
        <v>28</v>
      </c>
      <c r="D1094" s="3">
        <v>18</v>
      </c>
      <c r="E1094" s="3">
        <v>653.314</v>
      </c>
      <c r="F1094" s="4" t="str">
        <f>HYPERLINK("http://141.218.60.56/~jnz1568/getInfo.php?workbook=14_04.xlsx&amp;sheet=A0&amp;row=1094&amp;col=6&amp;number=1.55&amp;sourceID=14","1.55")</f>
        <v>1.55</v>
      </c>
      <c r="G1094" s="4" t="str">
        <f>HYPERLINK("http://141.218.60.56/~jnz1568/getInfo.php?workbook=14_04.xlsx&amp;sheet=A0&amp;row=1094&amp;col=7&amp;number=0&amp;sourceID=14","0")</f>
        <v>0</v>
      </c>
    </row>
    <row r="1095" spans="1:7">
      <c r="A1095" s="3">
        <v>14</v>
      </c>
      <c r="B1095" s="3">
        <v>4</v>
      </c>
      <c r="C1095" s="3">
        <v>29</v>
      </c>
      <c r="D1095" s="3">
        <v>18</v>
      </c>
      <c r="E1095" s="3">
        <v>594.348</v>
      </c>
      <c r="F1095" s="4" t="str">
        <f>HYPERLINK("http://141.218.60.56/~jnz1568/getInfo.php?workbook=14_04.xlsx&amp;sheet=A0&amp;row=1095&amp;col=6&amp;number=0.6317&amp;sourceID=14","0.6317")</f>
        <v>0.6317</v>
      </c>
      <c r="G1095" s="4" t="str">
        <f>HYPERLINK("http://141.218.60.56/~jnz1568/getInfo.php?workbook=14_04.xlsx&amp;sheet=A0&amp;row=1095&amp;col=7&amp;number=0&amp;sourceID=14","0")</f>
        <v>0</v>
      </c>
    </row>
    <row r="1096" spans="1:7">
      <c r="A1096" s="3">
        <v>14</v>
      </c>
      <c r="B1096" s="3">
        <v>4</v>
      </c>
      <c r="C1096" s="3">
        <v>30</v>
      </c>
      <c r="D1096" s="3">
        <v>18</v>
      </c>
      <c r="E1096" s="3">
        <v>-565.024</v>
      </c>
      <c r="F1096" s="4" t="str">
        <f>HYPERLINK("http://141.218.60.56/~jnz1568/getInfo.php?workbook=14_04.xlsx&amp;sheet=A0&amp;row=1096&amp;col=6&amp;number=73.65&amp;sourceID=14","73.65")</f>
        <v>73.65</v>
      </c>
      <c r="G1096" s="4" t="str">
        <f>HYPERLINK("http://141.218.60.56/~jnz1568/getInfo.php?workbook=14_04.xlsx&amp;sheet=A0&amp;row=1096&amp;col=7&amp;number=0&amp;sourceID=14","0")</f>
        <v>0</v>
      </c>
    </row>
    <row r="1097" spans="1:7">
      <c r="A1097" s="3">
        <v>14</v>
      </c>
      <c r="B1097" s="3">
        <v>4</v>
      </c>
      <c r="C1097" s="3">
        <v>31</v>
      </c>
      <c r="D1097" s="3">
        <v>18</v>
      </c>
      <c r="E1097" s="3">
        <v>555.023</v>
      </c>
      <c r="F1097" s="4" t="str">
        <f>HYPERLINK("http://141.218.60.56/~jnz1568/getInfo.php?workbook=14_04.xlsx&amp;sheet=A0&amp;row=1097&amp;col=6&amp;number=8.736&amp;sourceID=14","8.736")</f>
        <v>8.736</v>
      </c>
      <c r="G1097" s="4" t="str">
        <f>HYPERLINK("http://141.218.60.56/~jnz1568/getInfo.php?workbook=14_04.xlsx&amp;sheet=A0&amp;row=1097&amp;col=7&amp;number=0&amp;sourceID=14","0")</f>
        <v>0</v>
      </c>
    </row>
    <row r="1098" spans="1:7">
      <c r="A1098" s="3">
        <v>14</v>
      </c>
      <c r="B1098" s="3">
        <v>4</v>
      </c>
      <c r="C1098" s="3">
        <v>32</v>
      </c>
      <c r="D1098" s="3">
        <v>18</v>
      </c>
      <c r="E1098" s="3">
        <v>554.838</v>
      </c>
      <c r="F1098" s="4" t="str">
        <f>HYPERLINK("http://141.218.60.56/~jnz1568/getInfo.php?workbook=14_04.xlsx&amp;sheet=A0&amp;row=1098&amp;col=6&amp;number=25.87&amp;sourceID=14","25.87")</f>
        <v>25.87</v>
      </c>
      <c r="G1098" s="4" t="str">
        <f>HYPERLINK("http://141.218.60.56/~jnz1568/getInfo.php?workbook=14_04.xlsx&amp;sheet=A0&amp;row=1098&amp;col=7&amp;number=0&amp;sourceID=14","0")</f>
        <v>0</v>
      </c>
    </row>
    <row r="1099" spans="1:7">
      <c r="A1099" s="3">
        <v>14</v>
      </c>
      <c r="B1099" s="3">
        <v>4</v>
      </c>
      <c r="C1099" s="3">
        <v>33</v>
      </c>
      <c r="D1099" s="3">
        <v>18</v>
      </c>
      <c r="E1099" s="3">
        <v>-535.171</v>
      </c>
      <c r="F1099" s="4" t="str">
        <f>HYPERLINK("http://141.218.60.56/~jnz1568/getInfo.php?workbook=14_04.xlsx&amp;sheet=A0&amp;row=1099&amp;col=6&amp;number=53940000&amp;sourceID=14","53940000")</f>
        <v>53940000</v>
      </c>
      <c r="G1099" s="4" t="str">
        <f>HYPERLINK("http://141.218.60.56/~jnz1568/getInfo.php?workbook=14_04.xlsx&amp;sheet=A0&amp;row=1099&amp;col=7&amp;number=0&amp;sourceID=14","0")</f>
        <v>0</v>
      </c>
    </row>
    <row r="1100" spans="1:7">
      <c r="A1100" s="3">
        <v>14</v>
      </c>
      <c r="B1100" s="3">
        <v>4</v>
      </c>
      <c r="C1100" s="3">
        <v>34</v>
      </c>
      <c r="D1100" s="3">
        <v>18</v>
      </c>
      <c r="E1100" s="3">
        <v>-523.697</v>
      </c>
      <c r="F1100" s="4" t="str">
        <f>HYPERLINK("http://141.218.60.56/~jnz1568/getInfo.php?workbook=14_04.xlsx&amp;sheet=A0&amp;row=1100&amp;col=6&amp;number=212100000&amp;sourceID=14","212100000")</f>
        <v>212100000</v>
      </c>
      <c r="G1100" s="4" t="str">
        <f>HYPERLINK("http://141.218.60.56/~jnz1568/getInfo.php?workbook=14_04.xlsx&amp;sheet=A0&amp;row=1100&amp;col=7&amp;number=0&amp;sourceID=14","0")</f>
        <v>0</v>
      </c>
    </row>
    <row r="1101" spans="1:7">
      <c r="A1101" s="3">
        <v>14</v>
      </c>
      <c r="B1101" s="3">
        <v>4</v>
      </c>
      <c r="C1101" s="3">
        <v>35</v>
      </c>
      <c r="D1101" s="3">
        <v>18</v>
      </c>
      <c r="E1101" s="3">
        <v>518.474</v>
      </c>
      <c r="F1101" s="4" t="str">
        <f>HYPERLINK("http://141.218.60.56/~jnz1568/getInfo.php?workbook=14_04.xlsx&amp;sheet=A0&amp;row=1101&amp;col=6&amp;number=15550000&amp;sourceID=14","15550000")</f>
        <v>15550000</v>
      </c>
      <c r="G1101" s="4" t="str">
        <f>HYPERLINK("http://141.218.60.56/~jnz1568/getInfo.php?workbook=14_04.xlsx&amp;sheet=A0&amp;row=1101&amp;col=7&amp;number=0&amp;sourceID=14","0")</f>
        <v>0</v>
      </c>
    </row>
    <row r="1102" spans="1:7">
      <c r="A1102" s="3">
        <v>14</v>
      </c>
      <c r="B1102" s="3">
        <v>4</v>
      </c>
      <c r="C1102" s="3">
        <v>37</v>
      </c>
      <c r="D1102" s="3">
        <v>18</v>
      </c>
      <c r="E1102" s="3">
        <v>499.367</v>
      </c>
      <c r="F1102" s="4" t="str">
        <f>HYPERLINK("http://141.218.60.56/~jnz1568/getInfo.php?workbook=14_04.xlsx&amp;sheet=A0&amp;row=1102&amp;col=6&amp;number=0.5727&amp;sourceID=14","0.5727")</f>
        <v>0.5727</v>
      </c>
      <c r="G1102" s="4" t="str">
        <f>HYPERLINK("http://141.218.60.56/~jnz1568/getInfo.php?workbook=14_04.xlsx&amp;sheet=A0&amp;row=1102&amp;col=7&amp;number=0&amp;sourceID=14","0")</f>
        <v>0</v>
      </c>
    </row>
    <row r="1103" spans="1:7">
      <c r="A1103" s="3">
        <v>14</v>
      </c>
      <c r="B1103" s="3">
        <v>4</v>
      </c>
      <c r="C1103" s="3">
        <v>38</v>
      </c>
      <c r="D1103" s="3">
        <v>18</v>
      </c>
      <c r="E1103" s="3">
        <v>-465.813</v>
      </c>
      <c r="F1103" s="4" t="str">
        <f>HYPERLINK("http://141.218.60.56/~jnz1568/getInfo.php?workbook=14_04.xlsx&amp;sheet=A0&amp;row=1103&amp;col=6&amp;number=656700000&amp;sourceID=14","656700000")</f>
        <v>656700000</v>
      </c>
      <c r="G1103" s="4" t="str">
        <f>HYPERLINK("http://141.218.60.56/~jnz1568/getInfo.php?workbook=14_04.xlsx&amp;sheet=A0&amp;row=1103&amp;col=7&amp;number=0&amp;sourceID=14","0")</f>
        <v>0</v>
      </c>
    </row>
    <row r="1104" spans="1:7">
      <c r="A1104" s="3">
        <v>14</v>
      </c>
      <c r="B1104" s="3">
        <v>4</v>
      </c>
      <c r="C1104" s="3">
        <v>39</v>
      </c>
      <c r="D1104" s="3">
        <v>18</v>
      </c>
      <c r="E1104" s="3">
        <v>474.679</v>
      </c>
      <c r="F1104" s="4" t="str">
        <f>HYPERLINK("http://141.218.60.56/~jnz1568/getInfo.php?workbook=14_04.xlsx&amp;sheet=A0&amp;row=1104&amp;col=6&amp;number=627700000&amp;sourceID=14","627700000")</f>
        <v>627700000</v>
      </c>
      <c r="G1104" s="4" t="str">
        <f>HYPERLINK("http://141.218.60.56/~jnz1568/getInfo.php?workbook=14_04.xlsx&amp;sheet=A0&amp;row=1104&amp;col=7&amp;number=0&amp;sourceID=14","0")</f>
        <v>0</v>
      </c>
    </row>
    <row r="1105" spans="1:7">
      <c r="A1105" s="3">
        <v>14</v>
      </c>
      <c r="B1105" s="3">
        <v>4</v>
      </c>
      <c r="C1105" s="3">
        <v>40</v>
      </c>
      <c r="D1105" s="3">
        <v>18</v>
      </c>
      <c r="E1105" s="3">
        <v>467.977</v>
      </c>
      <c r="F1105" s="4" t="str">
        <f>HYPERLINK("http://141.218.60.56/~jnz1568/getInfo.php?workbook=14_04.xlsx&amp;sheet=A0&amp;row=1105&amp;col=6&amp;number=216000000&amp;sourceID=14","216000000")</f>
        <v>216000000</v>
      </c>
      <c r="G1105" s="4" t="str">
        <f>HYPERLINK("http://141.218.60.56/~jnz1568/getInfo.php?workbook=14_04.xlsx&amp;sheet=A0&amp;row=1105&amp;col=7&amp;number=0&amp;sourceID=14","0")</f>
        <v>0</v>
      </c>
    </row>
    <row r="1106" spans="1:7">
      <c r="A1106" s="3">
        <v>14</v>
      </c>
      <c r="B1106" s="3">
        <v>4</v>
      </c>
      <c r="C1106" s="3">
        <v>41</v>
      </c>
      <c r="D1106" s="3">
        <v>18</v>
      </c>
      <c r="E1106" s="3">
        <v>445.229</v>
      </c>
      <c r="F1106" s="4" t="str">
        <f>HYPERLINK("http://141.218.60.56/~jnz1568/getInfo.php?workbook=14_04.xlsx&amp;sheet=A0&amp;row=1106&amp;col=6&amp;number=661500000&amp;sourceID=14","661500000")</f>
        <v>661500000</v>
      </c>
      <c r="G1106" s="4" t="str">
        <f>HYPERLINK("http://141.218.60.56/~jnz1568/getInfo.php?workbook=14_04.xlsx&amp;sheet=A0&amp;row=1106&amp;col=7&amp;number=0&amp;sourceID=14","0")</f>
        <v>0</v>
      </c>
    </row>
    <row r="1107" spans="1:7">
      <c r="A1107" s="3">
        <v>14</v>
      </c>
      <c r="B1107" s="3">
        <v>4</v>
      </c>
      <c r="C1107" s="3">
        <v>42</v>
      </c>
      <c r="D1107" s="3">
        <v>18</v>
      </c>
      <c r="E1107" s="3">
        <v>451.124</v>
      </c>
      <c r="F1107" s="4" t="str">
        <f>HYPERLINK("http://141.218.60.56/~jnz1568/getInfo.php?workbook=14_04.xlsx&amp;sheet=A0&amp;row=1107&amp;col=6&amp;number=976400000&amp;sourceID=14","976400000")</f>
        <v>976400000</v>
      </c>
      <c r="G1107" s="4" t="str">
        <f>HYPERLINK("http://141.218.60.56/~jnz1568/getInfo.php?workbook=14_04.xlsx&amp;sheet=A0&amp;row=1107&amp;col=7&amp;number=0&amp;sourceID=14","0")</f>
        <v>0</v>
      </c>
    </row>
    <row r="1108" spans="1:7">
      <c r="A1108" s="3">
        <v>14</v>
      </c>
      <c r="B1108" s="3">
        <v>4</v>
      </c>
      <c r="C1108" s="3">
        <v>44</v>
      </c>
      <c r="D1108" s="3">
        <v>18</v>
      </c>
      <c r="E1108" s="3">
        <v>-408.695</v>
      </c>
      <c r="F1108" s="4" t="str">
        <f>HYPERLINK("http://141.218.60.56/~jnz1568/getInfo.php?workbook=14_04.xlsx&amp;sheet=A0&amp;row=1108&amp;col=6&amp;number=0.3645&amp;sourceID=14","0.3645")</f>
        <v>0.3645</v>
      </c>
      <c r="G1108" s="4" t="str">
        <f>HYPERLINK("http://141.218.60.56/~jnz1568/getInfo.php?workbook=14_04.xlsx&amp;sheet=A0&amp;row=1108&amp;col=7&amp;number=0&amp;sourceID=14","0")</f>
        <v>0</v>
      </c>
    </row>
    <row r="1109" spans="1:7">
      <c r="A1109" s="3">
        <v>14</v>
      </c>
      <c r="B1109" s="3">
        <v>4</v>
      </c>
      <c r="C1109" s="3">
        <v>45</v>
      </c>
      <c r="D1109" s="3">
        <v>18</v>
      </c>
      <c r="E1109" s="3">
        <v>398.782</v>
      </c>
      <c r="F1109" s="4" t="str">
        <f>HYPERLINK("http://141.218.60.56/~jnz1568/getInfo.php?workbook=14_04.xlsx&amp;sheet=A0&amp;row=1109&amp;col=6&amp;number=157300&amp;sourceID=14","157300")</f>
        <v>157300</v>
      </c>
      <c r="G1109" s="4" t="str">
        <f>HYPERLINK("http://141.218.60.56/~jnz1568/getInfo.php?workbook=14_04.xlsx&amp;sheet=A0&amp;row=1109&amp;col=7&amp;number=0&amp;sourceID=14","0")</f>
        <v>0</v>
      </c>
    </row>
    <row r="1110" spans="1:7">
      <c r="A1110" s="3">
        <v>14</v>
      </c>
      <c r="B1110" s="3">
        <v>4</v>
      </c>
      <c r="C1110" s="3">
        <v>46</v>
      </c>
      <c r="D1110" s="3">
        <v>18</v>
      </c>
      <c r="E1110" s="3">
        <v>397.358</v>
      </c>
      <c r="F1110" s="4" t="str">
        <f>HYPERLINK("http://141.218.60.56/~jnz1568/getInfo.php?workbook=14_04.xlsx&amp;sheet=A0&amp;row=1110&amp;col=6&amp;number=14020000&amp;sourceID=14","14020000")</f>
        <v>14020000</v>
      </c>
      <c r="G1110" s="4" t="str">
        <f>HYPERLINK("http://141.218.60.56/~jnz1568/getInfo.php?workbook=14_04.xlsx&amp;sheet=A0&amp;row=1110&amp;col=7&amp;number=0&amp;sourceID=14","0")</f>
        <v>0</v>
      </c>
    </row>
    <row r="1111" spans="1:7">
      <c r="A1111" s="3">
        <v>14</v>
      </c>
      <c r="B1111" s="3">
        <v>4</v>
      </c>
      <c r="C1111" s="3">
        <v>47</v>
      </c>
      <c r="D1111" s="3">
        <v>18</v>
      </c>
      <c r="E1111" s="3">
        <v>165.378</v>
      </c>
      <c r="F1111" s="4" t="str">
        <f>HYPERLINK("http://141.218.60.56/~jnz1568/getInfo.php?workbook=14_04.xlsx&amp;sheet=A0&amp;row=1111&amp;col=6&amp;number=701200&amp;sourceID=14","701200")</f>
        <v>701200</v>
      </c>
      <c r="G1111" s="4" t="str">
        <f>HYPERLINK("http://141.218.60.56/~jnz1568/getInfo.php?workbook=14_04.xlsx&amp;sheet=A0&amp;row=1111&amp;col=7&amp;number=0&amp;sourceID=14","0")</f>
        <v>0</v>
      </c>
    </row>
    <row r="1112" spans="1:7">
      <c r="A1112" s="3">
        <v>14</v>
      </c>
      <c r="B1112" s="3">
        <v>4</v>
      </c>
      <c r="C1112" s="3">
        <v>48</v>
      </c>
      <c r="D1112" s="3">
        <v>18</v>
      </c>
      <c r="E1112" s="3">
        <v>165.01</v>
      </c>
      <c r="F1112" s="4" t="str">
        <f>HYPERLINK("http://141.218.60.56/~jnz1568/getInfo.php?workbook=14_04.xlsx&amp;sheet=A0&amp;row=1112&amp;col=6&amp;number=112.9&amp;sourceID=14","112.9")</f>
        <v>112.9</v>
      </c>
      <c r="G1112" s="4" t="str">
        <f>HYPERLINK("http://141.218.60.56/~jnz1568/getInfo.php?workbook=14_04.xlsx&amp;sheet=A0&amp;row=1112&amp;col=7&amp;number=0&amp;sourceID=14","0")</f>
        <v>0</v>
      </c>
    </row>
    <row r="1113" spans="1:7">
      <c r="A1113" s="3">
        <v>14</v>
      </c>
      <c r="B1113" s="3">
        <v>4</v>
      </c>
      <c r="C1113" s="3">
        <v>50</v>
      </c>
      <c r="D1113" s="3">
        <v>18</v>
      </c>
      <c r="E1113" s="3">
        <v>152.969</v>
      </c>
      <c r="F1113" s="4" t="str">
        <f>HYPERLINK("http://141.218.60.56/~jnz1568/getInfo.php?workbook=14_04.xlsx&amp;sheet=A0&amp;row=1113&amp;col=6&amp;number=5352000000&amp;sourceID=14","5352000000")</f>
        <v>5352000000</v>
      </c>
      <c r="G1113" s="4" t="str">
        <f>HYPERLINK("http://141.218.60.56/~jnz1568/getInfo.php?workbook=14_04.xlsx&amp;sheet=A0&amp;row=1113&amp;col=7&amp;number=0&amp;sourceID=14","0")</f>
        <v>0</v>
      </c>
    </row>
    <row r="1114" spans="1:7">
      <c r="A1114" s="3">
        <v>14</v>
      </c>
      <c r="B1114" s="3">
        <v>4</v>
      </c>
      <c r="C1114" s="3">
        <v>51</v>
      </c>
      <c r="D1114" s="3">
        <v>18</v>
      </c>
      <c r="E1114" s="3">
        <v>152.802</v>
      </c>
      <c r="F1114" s="4" t="str">
        <f>HYPERLINK("http://141.218.60.56/~jnz1568/getInfo.php?workbook=14_04.xlsx&amp;sheet=A0&amp;row=1114&amp;col=6&amp;number=1069000000&amp;sourceID=14","1069000000")</f>
        <v>1069000000</v>
      </c>
      <c r="G1114" s="4" t="str">
        <f>HYPERLINK("http://141.218.60.56/~jnz1568/getInfo.php?workbook=14_04.xlsx&amp;sheet=A0&amp;row=1114&amp;col=7&amp;number=0&amp;sourceID=14","0")</f>
        <v>0</v>
      </c>
    </row>
    <row r="1115" spans="1:7">
      <c r="A1115" s="3">
        <v>14</v>
      </c>
      <c r="B1115" s="3">
        <v>4</v>
      </c>
      <c r="C1115" s="3">
        <v>52</v>
      </c>
      <c r="D1115" s="3">
        <v>18</v>
      </c>
      <c r="E1115" s="3">
        <v>153.79</v>
      </c>
      <c r="F1115" s="4" t="str">
        <f>HYPERLINK("http://141.218.60.56/~jnz1568/getInfo.php?workbook=14_04.xlsx&amp;sheet=A0&amp;row=1115&amp;col=6&amp;number=54600000&amp;sourceID=14","54600000")</f>
        <v>54600000</v>
      </c>
      <c r="G1115" s="4" t="str">
        <f>HYPERLINK("http://141.218.60.56/~jnz1568/getInfo.php?workbook=14_04.xlsx&amp;sheet=A0&amp;row=1115&amp;col=7&amp;number=0&amp;sourceID=14","0")</f>
        <v>0</v>
      </c>
    </row>
    <row r="1116" spans="1:7">
      <c r="A1116" s="3">
        <v>14</v>
      </c>
      <c r="B1116" s="3">
        <v>4</v>
      </c>
      <c r="C1116" s="3">
        <v>53</v>
      </c>
      <c r="D1116" s="3">
        <v>18</v>
      </c>
      <c r="E1116" s="3">
        <v>150.098</v>
      </c>
      <c r="F1116" s="4" t="str">
        <f>HYPERLINK("http://141.218.60.56/~jnz1568/getInfo.php?workbook=14_04.xlsx&amp;sheet=A0&amp;row=1116&amp;col=6&amp;number=1285000&amp;sourceID=14","1285000")</f>
        <v>1285000</v>
      </c>
      <c r="G1116" s="4" t="str">
        <f>HYPERLINK("http://141.218.60.56/~jnz1568/getInfo.php?workbook=14_04.xlsx&amp;sheet=A0&amp;row=1116&amp;col=7&amp;number=0&amp;sourceID=14","0")</f>
        <v>0</v>
      </c>
    </row>
    <row r="1117" spans="1:7">
      <c r="A1117" s="3">
        <v>14</v>
      </c>
      <c r="B1117" s="3">
        <v>4</v>
      </c>
      <c r="C1117" s="3">
        <v>54</v>
      </c>
      <c r="D1117" s="3">
        <v>18</v>
      </c>
      <c r="E1117" s="3">
        <v>150.105</v>
      </c>
      <c r="F1117" s="4" t="str">
        <f>HYPERLINK("http://141.218.60.56/~jnz1568/getInfo.php?workbook=14_04.xlsx&amp;sheet=A0&amp;row=1117&amp;col=6&amp;number=550600&amp;sourceID=14","550600")</f>
        <v>550600</v>
      </c>
      <c r="G1117" s="4" t="str">
        <f>HYPERLINK("http://141.218.60.56/~jnz1568/getInfo.php?workbook=14_04.xlsx&amp;sheet=A0&amp;row=1117&amp;col=7&amp;number=0&amp;sourceID=14","0")</f>
        <v>0</v>
      </c>
    </row>
    <row r="1118" spans="1:7">
      <c r="A1118" s="3">
        <v>14</v>
      </c>
      <c r="B1118" s="3">
        <v>4</v>
      </c>
      <c r="C1118" s="3">
        <v>55</v>
      </c>
      <c r="D1118" s="3">
        <v>18</v>
      </c>
      <c r="E1118" s="3">
        <v>149.919</v>
      </c>
      <c r="F1118" s="4" t="str">
        <f>HYPERLINK("http://141.218.60.56/~jnz1568/getInfo.php?workbook=14_04.xlsx&amp;sheet=A0&amp;row=1118&amp;col=6&amp;number=632200&amp;sourceID=14","632200")</f>
        <v>632200</v>
      </c>
      <c r="G1118" s="4" t="str">
        <f>HYPERLINK("http://141.218.60.56/~jnz1568/getInfo.php?workbook=14_04.xlsx&amp;sheet=A0&amp;row=1118&amp;col=7&amp;number=0&amp;sourceID=14","0")</f>
        <v>0</v>
      </c>
    </row>
    <row r="1119" spans="1:7">
      <c r="A1119" s="3">
        <v>14</v>
      </c>
      <c r="B1119" s="3">
        <v>4</v>
      </c>
      <c r="C1119" s="3">
        <v>56</v>
      </c>
      <c r="D1119" s="3">
        <v>18</v>
      </c>
      <c r="E1119" s="3">
        <v>147.545</v>
      </c>
      <c r="F1119" s="4" t="str">
        <f>HYPERLINK("http://141.218.60.56/~jnz1568/getInfo.php?workbook=14_04.xlsx&amp;sheet=A0&amp;row=1119&amp;col=6&amp;number=13.57&amp;sourceID=14","13.57")</f>
        <v>13.57</v>
      </c>
      <c r="G1119" s="4" t="str">
        <f>HYPERLINK("http://141.218.60.56/~jnz1568/getInfo.php?workbook=14_04.xlsx&amp;sheet=A0&amp;row=1119&amp;col=7&amp;number=0&amp;sourceID=14","0")</f>
        <v>0</v>
      </c>
    </row>
    <row r="1120" spans="1:7">
      <c r="A1120" s="3">
        <v>14</v>
      </c>
      <c r="B1120" s="3">
        <v>4</v>
      </c>
      <c r="C1120" s="3">
        <v>58</v>
      </c>
      <c r="D1120" s="3">
        <v>18</v>
      </c>
      <c r="E1120" s="3">
        <v>-122.059</v>
      </c>
      <c r="F1120" s="4" t="str">
        <f>HYPERLINK("http://141.218.60.56/~jnz1568/getInfo.php?workbook=14_04.xlsx&amp;sheet=A0&amp;row=1120&amp;col=6&amp;number=157000000&amp;sourceID=14","157000000")</f>
        <v>157000000</v>
      </c>
      <c r="G1120" s="4" t="str">
        <f>HYPERLINK("http://141.218.60.56/~jnz1568/getInfo.php?workbook=14_04.xlsx&amp;sheet=A0&amp;row=1120&amp;col=7&amp;number=0&amp;sourceID=14","0")</f>
        <v>0</v>
      </c>
    </row>
    <row r="1121" spans="1:7">
      <c r="A1121" s="3">
        <v>14</v>
      </c>
      <c r="B1121" s="3">
        <v>4</v>
      </c>
      <c r="C1121" s="3">
        <v>59</v>
      </c>
      <c r="D1121" s="3">
        <v>18</v>
      </c>
      <c r="E1121" s="3">
        <v>122.382</v>
      </c>
      <c r="F1121" s="4" t="str">
        <f>HYPERLINK("http://141.218.60.56/~jnz1568/getInfo.php?workbook=14_04.xlsx&amp;sheet=A0&amp;row=1121&amp;col=6&amp;number=27940000&amp;sourceID=14","27940000")</f>
        <v>27940000</v>
      </c>
      <c r="G1121" s="4" t="str">
        <f>HYPERLINK("http://141.218.60.56/~jnz1568/getInfo.php?workbook=14_04.xlsx&amp;sheet=A0&amp;row=1121&amp;col=7&amp;number=0&amp;sourceID=14","0")</f>
        <v>0</v>
      </c>
    </row>
    <row r="1122" spans="1:7">
      <c r="A1122" s="3">
        <v>14</v>
      </c>
      <c r="B1122" s="3">
        <v>4</v>
      </c>
      <c r="C1122" s="3">
        <v>60</v>
      </c>
      <c r="D1122" s="3">
        <v>18</v>
      </c>
      <c r="E1122" s="3">
        <v>-120.172</v>
      </c>
      <c r="F1122" s="4" t="str">
        <f>HYPERLINK("http://141.218.60.56/~jnz1568/getInfo.php?workbook=14_04.xlsx&amp;sheet=A0&amp;row=1122&amp;col=6&amp;number=14390000&amp;sourceID=14","14390000")</f>
        <v>14390000</v>
      </c>
      <c r="G1122" s="4" t="str">
        <f>HYPERLINK("http://141.218.60.56/~jnz1568/getInfo.php?workbook=14_04.xlsx&amp;sheet=A0&amp;row=1122&amp;col=7&amp;number=0&amp;sourceID=14","0")</f>
        <v>0</v>
      </c>
    </row>
    <row r="1123" spans="1:7">
      <c r="A1123" s="3">
        <v>14</v>
      </c>
      <c r="B1123" s="3">
        <v>4</v>
      </c>
      <c r="C1123" s="3">
        <v>61</v>
      </c>
      <c r="D1123" s="3">
        <v>18</v>
      </c>
      <c r="E1123" s="3">
        <v>-118.473</v>
      </c>
      <c r="F1123" s="4" t="str">
        <f>HYPERLINK("http://141.218.60.56/~jnz1568/getInfo.php?workbook=14_04.xlsx&amp;sheet=A0&amp;row=1123&amp;col=6&amp;number=44.48&amp;sourceID=14","44.48")</f>
        <v>44.48</v>
      </c>
      <c r="G1123" s="4" t="str">
        <f>HYPERLINK("http://141.218.60.56/~jnz1568/getInfo.php?workbook=14_04.xlsx&amp;sheet=A0&amp;row=1123&amp;col=7&amp;number=0&amp;sourceID=14","0")</f>
        <v>0</v>
      </c>
    </row>
    <row r="1124" spans="1:7">
      <c r="A1124" s="3">
        <v>14</v>
      </c>
      <c r="B1124" s="3">
        <v>4</v>
      </c>
      <c r="C1124" s="3">
        <v>62</v>
      </c>
      <c r="D1124" s="3">
        <v>18</v>
      </c>
      <c r="E1124" s="3">
        <v>-119.091</v>
      </c>
      <c r="F1124" s="4" t="str">
        <f>HYPERLINK("http://141.218.60.56/~jnz1568/getInfo.php?workbook=14_04.xlsx&amp;sheet=A0&amp;row=1124&amp;col=6&amp;number=13150&amp;sourceID=14","13150")</f>
        <v>13150</v>
      </c>
      <c r="G1124" s="4" t="str">
        <f>HYPERLINK("http://141.218.60.56/~jnz1568/getInfo.php?workbook=14_04.xlsx&amp;sheet=A0&amp;row=1124&amp;col=7&amp;number=0&amp;sourceID=14","0")</f>
        <v>0</v>
      </c>
    </row>
    <row r="1125" spans="1:7">
      <c r="A1125" s="3">
        <v>14</v>
      </c>
      <c r="B1125" s="3">
        <v>4</v>
      </c>
      <c r="C1125" s="3">
        <v>63</v>
      </c>
      <c r="D1125" s="3">
        <v>18</v>
      </c>
      <c r="E1125" s="3">
        <v>-118.438</v>
      </c>
      <c r="F1125" s="4" t="str">
        <f>HYPERLINK("http://141.218.60.56/~jnz1568/getInfo.php?workbook=14_04.xlsx&amp;sheet=A0&amp;row=1125&amp;col=6&amp;number=11270&amp;sourceID=14","11270")</f>
        <v>11270</v>
      </c>
      <c r="G1125" s="4" t="str">
        <f>HYPERLINK("http://141.218.60.56/~jnz1568/getInfo.php?workbook=14_04.xlsx&amp;sheet=A0&amp;row=1125&amp;col=7&amp;number=0&amp;sourceID=14","0")</f>
        <v>0</v>
      </c>
    </row>
    <row r="1126" spans="1:7">
      <c r="A1126" s="3">
        <v>14</v>
      </c>
      <c r="B1126" s="3">
        <v>4</v>
      </c>
      <c r="C1126" s="3">
        <v>64</v>
      </c>
      <c r="D1126" s="3">
        <v>18</v>
      </c>
      <c r="E1126" s="3">
        <v>-117.681</v>
      </c>
      <c r="F1126" s="4" t="str">
        <f>HYPERLINK("http://141.218.60.56/~jnz1568/getInfo.php?workbook=14_04.xlsx&amp;sheet=A0&amp;row=1126&amp;col=6&amp;number=6809&amp;sourceID=14","6809")</f>
        <v>6809</v>
      </c>
      <c r="G1126" s="4" t="str">
        <f>HYPERLINK("http://141.218.60.56/~jnz1568/getInfo.php?workbook=14_04.xlsx&amp;sheet=A0&amp;row=1126&amp;col=7&amp;number=0&amp;sourceID=14","0")</f>
        <v>0</v>
      </c>
    </row>
    <row r="1127" spans="1:7">
      <c r="A1127" s="3">
        <v>14</v>
      </c>
      <c r="B1127" s="3">
        <v>4</v>
      </c>
      <c r="C1127" s="3">
        <v>65</v>
      </c>
      <c r="D1127" s="3">
        <v>18</v>
      </c>
      <c r="E1127" s="3">
        <v>-117.436</v>
      </c>
      <c r="F1127" s="4" t="str">
        <f>HYPERLINK("http://141.218.60.56/~jnz1568/getInfo.php?workbook=14_04.xlsx&amp;sheet=A0&amp;row=1127&amp;col=6&amp;number=48420&amp;sourceID=14","48420")</f>
        <v>48420</v>
      </c>
      <c r="G1127" s="4" t="str">
        <f>HYPERLINK("http://141.218.60.56/~jnz1568/getInfo.php?workbook=14_04.xlsx&amp;sheet=A0&amp;row=1127&amp;col=7&amp;number=0&amp;sourceID=14","0")</f>
        <v>0</v>
      </c>
    </row>
    <row r="1128" spans="1:7">
      <c r="A1128" s="3">
        <v>14</v>
      </c>
      <c r="B1128" s="3">
        <v>4</v>
      </c>
      <c r="C1128" s="3">
        <v>66</v>
      </c>
      <c r="D1128" s="3">
        <v>18</v>
      </c>
      <c r="E1128" s="3">
        <v>-117.457</v>
      </c>
      <c r="F1128" s="4" t="str">
        <f>HYPERLINK("http://141.218.60.56/~jnz1568/getInfo.php?workbook=14_04.xlsx&amp;sheet=A0&amp;row=1128&amp;col=6&amp;number=71480&amp;sourceID=14","71480")</f>
        <v>71480</v>
      </c>
      <c r="G1128" s="4" t="str">
        <f>HYPERLINK("http://141.218.60.56/~jnz1568/getInfo.php?workbook=14_04.xlsx&amp;sheet=A0&amp;row=1128&amp;col=7&amp;number=0&amp;sourceID=14","0")</f>
        <v>0</v>
      </c>
    </row>
    <row r="1129" spans="1:7">
      <c r="A1129" s="3">
        <v>14</v>
      </c>
      <c r="B1129" s="3">
        <v>4</v>
      </c>
      <c r="C1129" s="3">
        <v>67</v>
      </c>
      <c r="D1129" s="3">
        <v>18</v>
      </c>
      <c r="E1129" s="3">
        <v>-116.836</v>
      </c>
      <c r="F1129" s="4" t="str">
        <f>HYPERLINK("http://141.218.60.56/~jnz1568/getInfo.php?workbook=14_04.xlsx&amp;sheet=A0&amp;row=1129&amp;col=6&amp;number=2979&amp;sourceID=14","2979")</f>
        <v>2979</v>
      </c>
      <c r="G1129" s="4" t="str">
        <f>HYPERLINK("http://141.218.60.56/~jnz1568/getInfo.php?workbook=14_04.xlsx&amp;sheet=A0&amp;row=1129&amp;col=7&amp;number=0&amp;sourceID=14","0")</f>
        <v>0</v>
      </c>
    </row>
    <row r="1130" spans="1:7">
      <c r="A1130" s="3">
        <v>14</v>
      </c>
      <c r="B1130" s="3">
        <v>4</v>
      </c>
      <c r="C1130" s="3">
        <v>68</v>
      </c>
      <c r="D1130" s="3">
        <v>18</v>
      </c>
      <c r="E1130" s="3">
        <v>-116.728</v>
      </c>
      <c r="F1130" s="4" t="str">
        <f>HYPERLINK("http://141.218.60.56/~jnz1568/getInfo.php?workbook=14_04.xlsx&amp;sheet=A0&amp;row=1130&amp;col=6&amp;number=17830&amp;sourceID=14","17830")</f>
        <v>17830</v>
      </c>
      <c r="G1130" s="4" t="str">
        <f>HYPERLINK("http://141.218.60.56/~jnz1568/getInfo.php?workbook=14_04.xlsx&amp;sheet=A0&amp;row=1130&amp;col=7&amp;number=0&amp;sourceID=14","0")</f>
        <v>0</v>
      </c>
    </row>
    <row r="1131" spans="1:7">
      <c r="A1131" s="3">
        <v>14</v>
      </c>
      <c r="B1131" s="3">
        <v>4</v>
      </c>
      <c r="C1131" s="3">
        <v>69</v>
      </c>
      <c r="D1131" s="3">
        <v>18</v>
      </c>
      <c r="E1131" s="3">
        <v>-116.617</v>
      </c>
      <c r="F1131" s="4" t="str">
        <f>HYPERLINK("http://141.218.60.56/~jnz1568/getInfo.php?workbook=14_04.xlsx&amp;sheet=A0&amp;row=1131&amp;col=6&amp;number=70570000&amp;sourceID=14","70570000")</f>
        <v>70570000</v>
      </c>
      <c r="G1131" s="4" t="str">
        <f>HYPERLINK("http://141.218.60.56/~jnz1568/getInfo.php?workbook=14_04.xlsx&amp;sheet=A0&amp;row=1131&amp;col=7&amp;number=0&amp;sourceID=14","0")</f>
        <v>0</v>
      </c>
    </row>
    <row r="1132" spans="1:7">
      <c r="A1132" s="3">
        <v>14</v>
      </c>
      <c r="B1132" s="3">
        <v>4</v>
      </c>
      <c r="C1132" s="3">
        <v>70</v>
      </c>
      <c r="D1132" s="3">
        <v>18</v>
      </c>
      <c r="E1132" s="3">
        <v>-116.152</v>
      </c>
      <c r="F1132" s="4" t="str">
        <f>HYPERLINK("http://141.218.60.56/~jnz1568/getInfo.php?workbook=14_04.xlsx&amp;sheet=A0&amp;row=1132&amp;col=6&amp;number=553300000&amp;sourceID=14","553300000")</f>
        <v>553300000</v>
      </c>
      <c r="G1132" s="4" t="str">
        <f>HYPERLINK("http://141.218.60.56/~jnz1568/getInfo.php?workbook=14_04.xlsx&amp;sheet=A0&amp;row=1132&amp;col=7&amp;number=0&amp;sourceID=14","0")</f>
        <v>0</v>
      </c>
    </row>
    <row r="1133" spans="1:7">
      <c r="A1133" s="3">
        <v>14</v>
      </c>
      <c r="B1133" s="3">
        <v>4</v>
      </c>
      <c r="C1133" s="3">
        <v>71</v>
      </c>
      <c r="D1133" s="3">
        <v>18</v>
      </c>
      <c r="E1133" s="3">
        <v>-115.962</v>
      </c>
      <c r="F1133" s="4" t="str">
        <f>HYPERLINK("http://141.218.60.56/~jnz1568/getInfo.php?workbook=14_04.xlsx&amp;sheet=A0&amp;row=1133&amp;col=6&amp;number=10820000&amp;sourceID=14","10820000")</f>
        <v>10820000</v>
      </c>
      <c r="G1133" s="4" t="str">
        <f>HYPERLINK("http://141.218.60.56/~jnz1568/getInfo.php?workbook=14_04.xlsx&amp;sheet=A0&amp;row=1133&amp;col=7&amp;number=0&amp;sourceID=14","0")</f>
        <v>0</v>
      </c>
    </row>
    <row r="1134" spans="1:7">
      <c r="A1134" s="3">
        <v>14</v>
      </c>
      <c r="B1134" s="3">
        <v>4</v>
      </c>
      <c r="C1134" s="3">
        <v>72</v>
      </c>
      <c r="D1134" s="3">
        <v>18</v>
      </c>
      <c r="E1134" s="3">
        <v>-115.67</v>
      </c>
      <c r="F1134" s="4" t="str">
        <f>HYPERLINK("http://141.218.60.56/~jnz1568/getInfo.php?workbook=14_04.xlsx&amp;sheet=A0&amp;row=1134&amp;col=6&amp;number=1057&amp;sourceID=14","1057")</f>
        <v>1057</v>
      </c>
      <c r="G1134" s="4" t="str">
        <f>HYPERLINK("http://141.218.60.56/~jnz1568/getInfo.php?workbook=14_04.xlsx&amp;sheet=A0&amp;row=1134&amp;col=7&amp;number=0&amp;sourceID=14","0")</f>
        <v>0</v>
      </c>
    </row>
    <row r="1135" spans="1:7">
      <c r="A1135" s="3">
        <v>14</v>
      </c>
      <c r="B1135" s="3">
        <v>4</v>
      </c>
      <c r="C1135" s="3">
        <v>74</v>
      </c>
      <c r="D1135" s="3">
        <v>18</v>
      </c>
      <c r="E1135" s="3">
        <v>-115.293</v>
      </c>
      <c r="F1135" s="4" t="str">
        <f>HYPERLINK("http://141.218.60.56/~jnz1568/getInfo.php?workbook=14_04.xlsx&amp;sheet=A0&amp;row=1135&amp;col=6&amp;number=9232000&amp;sourceID=14","9232000")</f>
        <v>9232000</v>
      </c>
      <c r="G1135" s="4" t="str">
        <f>HYPERLINK("http://141.218.60.56/~jnz1568/getInfo.php?workbook=14_04.xlsx&amp;sheet=A0&amp;row=1135&amp;col=7&amp;number=0&amp;sourceID=14","0")</f>
        <v>0</v>
      </c>
    </row>
    <row r="1136" spans="1:7">
      <c r="A1136" s="3">
        <v>14</v>
      </c>
      <c r="B1136" s="3">
        <v>4</v>
      </c>
      <c r="C1136" s="3">
        <v>75</v>
      </c>
      <c r="D1136" s="3">
        <v>18</v>
      </c>
      <c r="E1136" s="3">
        <v>-115.039</v>
      </c>
      <c r="F1136" s="4" t="str">
        <f>HYPERLINK("http://141.218.60.56/~jnz1568/getInfo.php?workbook=14_04.xlsx&amp;sheet=A0&amp;row=1136&amp;col=6&amp;number=246000000&amp;sourceID=14","246000000")</f>
        <v>246000000</v>
      </c>
      <c r="G1136" s="4" t="str">
        <f>HYPERLINK("http://141.218.60.56/~jnz1568/getInfo.php?workbook=14_04.xlsx&amp;sheet=A0&amp;row=1136&amp;col=7&amp;number=0&amp;sourceID=14","0")</f>
        <v>0</v>
      </c>
    </row>
    <row r="1137" spans="1:7">
      <c r="A1137" s="3">
        <v>14</v>
      </c>
      <c r="B1137" s="3">
        <v>4</v>
      </c>
      <c r="C1137" s="3">
        <v>76</v>
      </c>
      <c r="D1137" s="3">
        <v>18</v>
      </c>
      <c r="E1137" s="3">
        <v>114.642</v>
      </c>
      <c r="F1137" s="4" t="str">
        <f>HYPERLINK("http://141.218.60.56/~jnz1568/getInfo.php?workbook=14_04.xlsx&amp;sheet=A0&amp;row=1137&amp;col=6&amp;number=3568000&amp;sourceID=14","3568000")</f>
        <v>3568000</v>
      </c>
      <c r="G1137" s="4" t="str">
        <f>HYPERLINK("http://141.218.60.56/~jnz1568/getInfo.php?workbook=14_04.xlsx&amp;sheet=A0&amp;row=1137&amp;col=7&amp;number=0&amp;sourceID=14","0")</f>
        <v>0</v>
      </c>
    </row>
    <row r="1138" spans="1:7">
      <c r="A1138" s="3">
        <v>14</v>
      </c>
      <c r="B1138" s="3">
        <v>4</v>
      </c>
      <c r="C1138" s="3">
        <v>77</v>
      </c>
      <c r="D1138" s="3">
        <v>18</v>
      </c>
      <c r="E1138" s="3">
        <v>114.523</v>
      </c>
      <c r="F1138" s="4" t="str">
        <f>HYPERLINK("http://141.218.60.56/~jnz1568/getInfo.php?workbook=14_04.xlsx&amp;sheet=A0&amp;row=1138&amp;col=6&amp;number=8028000&amp;sourceID=14","8028000")</f>
        <v>8028000</v>
      </c>
      <c r="G1138" s="4" t="str">
        <f>HYPERLINK("http://141.218.60.56/~jnz1568/getInfo.php?workbook=14_04.xlsx&amp;sheet=A0&amp;row=1138&amp;col=7&amp;number=0&amp;sourceID=14","0")</f>
        <v>0</v>
      </c>
    </row>
    <row r="1139" spans="1:7">
      <c r="A1139" s="3">
        <v>14</v>
      </c>
      <c r="B1139" s="3">
        <v>4</v>
      </c>
      <c r="C1139" s="3">
        <v>78</v>
      </c>
      <c r="D1139" s="3">
        <v>18</v>
      </c>
      <c r="E1139" s="3">
        <v>-114.262</v>
      </c>
      <c r="F1139" s="4" t="str">
        <f>HYPERLINK("http://141.218.60.56/~jnz1568/getInfo.php?workbook=14_04.xlsx&amp;sheet=A0&amp;row=1139&amp;col=6&amp;number=646200000&amp;sourceID=14","646200000")</f>
        <v>646200000</v>
      </c>
      <c r="G1139" s="4" t="str">
        <f>HYPERLINK("http://141.218.60.56/~jnz1568/getInfo.php?workbook=14_04.xlsx&amp;sheet=A0&amp;row=1139&amp;col=7&amp;number=0&amp;sourceID=14","0")</f>
        <v>0</v>
      </c>
    </row>
    <row r="1140" spans="1:7">
      <c r="A1140" s="3">
        <v>14</v>
      </c>
      <c r="B1140" s="3">
        <v>4</v>
      </c>
      <c r="C1140" s="3">
        <v>80</v>
      </c>
      <c r="D1140" s="3">
        <v>18</v>
      </c>
      <c r="E1140" s="3">
        <v>115.896</v>
      </c>
      <c r="F1140" s="4" t="str">
        <f>HYPERLINK("http://141.218.60.56/~jnz1568/getInfo.php?workbook=14_04.xlsx&amp;sheet=A0&amp;row=1140&amp;col=6&amp;number=1601&amp;sourceID=14","1601")</f>
        <v>1601</v>
      </c>
      <c r="G1140" s="4" t="str">
        <f>HYPERLINK("http://141.218.60.56/~jnz1568/getInfo.php?workbook=14_04.xlsx&amp;sheet=A0&amp;row=1140&amp;col=7&amp;number=0&amp;sourceID=14","0")</f>
        <v>0</v>
      </c>
    </row>
    <row r="1141" spans="1:7">
      <c r="A1141" s="3">
        <v>14</v>
      </c>
      <c r="B1141" s="3">
        <v>4</v>
      </c>
      <c r="C1141" s="3">
        <v>81</v>
      </c>
      <c r="D1141" s="3">
        <v>18</v>
      </c>
      <c r="E1141" s="3">
        <v>113.21</v>
      </c>
      <c r="F1141" s="4" t="str">
        <f>HYPERLINK("http://141.218.60.56/~jnz1568/getInfo.php?workbook=14_04.xlsx&amp;sheet=A0&amp;row=1141&amp;col=6&amp;number=7969000&amp;sourceID=14","7969000")</f>
        <v>7969000</v>
      </c>
      <c r="G1141" s="4" t="str">
        <f>HYPERLINK("http://141.218.60.56/~jnz1568/getInfo.php?workbook=14_04.xlsx&amp;sheet=A0&amp;row=1141&amp;col=7&amp;number=0&amp;sourceID=14","0")</f>
        <v>0</v>
      </c>
    </row>
    <row r="1142" spans="1:7">
      <c r="A1142" s="3">
        <v>14</v>
      </c>
      <c r="B1142" s="3">
        <v>4</v>
      </c>
      <c r="C1142" s="3">
        <v>82</v>
      </c>
      <c r="D1142" s="3">
        <v>18</v>
      </c>
      <c r="E1142" s="3">
        <v>-112.68</v>
      </c>
      <c r="F1142" s="4" t="str">
        <f>HYPERLINK("http://141.218.60.56/~jnz1568/getInfo.php?workbook=14_04.xlsx&amp;sheet=A0&amp;row=1142&amp;col=6&amp;number=3903000&amp;sourceID=14","3903000")</f>
        <v>3903000</v>
      </c>
      <c r="G1142" s="4" t="str">
        <f>HYPERLINK("http://141.218.60.56/~jnz1568/getInfo.php?workbook=14_04.xlsx&amp;sheet=A0&amp;row=1142&amp;col=7&amp;number=0&amp;sourceID=14","0")</f>
        <v>0</v>
      </c>
    </row>
    <row r="1143" spans="1:7">
      <c r="A1143" s="3">
        <v>14</v>
      </c>
      <c r="B1143" s="3">
        <v>4</v>
      </c>
      <c r="C1143" s="3">
        <v>83</v>
      </c>
      <c r="D1143" s="3">
        <v>18</v>
      </c>
      <c r="E1143" s="3">
        <v>-105.442</v>
      </c>
      <c r="F1143" s="4" t="str">
        <f>HYPERLINK("http://141.218.60.56/~jnz1568/getInfo.php?workbook=14_04.xlsx&amp;sheet=A0&amp;row=1143&amp;col=6&amp;number=213100&amp;sourceID=14","213100")</f>
        <v>213100</v>
      </c>
      <c r="G1143" s="4" t="str">
        <f>HYPERLINK("http://141.218.60.56/~jnz1568/getInfo.php?workbook=14_04.xlsx&amp;sheet=A0&amp;row=1143&amp;col=7&amp;number=0&amp;sourceID=14","0")</f>
        <v>0</v>
      </c>
    </row>
    <row r="1144" spans="1:7">
      <c r="A1144" s="3">
        <v>14</v>
      </c>
      <c r="B1144" s="3">
        <v>4</v>
      </c>
      <c r="C1144" s="3">
        <v>84</v>
      </c>
      <c r="D1144" s="3">
        <v>18</v>
      </c>
      <c r="E1144" s="3">
        <v>-104.649</v>
      </c>
      <c r="F1144" s="4" t="str">
        <f>HYPERLINK("http://141.218.60.56/~jnz1568/getInfo.php?workbook=14_04.xlsx&amp;sheet=A0&amp;row=1144&amp;col=6&amp;number=14.79&amp;sourceID=14","14.79")</f>
        <v>14.79</v>
      </c>
      <c r="G1144" s="4" t="str">
        <f>HYPERLINK("http://141.218.60.56/~jnz1568/getInfo.php?workbook=14_04.xlsx&amp;sheet=A0&amp;row=1144&amp;col=7&amp;number=0&amp;sourceID=14","0")</f>
        <v>0</v>
      </c>
    </row>
    <row r="1145" spans="1:7">
      <c r="A1145" s="3">
        <v>14</v>
      </c>
      <c r="B1145" s="3">
        <v>4</v>
      </c>
      <c r="C1145" s="3">
        <v>86</v>
      </c>
      <c r="D1145" s="3">
        <v>18</v>
      </c>
      <c r="E1145" s="3">
        <v>-103.839</v>
      </c>
      <c r="F1145" s="4" t="str">
        <f>HYPERLINK("http://141.218.60.56/~jnz1568/getInfo.php?workbook=14_04.xlsx&amp;sheet=A0&amp;row=1145&amp;col=6&amp;number=1446000000&amp;sourceID=14","1446000000")</f>
        <v>1446000000</v>
      </c>
      <c r="G1145" s="4" t="str">
        <f>HYPERLINK("http://141.218.60.56/~jnz1568/getInfo.php?workbook=14_04.xlsx&amp;sheet=A0&amp;row=1145&amp;col=7&amp;number=0&amp;sourceID=14","0")</f>
        <v>0</v>
      </c>
    </row>
    <row r="1146" spans="1:7">
      <c r="A1146" s="3">
        <v>14</v>
      </c>
      <c r="B1146" s="3">
        <v>4</v>
      </c>
      <c r="C1146" s="3">
        <v>87</v>
      </c>
      <c r="D1146" s="3">
        <v>18</v>
      </c>
      <c r="E1146" s="3">
        <v>103.341</v>
      </c>
      <c r="F1146" s="4" t="str">
        <f>HYPERLINK("http://141.218.60.56/~jnz1568/getInfo.php?workbook=14_04.xlsx&amp;sheet=A0&amp;row=1146&amp;col=6&amp;number=292100000&amp;sourceID=14","292100000")</f>
        <v>292100000</v>
      </c>
      <c r="G1146" s="4" t="str">
        <f>HYPERLINK("http://141.218.60.56/~jnz1568/getInfo.php?workbook=14_04.xlsx&amp;sheet=A0&amp;row=1146&amp;col=7&amp;number=0&amp;sourceID=14","0")</f>
        <v>0</v>
      </c>
    </row>
    <row r="1147" spans="1:7">
      <c r="A1147" s="3">
        <v>14</v>
      </c>
      <c r="B1147" s="3">
        <v>4</v>
      </c>
      <c r="C1147" s="3">
        <v>88</v>
      </c>
      <c r="D1147" s="3">
        <v>18</v>
      </c>
      <c r="E1147" s="3">
        <v>-103.532</v>
      </c>
      <c r="F1147" s="4" t="str">
        <f>HYPERLINK("http://141.218.60.56/~jnz1568/getInfo.php?workbook=14_04.xlsx&amp;sheet=A0&amp;row=1147&amp;col=6&amp;number=5515000&amp;sourceID=14","5515000")</f>
        <v>5515000</v>
      </c>
      <c r="G1147" s="4" t="str">
        <f>HYPERLINK("http://141.218.60.56/~jnz1568/getInfo.php?workbook=14_04.xlsx&amp;sheet=A0&amp;row=1147&amp;col=7&amp;number=0&amp;sourceID=14","0")</f>
        <v>0</v>
      </c>
    </row>
    <row r="1148" spans="1:7">
      <c r="A1148" s="3">
        <v>14</v>
      </c>
      <c r="B1148" s="3">
        <v>4</v>
      </c>
      <c r="C1148" s="3">
        <v>89</v>
      </c>
      <c r="D1148" s="3">
        <v>18</v>
      </c>
      <c r="E1148" s="3">
        <v>-102.935</v>
      </c>
      <c r="F1148" s="4" t="str">
        <f>HYPERLINK("http://141.218.60.56/~jnz1568/getInfo.php?workbook=14_04.xlsx&amp;sheet=A0&amp;row=1148&amp;col=6&amp;number=431100&amp;sourceID=14","431100")</f>
        <v>431100</v>
      </c>
      <c r="G1148" s="4" t="str">
        <f>HYPERLINK("http://141.218.60.56/~jnz1568/getInfo.php?workbook=14_04.xlsx&amp;sheet=A0&amp;row=1148&amp;col=7&amp;number=0&amp;sourceID=14","0")</f>
        <v>0</v>
      </c>
    </row>
    <row r="1149" spans="1:7">
      <c r="A1149" s="3">
        <v>14</v>
      </c>
      <c r="B1149" s="3">
        <v>4</v>
      </c>
      <c r="C1149" s="3">
        <v>90</v>
      </c>
      <c r="D1149" s="3">
        <v>18</v>
      </c>
      <c r="E1149" s="3">
        <v>102.855</v>
      </c>
      <c r="F1149" s="4" t="str">
        <f>HYPERLINK("http://141.218.60.56/~jnz1568/getInfo.php?workbook=14_04.xlsx&amp;sheet=A0&amp;row=1149&amp;col=6&amp;number=185600&amp;sourceID=14","185600")</f>
        <v>185600</v>
      </c>
      <c r="G1149" s="4" t="str">
        <f>HYPERLINK("http://141.218.60.56/~jnz1568/getInfo.php?workbook=14_04.xlsx&amp;sheet=A0&amp;row=1149&amp;col=7&amp;number=0&amp;sourceID=14","0")</f>
        <v>0</v>
      </c>
    </row>
    <row r="1150" spans="1:7">
      <c r="A1150" s="3">
        <v>14</v>
      </c>
      <c r="B1150" s="3">
        <v>4</v>
      </c>
      <c r="C1150" s="3">
        <v>91</v>
      </c>
      <c r="D1150" s="3">
        <v>18</v>
      </c>
      <c r="E1150" s="3">
        <v>102.863</v>
      </c>
      <c r="F1150" s="4" t="str">
        <f>HYPERLINK("http://141.218.60.56/~jnz1568/getInfo.php?workbook=14_04.xlsx&amp;sheet=A0&amp;row=1150&amp;col=6&amp;number=212400&amp;sourceID=14","212400")</f>
        <v>212400</v>
      </c>
      <c r="G1150" s="4" t="str">
        <f>HYPERLINK("http://141.218.60.56/~jnz1568/getInfo.php?workbook=14_04.xlsx&amp;sheet=A0&amp;row=1150&amp;col=7&amp;number=0&amp;sourceID=14","0")</f>
        <v>0</v>
      </c>
    </row>
    <row r="1151" spans="1:7">
      <c r="A1151" s="3">
        <v>14</v>
      </c>
      <c r="B1151" s="3">
        <v>4</v>
      </c>
      <c r="C1151" s="3">
        <v>92</v>
      </c>
      <c r="D1151" s="3">
        <v>18</v>
      </c>
      <c r="E1151" s="3">
        <v>102.449</v>
      </c>
      <c r="F1151" s="4" t="str">
        <f>HYPERLINK("http://141.218.60.56/~jnz1568/getInfo.php?workbook=14_04.xlsx&amp;sheet=A0&amp;row=1151&amp;col=6&amp;number=0.9535&amp;sourceID=14","0.9535")</f>
        <v>0.9535</v>
      </c>
      <c r="G1151" s="4" t="str">
        <f>HYPERLINK("http://141.218.60.56/~jnz1568/getInfo.php?workbook=14_04.xlsx&amp;sheet=A0&amp;row=1151&amp;col=7&amp;number=0&amp;sourceID=14","0")</f>
        <v>0</v>
      </c>
    </row>
    <row r="1152" spans="1:7">
      <c r="A1152" s="3">
        <v>14</v>
      </c>
      <c r="B1152" s="3">
        <v>4</v>
      </c>
      <c r="C1152" s="3">
        <v>20</v>
      </c>
      <c r="D1152" s="3">
        <v>19</v>
      </c>
      <c r="E1152" s="3">
        <v>3280.523</v>
      </c>
      <c r="F1152" s="4" t="str">
        <f>HYPERLINK("http://141.218.60.56/~jnz1568/getInfo.php?workbook=14_04.xlsx&amp;sheet=A0&amp;row=1152&amp;col=6&amp;number=0.04892&amp;sourceID=14","0.04892")</f>
        <v>0.04892</v>
      </c>
      <c r="G1152" s="4" t="str">
        <f>HYPERLINK("http://141.218.60.56/~jnz1568/getInfo.php?workbook=14_04.xlsx&amp;sheet=A0&amp;row=1152&amp;col=7&amp;number=0&amp;sourceID=14","0")</f>
        <v>0</v>
      </c>
    </row>
    <row r="1153" spans="1:7">
      <c r="A1153" s="3">
        <v>14</v>
      </c>
      <c r="B1153" s="3">
        <v>4</v>
      </c>
      <c r="C1153" s="3">
        <v>23</v>
      </c>
      <c r="D1153" s="3">
        <v>19</v>
      </c>
      <c r="E1153" s="3">
        <v>-999.395</v>
      </c>
      <c r="F1153" s="4" t="str">
        <f>HYPERLINK("http://141.218.60.56/~jnz1568/getInfo.php?workbook=14_04.xlsx&amp;sheet=A0&amp;row=1153&amp;col=6&amp;number=14350000&amp;sourceID=14","14350000")</f>
        <v>14350000</v>
      </c>
      <c r="G1153" s="4" t="str">
        <f>HYPERLINK("http://141.218.60.56/~jnz1568/getInfo.php?workbook=14_04.xlsx&amp;sheet=A0&amp;row=1153&amp;col=7&amp;number=0&amp;sourceID=14","0")</f>
        <v>0</v>
      </c>
    </row>
    <row r="1154" spans="1:7">
      <c r="A1154" s="3">
        <v>14</v>
      </c>
      <c r="B1154" s="3">
        <v>4</v>
      </c>
      <c r="C1154" s="3">
        <v>25</v>
      </c>
      <c r="D1154" s="3">
        <v>19</v>
      </c>
      <c r="E1154" s="3">
        <v>-713.064</v>
      </c>
      <c r="F1154" s="4" t="str">
        <f>HYPERLINK("http://141.218.60.56/~jnz1568/getInfo.php?workbook=14_04.xlsx&amp;sheet=A0&amp;row=1154&amp;col=6&amp;number=0.09337&amp;sourceID=14","0.09337")</f>
        <v>0.09337</v>
      </c>
      <c r="G1154" s="4" t="str">
        <f>HYPERLINK("http://141.218.60.56/~jnz1568/getInfo.php?workbook=14_04.xlsx&amp;sheet=A0&amp;row=1154&amp;col=7&amp;number=0&amp;sourceID=14","0")</f>
        <v>0</v>
      </c>
    </row>
    <row r="1155" spans="1:7">
      <c r="A1155" s="3">
        <v>14</v>
      </c>
      <c r="B1155" s="3">
        <v>4</v>
      </c>
      <c r="C1155" s="3">
        <v>26</v>
      </c>
      <c r="D1155" s="3">
        <v>19</v>
      </c>
      <c r="E1155" s="3">
        <v>-671.179</v>
      </c>
      <c r="F1155" s="4" t="str">
        <f>HYPERLINK("http://141.218.60.56/~jnz1568/getInfo.php?workbook=14_04.xlsx&amp;sheet=A0&amp;row=1155&amp;col=6&amp;number=0.02658&amp;sourceID=14","0.02658")</f>
        <v>0.02658</v>
      </c>
      <c r="G1155" s="4" t="str">
        <f>HYPERLINK("http://141.218.60.56/~jnz1568/getInfo.php?workbook=14_04.xlsx&amp;sheet=A0&amp;row=1155&amp;col=7&amp;number=0&amp;sourceID=14","0")</f>
        <v>0</v>
      </c>
    </row>
    <row r="1156" spans="1:7">
      <c r="A1156" s="3">
        <v>14</v>
      </c>
      <c r="B1156" s="3">
        <v>4</v>
      </c>
      <c r="C1156" s="3">
        <v>27</v>
      </c>
      <c r="D1156" s="3">
        <v>19</v>
      </c>
      <c r="E1156" s="3">
        <v>667.772</v>
      </c>
      <c r="F1156" s="4" t="str">
        <f>HYPERLINK("http://141.218.60.56/~jnz1568/getInfo.php?workbook=14_04.xlsx&amp;sheet=A0&amp;row=1156&amp;col=6&amp;number=1.661&amp;sourceID=14","1.661")</f>
        <v>1.661</v>
      </c>
      <c r="G1156" s="4" t="str">
        <f>HYPERLINK("http://141.218.60.56/~jnz1568/getInfo.php?workbook=14_04.xlsx&amp;sheet=A0&amp;row=1156&amp;col=7&amp;number=0&amp;sourceID=14","0")</f>
        <v>0</v>
      </c>
    </row>
    <row r="1157" spans="1:7">
      <c r="A1157" s="3">
        <v>14</v>
      </c>
      <c r="B1157" s="3">
        <v>4</v>
      </c>
      <c r="C1157" s="3">
        <v>28</v>
      </c>
      <c r="D1157" s="3">
        <v>19</v>
      </c>
      <c r="E1157" s="3">
        <v>654.747</v>
      </c>
      <c r="F1157" s="4" t="str">
        <f>HYPERLINK("http://141.218.60.56/~jnz1568/getInfo.php?workbook=14_04.xlsx&amp;sheet=A0&amp;row=1157&amp;col=6&amp;number=0.8431&amp;sourceID=14","0.8431")</f>
        <v>0.8431</v>
      </c>
      <c r="G1157" s="4" t="str">
        <f>HYPERLINK("http://141.218.60.56/~jnz1568/getInfo.php?workbook=14_04.xlsx&amp;sheet=A0&amp;row=1157&amp;col=7&amp;number=0&amp;sourceID=14","0")</f>
        <v>0</v>
      </c>
    </row>
    <row r="1158" spans="1:7">
      <c r="A1158" s="3">
        <v>14</v>
      </c>
      <c r="B1158" s="3">
        <v>4</v>
      </c>
      <c r="C1158" s="3">
        <v>29</v>
      </c>
      <c r="D1158" s="3">
        <v>19</v>
      </c>
      <c r="E1158" s="3">
        <v>595.533</v>
      </c>
      <c r="F1158" s="4" t="str">
        <f>HYPERLINK("http://141.218.60.56/~jnz1568/getInfo.php?workbook=14_04.xlsx&amp;sheet=A0&amp;row=1158&amp;col=6&amp;number=8.427&amp;sourceID=14","8.427")</f>
        <v>8.427</v>
      </c>
      <c r="G1158" s="4" t="str">
        <f>HYPERLINK("http://141.218.60.56/~jnz1568/getInfo.php?workbook=14_04.xlsx&amp;sheet=A0&amp;row=1158&amp;col=7&amp;number=0&amp;sourceID=14","0")</f>
        <v>0</v>
      </c>
    </row>
    <row r="1159" spans="1:7">
      <c r="A1159" s="3">
        <v>14</v>
      </c>
      <c r="B1159" s="3">
        <v>4</v>
      </c>
      <c r="C1159" s="3">
        <v>31</v>
      </c>
      <c r="D1159" s="3">
        <v>19</v>
      </c>
      <c r="E1159" s="3">
        <v>556.057</v>
      </c>
      <c r="F1159" s="4" t="str">
        <f>HYPERLINK("http://141.218.60.56/~jnz1568/getInfo.php?workbook=14_04.xlsx&amp;sheet=A0&amp;row=1159&amp;col=6&amp;number=27.69&amp;sourceID=14","27.69")</f>
        <v>27.69</v>
      </c>
      <c r="G1159" s="4" t="str">
        <f>HYPERLINK("http://141.218.60.56/~jnz1568/getInfo.php?workbook=14_04.xlsx&amp;sheet=A0&amp;row=1159&amp;col=7&amp;number=0&amp;sourceID=14","0")</f>
        <v>0</v>
      </c>
    </row>
    <row r="1160" spans="1:7">
      <c r="A1160" s="3">
        <v>14</v>
      </c>
      <c r="B1160" s="3">
        <v>4</v>
      </c>
      <c r="C1160" s="3">
        <v>32</v>
      </c>
      <c r="D1160" s="3">
        <v>19</v>
      </c>
      <c r="E1160" s="3">
        <v>555.872</v>
      </c>
      <c r="F1160" s="4" t="str">
        <f>HYPERLINK("http://141.218.60.56/~jnz1568/getInfo.php?workbook=14_04.xlsx&amp;sheet=A0&amp;row=1160&amp;col=6&amp;number=41.46&amp;sourceID=14","41.46")</f>
        <v>41.46</v>
      </c>
      <c r="G1160" s="4" t="str">
        <f>HYPERLINK("http://141.218.60.56/~jnz1568/getInfo.php?workbook=14_04.xlsx&amp;sheet=A0&amp;row=1160&amp;col=7&amp;number=0&amp;sourceID=14","0")</f>
        <v>0</v>
      </c>
    </row>
    <row r="1161" spans="1:7">
      <c r="A1161" s="3">
        <v>14</v>
      </c>
      <c r="B1161" s="3">
        <v>4</v>
      </c>
      <c r="C1161" s="3">
        <v>33</v>
      </c>
      <c r="D1161" s="3">
        <v>19</v>
      </c>
      <c r="E1161" s="3">
        <v>-536.504</v>
      </c>
      <c r="F1161" s="4" t="str">
        <f>HYPERLINK("http://141.218.60.56/~jnz1568/getInfo.php?workbook=14_04.xlsx&amp;sheet=A0&amp;row=1161&amp;col=6&amp;number=513500&amp;sourceID=14","513500")</f>
        <v>513500</v>
      </c>
      <c r="G1161" s="4" t="str">
        <f>HYPERLINK("http://141.218.60.56/~jnz1568/getInfo.php?workbook=14_04.xlsx&amp;sheet=A0&amp;row=1161&amp;col=7&amp;number=0&amp;sourceID=14","0")</f>
        <v>0</v>
      </c>
    </row>
    <row r="1162" spans="1:7">
      <c r="A1162" s="3">
        <v>14</v>
      </c>
      <c r="B1162" s="3">
        <v>4</v>
      </c>
      <c r="C1162" s="3">
        <v>34</v>
      </c>
      <c r="D1162" s="3">
        <v>19</v>
      </c>
      <c r="E1162" s="3">
        <v>-524.973</v>
      </c>
      <c r="F1162" s="4" t="str">
        <f>HYPERLINK("http://141.218.60.56/~jnz1568/getInfo.php?workbook=14_04.xlsx&amp;sheet=A0&amp;row=1162&amp;col=6&amp;number=71480000&amp;sourceID=14","71480000")</f>
        <v>71480000</v>
      </c>
      <c r="G1162" s="4" t="str">
        <f>HYPERLINK("http://141.218.60.56/~jnz1568/getInfo.php?workbook=14_04.xlsx&amp;sheet=A0&amp;row=1162&amp;col=7&amp;number=0&amp;sourceID=14","0")</f>
        <v>0</v>
      </c>
    </row>
    <row r="1163" spans="1:7">
      <c r="A1163" s="3">
        <v>14</v>
      </c>
      <c r="B1163" s="3">
        <v>4</v>
      </c>
      <c r="C1163" s="3">
        <v>35</v>
      </c>
      <c r="D1163" s="3">
        <v>19</v>
      </c>
      <c r="E1163" s="3">
        <v>519.376</v>
      </c>
      <c r="F1163" s="4" t="str">
        <f>HYPERLINK("http://141.218.60.56/~jnz1568/getInfo.php?workbook=14_04.xlsx&amp;sheet=A0&amp;row=1163&amp;col=6&amp;number=17820000&amp;sourceID=14","17820000")</f>
        <v>17820000</v>
      </c>
      <c r="G1163" s="4" t="str">
        <f>HYPERLINK("http://141.218.60.56/~jnz1568/getInfo.php?workbook=14_04.xlsx&amp;sheet=A0&amp;row=1163&amp;col=7&amp;number=0&amp;sourceID=14","0")</f>
        <v>0</v>
      </c>
    </row>
    <row r="1164" spans="1:7">
      <c r="A1164" s="3">
        <v>14</v>
      </c>
      <c r="B1164" s="3">
        <v>4</v>
      </c>
      <c r="C1164" s="3">
        <v>36</v>
      </c>
      <c r="D1164" s="3">
        <v>19</v>
      </c>
      <c r="E1164" s="3">
        <v>-513.277</v>
      </c>
      <c r="F1164" s="4" t="str">
        <f>HYPERLINK("http://141.218.60.56/~jnz1568/getInfo.php?workbook=14_04.xlsx&amp;sheet=A0&amp;row=1164&amp;col=6&amp;number=303400000&amp;sourceID=14","303400000")</f>
        <v>303400000</v>
      </c>
      <c r="G1164" s="4" t="str">
        <f>HYPERLINK("http://141.218.60.56/~jnz1568/getInfo.php?workbook=14_04.xlsx&amp;sheet=A0&amp;row=1164&amp;col=7&amp;number=0&amp;sourceID=14","0")</f>
        <v>0</v>
      </c>
    </row>
    <row r="1165" spans="1:7">
      <c r="A1165" s="3">
        <v>14</v>
      </c>
      <c r="B1165" s="3">
        <v>4</v>
      </c>
      <c r="C1165" s="3">
        <v>37</v>
      </c>
      <c r="D1165" s="3">
        <v>19</v>
      </c>
      <c r="E1165" s="3">
        <v>500.204</v>
      </c>
      <c r="F1165" s="4" t="str">
        <f>HYPERLINK("http://141.218.60.56/~jnz1568/getInfo.php?workbook=14_04.xlsx&amp;sheet=A0&amp;row=1165&amp;col=6&amp;number=0.9633&amp;sourceID=14","0.9633")</f>
        <v>0.9633</v>
      </c>
      <c r="G1165" s="4" t="str">
        <f>HYPERLINK("http://141.218.60.56/~jnz1568/getInfo.php?workbook=14_04.xlsx&amp;sheet=A0&amp;row=1165&amp;col=7&amp;number=0&amp;sourceID=14","0")</f>
        <v>0</v>
      </c>
    </row>
    <row r="1166" spans="1:7">
      <c r="A1166" s="3">
        <v>14</v>
      </c>
      <c r="B1166" s="3">
        <v>4</v>
      </c>
      <c r="C1166" s="3">
        <v>39</v>
      </c>
      <c r="D1166" s="3">
        <v>19</v>
      </c>
      <c r="E1166" s="3">
        <v>475.435</v>
      </c>
      <c r="F1166" s="4" t="str">
        <f>HYPERLINK("http://141.218.60.56/~jnz1568/getInfo.php?workbook=14_04.xlsx&amp;sheet=A0&amp;row=1166&amp;col=6&amp;number=591800000&amp;sourceID=14","591800000")</f>
        <v>591800000</v>
      </c>
      <c r="G1166" s="4" t="str">
        <f>HYPERLINK("http://141.218.60.56/~jnz1568/getInfo.php?workbook=14_04.xlsx&amp;sheet=A0&amp;row=1166&amp;col=7&amp;number=0&amp;sourceID=14","0")</f>
        <v>0</v>
      </c>
    </row>
    <row r="1167" spans="1:7">
      <c r="A1167" s="3">
        <v>14</v>
      </c>
      <c r="B1167" s="3">
        <v>4</v>
      </c>
      <c r="C1167" s="3">
        <v>40</v>
      </c>
      <c r="D1167" s="3">
        <v>19</v>
      </c>
      <c r="E1167" s="3">
        <v>468.712</v>
      </c>
      <c r="F1167" s="4" t="str">
        <f>HYPERLINK("http://141.218.60.56/~jnz1568/getInfo.php?workbook=14_04.xlsx&amp;sheet=A0&amp;row=1167&amp;col=6&amp;number=1255000000&amp;sourceID=14","1255000000")</f>
        <v>1255000000</v>
      </c>
      <c r="G1167" s="4" t="str">
        <f>HYPERLINK("http://141.218.60.56/~jnz1568/getInfo.php?workbook=14_04.xlsx&amp;sheet=A0&amp;row=1167&amp;col=7&amp;number=0&amp;sourceID=14","0")</f>
        <v>0</v>
      </c>
    </row>
    <row r="1168" spans="1:7">
      <c r="A1168" s="3">
        <v>14</v>
      </c>
      <c r="B1168" s="3">
        <v>4</v>
      </c>
      <c r="C1168" s="3">
        <v>41</v>
      </c>
      <c r="D1168" s="3">
        <v>19</v>
      </c>
      <c r="E1168" s="3">
        <v>445.894</v>
      </c>
      <c r="F1168" s="4" t="str">
        <f>HYPERLINK("http://141.218.60.56/~jnz1568/getInfo.php?workbook=14_04.xlsx&amp;sheet=A0&amp;row=1168&amp;col=6&amp;number=1028000000&amp;sourceID=14","1028000000")</f>
        <v>1028000000</v>
      </c>
      <c r="G1168" s="4" t="str">
        <f>HYPERLINK("http://141.218.60.56/~jnz1568/getInfo.php?workbook=14_04.xlsx&amp;sheet=A0&amp;row=1168&amp;col=7&amp;number=0&amp;sourceID=14","0")</f>
        <v>0</v>
      </c>
    </row>
    <row r="1169" spans="1:7">
      <c r="A1169" s="3">
        <v>14</v>
      </c>
      <c r="B1169" s="3">
        <v>4</v>
      </c>
      <c r="C1169" s="3">
        <v>45</v>
      </c>
      <c r="D1169" s="3">
        <v>19</v>
      </c>
      <c r="E1169" s="3">
        <v>399.315</v>
      </c>
      <c r="F1169" s="4" t="str">
        <f>HYPERLINK("http://141.218.60.56/~jnz1568/getInfo.php?workbook=14_04.xlsx&amp;sheet=A0&amp;row=1169&amp;col=6&amp;number=9171000&amp;sourceID=14","9171000")</f>
        <v>9171000</v>
      </c>
      <c r="G1169" s="4" t="str">
        <f>HYPERLINK("http://141.218.60.56/~jnz1568/getInfo.php?workbook=14_04.xlsx&amp;sheet=A0&amp;row=1169&amp;col=7&amp;number=0&amp;sourceID=14","0")</f>
        <v>0</v>
      </c>
    </row>
    <row r="1170" spans="1:7">
      <c r="A1170" s="3">
        <v>14</v>
      </c>
      <c r="B1170" s="3">
        <v>4</v>
      </c>
      <c r="C1170" s="3">
        <v>47</v>
      </c>
      <c r="D1170" s="3">
        <v>19</v>
      </c>
      <c r="E1170" s="3">
        <v>165.47</v>
      </c>
      <c r="F1170" s="4" t="str">
        <f>HYPERLINK("http://141.218.60.56/~jnz1568/getInfo.php?workbook=14_04.xlsx&amp;sheet=A0&amp;row=1170&amp;col=6&amp;number=982400&amp;sourceID=14","982400")</f>
        <v>982400</v>
      </c>
      <c r="G1170" s="4" t="str">
        <f>HYPERLINK("http://141.218.60.56/~jnz1568/getInfo.php?workbook=14_04.xlsx&amp;sheet=A0&amp;row=1170&amp;col=7&amp;number=0&amp;sourceID=14","0")</f>
        <v>0</v>
      </c>
    </row>
    <row r="1171" spans="1:7">
      <c r="A1171" s="3">
        <v>14</v>
      </c>
      <c r="B1171" s="3">
        <v>4</v>
      </c>
      <c r="C1171" s="3">
        <v>51</v>
      </c>
      <c r="D1171" s="3">
        <v>19</v>
      </c>
      <c r="E1171" s="3">
        <v>152.88</v>
      </c>
      <c r="F1171" s="4" t="str">
        <f>HYPERLINK("http://141.218.60.56/~jnz1568/getInfo.php?workbook=14_04.xlsx&amp;sheet=A0&amp;row=1171&amp;col=6&amp;number=6027000000&amp;sourceID=14","6027000000")</f>
        <v>6027000000</v>
      </c>
      <c r="G1171" s="4" t="str">
        <f>HYPERLINK("http://141.218.60.56/~jnz1568/getInfo.php?workbook=14_04.xlsx&amp;sheet=A0&amp;row=1171&amp;col=7&amp;number=0&amp;sourceID=14","0")</f>
        <v>0</v>
      </c>
    </row>
    <row r="1172" spans="1:7">
      <c r="A1172" s="3">
        <v>14</v>
      </c>
      <c r="B1172" s="3">
        <v>4</v>
      </c>
      <c r="C1172" s="3">
        <v>53</v>
      </c>
      <c r="D1172" s="3">
        <v>19</v>
      </c>
      <c r="E1172" s="3">
        <v>150.174</v>
      </c>
      <c r="F1172" s="4" t="str">
        <f>HYPERLINK("http://141.218.60.56/~jnz1568/getInfo.php?workbook=14_04.xlsx&amp;sheet=A0&amp;row=1172&amp;col=6&amp;number=147000&amp;sourceID=14","147000")</f>
        <v>147000</v>
      </c>
      <c r="G1172" s="4" t="str">
        <f>HYPERLINK("http://141.218.60.56/~jnz1568/getInfo.php?workbook=14_04.xlsx&amp;sheet=A0&amp;row=1172&amp;col=7&amp;number=0&amp;sourceID=14","0")</f>
        <v>0</v>
      </c>
    </row>
    <row r="1173" spans="1:7">
      <c r="A1173" s="3">
        <v>14</v>
      </c>
      <c r="B1173" s="3">
        <v>4</v>
      </c>
      <c r="C1173" s="3">
        <v>54</v>
      </c>
      <c r="D1173" s="3">
        <v>19</v>
      </c>
      <c r="E1173" s="3">
        <v>150.18</v>
      </c>
      <c r="F1173" s="4" t="str">
        <f>HYPERLINK("http://141.218.60.56/~jnz1568/getInfo.php?workbook=14_04.xlsx&amp;sheet=A0&amp;row=1173&amp;col=6&amp;number=881200&amp;sourceID=14","881200")</f>
        <v>881200</v>
      </c>
      <c r="G1173" s="4" t="str">
        <f>HYPERLINK("http://141.218.60.56/~jnz1568/getInfo.php?workbook=14_04.xlsx&amp;sheet=A0&amp;row=1173&amp;col=7&amp;number=0&amp;sourceID=14","0")</f>
        <v>0</v>
      </c>
    </row>
    <row r="1174" spans="1:7">
      <c r="A1174" s="3">
        <v>14</v>
      </c>
      <c r="B1174" s="3">
        <v>4</v>
      </c>
      <c r="C1174" s="3">
        <v>55</v>
      </c>
      <c r="D1174" s="3">
        <v>19</v>
      </c>
      <c r="E1174" s="3">
        <v>149.994</v>
      </c>
      <c r="F1174" s="4" t="str">
        <f>HYPERLINK("http://141.218.60.56/~jnz1568/getInfo.php?workbook=14_04.xlsx&amp;sheet=A0&amp;row=1174&amp;col=6&amp;number=1518000&amp;sourceID=14","1518000")</f>
        <v>1518000</v>
      </c>
      <c r="G1174" s="4" t="str">
        <f>HYPERLINK("http://141.218.60.56/~jnz1568/getInfo.php?workbook=14_04.xlsx&amp;sheet=A0&amp;row=1174&amp;col=7&amp;number=0&amp;sourceID=14","0")</f>
        <v>0</v>
      </c>
    </row>
    <row r="1175" spans="1:7">
      <c r="A1175" s="3">
        <v>14</v>
      </c>
      <c r="B1175" s="3">
        <v>4</v>
      </c>
      <c r="C1175" s="3">
        <v>56</v>
      </c>
      <c r="D1175" s="3">
        <v>19</v>
      </c>
      <c r="E1175" s="3">
        <v>147.618</v>
      </c>
      <c r="F1175" s="4" t="str">
        <f>HYPERLINK("http://141.218.60.56/~jnz1568/getInfo.php?workbook=14_04.xlsx&amp;sheet=A0&amp;row=1175&amp;col=6&amp;number=114.7&amp;sourceID=14","114.7")</f>
        <v>114.7</v>
      </c>
      <c r="G1175" s="4" t="str">
        <f>HYPERLINK("http://141.218.60.56/~jnz1568/getInfo.php?workbook=14_04.xlsx&amp;sheet=A0&amp;row=1175&amp;col=7&amp;number=0&amp;sourceID=14","0")</f>
        <v>0</v>
      </c>
    </row>
    <row r="1176" spans="1:7">
      <c r="A1176" s="3">
        <v>14</v>
      </c>
      <c r="B1176" s="3">
        <v>4</v>
      </c>
      <c r="C1176" s="3">
        <v>59</v>
      </c>
      <c r="D1176" s="3">
        <v>19</v>
      </c>
      <c r="E1176" s="3">
        <v>122.432</v>
      </c>
      <c r="F1176" s="4" t="str">
        <f>HYPERLINK("http://141.218.60.56/~jnz1568/getInfo.php?workbook=14_04.xlsx&amp;sheet=A0&amp;row=1176&amp;col=6&amp;number=162400000&amp;sourceID=14","162400000")</f>
        <v>162400000</v>
      </c>
      <c r="G1176" s="4" t="str">
        <f>HYPERLINK("http://141.218.60.56/~jnz1568/getInfo.php?workbook=14_04.xlsx&amp;sheet=A0&amp;row=1176&amp;col=7&amp;number=0&amp;sourceID=14","0")</f>
        <v>0</v>
      </c>
    </row>
    <row r="1177" spans="1:7">
      <c r="A1177" s="3">
        <v>14</v>
      </c>
      <c r="B1177" s="3">
        <v>4</v>
      </c>
      <c r="C1177" s="3">
        <v>61</v>
      </c>
      <c r="D1177" s="3">
        <v>19</v>
      </c>
      <c r="E1177" s="3">
        <v>-118.538</v>
      </c>
      <c r="F1177" s="4" t="str">
        <f>HYPERLINK("http://141.218.60.56/~jnz1568/getInfo.php?workbook=14_04.xlsx&amp;sheet=A0&amp;row=1177&amp;col=6&amp;number=1512&amp;sourceID=14","1512")</f>
        <v>1512</v>
      </c>
      <c r="G1177" s="4" t="str">
        <f>HYPERLINK("http://141.218.60.56/~jnz1568/getInfo.php?workbook=14_04.xlsx&amp;sheet=A0&amp;row=1177&amp;col=7&amp;number=0&amp;sourceID=14","0")</f>
        <v>0</v>
      </c>
    </row>
    <row r="1178" spans="1:7">
      <c r="A1178" s="3">
        <v>14</v>
      </c>
      <c r="B1178" s="3">
        <v>4</v>
      </c>
      <c r="C1178" s="3">
        <v>62</v>
      </c>
      <c r="D1178" s="3">
        <v>19</v>
      </c>
      <c r="E1178" s="3">
        <v>-119.157</v>
      </c>
      <c r="F1178" s="4" t="str">
        <f>HYPERLINK("http://141.218.60.56/~jnz1568/getInfo.php?workbook=14_04.xlsx&amp;sheet=A0&amp;row=1178&amp;col=6&amp;number=0.5449&amp;sourceID=14","0.5449")</f>
        <v>0.5449</v>
      </c>
      <c r="G1178" s="4" t="str">
        <f>HYPERLINK("http://141.218.60.56/~jnz1568/getInfo.php?workbook=14_04.xlsx&amp;sheet=A0&amp;row=1178&amp;col=7&amp;number=0&amp;sourceID=14","0")</f>
        <v>0</v>
      </c>
    </row>
    <row r="1179" spans="1:7">
      <c r="A1179" s="3">
        <v>14</v>
      </c>
      <c r="B1179" s="3">
        <v>4</v>
      </c>
      <c r="C1179" s="3">
        <v>63</v>
      </c>
      <c r="D1179" s="3">
        <v>19</v>
      </c>
      <c r="E1179" s="3">
        <v>-118.503</v>
      </c>
      <c r="F1179" s="4" t="str">
        <f>HYPERLINK("http://141.218.60.56/~jnz1568/getInfo.php?workbook=14_04.xlsx&amp;sheet=A0&amp;row=1179&amp;col=6&amp;number=2633&amp;sourceID=14","2633")</f>
        <v>2633</v>
      </c>
      <c r="G1179" s="4" t="str">
        <f>HYPERLINK("http://141.218.60.56/~jnz1568/getInfo.php?workbook=14_04.xlsx&amp;sheet=A0&amp;row=1179&amp;col=7&amp;number=0&amp;sourceID=14","0")</f>
        <v>0</v>
      </c>
    </row>
    <row r="1180" spans="1:7">
      <c r="A1180" s="3">
        <v>14</v>
      </c>
      <c r="B1180" s="3">
        <v>4</v>
      </c>
      <c r="C1180" s="3">
        <v>64</v>
      </c>
      <c r="D1180" s="3">
        <v>19</v>
      </c>
      <c r="E1180" s="3">
        <v>-117.745</v>
      </c>
      <c r="F1180" s="4" t="str">
        <f>HYPERLINK("http://141.218.60.56/~jnz1568/getInfo.php?workbook=14_04.xlsx&amp;sheet=A0&amp;row=1180&amp;col=6&amp;number=15400&amp;sourceID=14","15400")</f>
        <v>15400</v>
      </c>
      <c r="G1180" s="4" t="str">
        <f>HYPERLINK("http://141.218.60.56/~jnz1568/getInfo.php?workbook=14_04.xlsx&amp;sheet=A0&amp;row=1180&amp;col=7&amp;number=0&amp;sourceID=14","0")</f>
        <v>0</v>
      </c>
    </row>
    <row r="1181" spans="1:7">
      <c r="A1181" s="3">
        <v>14</v>
      </c>
      <c r="B1181" s="3">
        <v>4</v>
      </c>
      <c r="C1181" s="3">
        <v>65</v>
      </c>
      <c r="D1181" s="3">
        <v>19</v>
      </c>
      <c r="E1181" s="3">
        <v>-117.5</v>
      </c>
      <c r="F1181" s="4" t="str">
        <f>HYPERLINK("http://141.218.60.56/~jnz1568/getInfo.php?workbook=14_04.xlsx&amp;sheet=A0&amp;row=1181&amp;col=6&amp;number=6177&amp;sourceID=14","6177")</f>
        <v>6177</v>
      </c>
      <c r="G1181" s="4" t="str">
        <f>HYPERLINK("http://141.218.60.56/~jnz1568/getInfo.php?workbook=14_04.xlsx&amp;sheet=A0&amp;row=1181&amp;col=7&amp;number=0&amp;sourceID=14","0")</f>
        <v>0</v>
      </c>
    </row>
    <row r="1182" spans="1:7">
      <c r="A1182" s="3">
        <v>14</v>
      </c>
      <c r="B1182" s="3">
        <v>4</v>
      </c>
      <c r="C1182" s="3">
        <v>67</v>
      </c>
      <c r="D1182" s="3">
        <v>19</v>
      </c>
      <c r="E1182" s="3">
        <v>-116.899</v>
      </c>
      <c r="F1182" s="4" t="str">
        <f>HYPERLINK("http://141.218.60.56/~jnz1568/getInfo.php?workbook=14_04.xlsx&amp;sheet=A0&amp;row=1182&amp;col=6&amp;number=86960&amp;sourceID=14","86960")</f>
        <v>86960</v>
      </c>
      <c r="G1182" s="4" t="str">
        <f>HYPERLINK("http://141.218.60.56/~jnz1568/getInfo.php?workbook=14_04.xlsx&amp;sheet=A0&amp;row=1182&amp;col=7&amp;number=0&amp;sourceID=14","0")</f>
        <v>0</v>
      </c>
    </row>
    <row r="1183" spans="1:7">
      <c r="A1183" s="3">
        <v>14</v>
      </c>
      <c r="B1183" s="3">
        <v>4</v>
      </c>
      <c r="C1183" s="3">
        <v>68</v>
      </c>
      <c r="D1183" s="3">
        <v>19</v>
      </c>
      <c r="E1183" s="3">
        <v>-116.791</v>
      </c>
      <c r="F1183" s="4" t="str">
        <f>HYPERLINK("http://141.218.60.56/~jnz1568/getInfo.php?workbook=14_04.xlsx&amp;sheet=A0&amp;row=1183&amp;col=6&amp;number=43530&amp;sourceID=14","43530")</f>
        <v>43530</v>
      </c>
      <c r="G1183" s="4" t="str">
        <f>HYPERLINK("http://141.218.60.56/~jnz1568/getInfo.php?workbook=14_04.xlsx&amp;sheet=A0&amp;row=1183&amp;col=7&amp;number=0&amp;sourceID=14","0")</f>
        <v>0</v>
      </c>
    </row>
    <row r="1184" spans="1:7">
      <c r="A1184" s="3">
        <v>14</v>
      </c>
      <c r="B1184" s="3">
        <v>4</v>
      </c>
      <c r="C1184" s="3">
        <v>69</v>
      </c>
      <c r="D1184" s="3">
        <v>19</v>
      </c>
      <c r="E1184" s="3">
        <v>-116.681</v>
      </c>
      <c r="F1184" s="4" t="str">
        <f>HYPERLINK("http://141.218.60.56/~jnz1568/getInfo.php?workbook=14_04.xlsx&amp;sheet=A0&amp;row=1184&amp;col=6&amp;number=838600&amp;sourceID=14","838600")</f>
        <v>838600</v>
      </c>
      <c r="G1184" s="4" t="str">
        <f>HYPERLINK("http://141.218.60.56/~jnz1568/getInfo.php?workbook=14_04.xlsx&amp;sheet=A0&amp;row=1184&amp;col=7&amp;number=0&amp;sourceID=14","0")</f>
        <v>0</v>
      </c>
    </row>
    <row r="1185" spans="1:7">
      <c r="A1185" s="3">
        <v>14</v>
      </c>
      <c r="B1185" s="3">
        <v>4</v>
      </c>
      <c r="C1185" s="3">
        <v>70</v>
      </c>
      <c r="D1185" s="3">
        <v>19</v>
      </c>
      <c r="E1185" s="3">
        <v>-116.215</v>
      </c>
      <c r="F1185" s="4" t="str">
        <f>HYPERLINK("http://141.218.60.56/~jnz1568/getInfo.php?workbook=14_04.xlsx&amp;sheet=A0&amp;row=1185&amp;col=6&amp;number=20260000&amp;sourceID=14","20260000")</f>
        <v>20260000</v>
      </c>
      <c r="G1185" s="4" t="str">
        <f>HYPERLINK("http://141.218.60.56/~jnz1568/getInfo.php?workbook=14_04.xlsx&amp;sheet=A0&amp;row=1185&amp;col=7&amp;number=0&amp;sourceID=14","0")</f>
        <v>0</v>
      </c>
    </row>
    <row r="1186" spans="1:7">
      <c r="A1186" s="3">
        <v>14</v>
      </c>
      <c r="B1186" s="3">
        <v>4</v>
      </c>
      <c r="C1186" s="3">
        <v>71</v>
      </c>
      <c r="D1186" s="3">
        <v>19</v>
      </c>
      <c r="E1186" s="3">
        <v>-116.025</v>
      </c>
      <c r="F1186" s="4" t="str">
        <f>HYPERLINK("http://141.218.60.56/~jnz1568/getInfo.php?workbook=14_04.xlsx&amp;sheet=A0&amp;row=1186&amp;col=6&amp;number=55990000&amp;sourceID=14","55990000")</f>
        <v>55990000</v>
      </c>
      <c r="G1186" s="4" t="str">
        <f>HYPERLINK("http://141.218.60.56/~jnz1568/getInfo.php?workbook=14_04.xlsx&amp;sheet=A0&amp;row=1186&amp;col=7&amp;number=0&amp;sourceID=14","0")</f>
        <v>0</v>
      </c>
    </row>
    <row r="1187" spans="1:7">
      <c r="A1187" s="3">
        <v>14</v>
      </c>
      <c r="B1187" s="3">
        <v>4</v>
      </c>
      <c r="C1187" s="3">
        <v>72</v>
      </c>
      <c r="D1187" s="3">
        <v>19</v>
      </c>
      <c r="E1187" s="3">
        <v>-115.732</v>
      </c>
      <c r="F1187" s="4" t="str">
        <f>HYPERLINK("http://141.218.60.56/~jnz1568/getInfo.php?workbook=14_04.xlsx&amp;sheet=A0&amp;row=1187&amp;col=6&amp;number=1047&amp;sourceID=14","1047")</f>
        <v>1047</v>
      </c>
      <c r="G1187" s="4" t="str">
        <f>HYPERLINK("http://141.218.60.56/~jnz1568/getInfo.php?workbook=14_04.xlsx&amp;sheet=A0&amp;row=1187&amp;col=7&amp;number=0&amp;sourceID=14","0")</f>
        <v>0</v>
      </c>
    </row>
    <row r="1188" spans="1:7">
      <c r="A1188" s="3">
        <v>14</v>
      </c>
      <c r="B1188" s="3">
        <v>4</v>
      </c>
      <c r="C1188" s="3">
        <v>73</v>
      </c>
      <c r="D1188" s="3">
        <v>19</v>
      </c>
      <c r="E1188" s="3">
        <v>-115.556</v>
      </c>
      <c r="F1188" s="4" t="str">
        <f>HYPERLINK("http://141.218.60.56/~jnz1568/getInfo.php?workbook=14_04.xlsx&amp;sheet=A0&amp;row=1188&amp;col=6&amp;number=543600000&amp;sourceID=14","543600000")</f>
        <v>543600000</v>
      </c>
      <c r="G1188" s="4" t="str">
        <f>HYPERLINK("http://141.218.60.56/~jnz1568/getInfo.php?workbook=14_04.xlsx&amp;sheet=A0&amp;row=1188&amp;col=7&amp;number=0&amp;sourceID=14","0")</f>
        <v>0</v>
      </c>
    </row>
    <row r="1189" spans="1:7">
      <c r="A1189" s="3">
        <v>14</v>
      </c>
      <c r="B1189" s="3">
        <v>4</v>
      </c>
      <c r="C1189" s="3">
        <v>75</v>
      </c>
      <c r="D1189" s="3">
        <v>19</v>
      </c>
      <c r="E1189" s="3">
        <v>-115.1</v>
      </c>
      <c r="F1189" s="4" t="str">
        <f>HYPERLINK("http://141.218.60.56/~jnz1568/getInfo.php?workbook=14_04.xlsx&amp;sheet=A0&amp;row=1189&amp;col=6&amp;number=74490000&amp;sourceID=14","74490000")</f>
        <v>74490000</v>
      </c>
      <c r="G1189" s="4" t="str">
        <f>HYPERLINK("http://141.218.60.56/~jnz1568/getInfo.php?workbook=14_04.xlsx&amp;sheet=A0&amp;row=1189&amp;col=7&amp;number=0&amp;sourceID=14","0")</f>
        <v>0</v>
      </c>
    </row>
    <row r="1190" spans="1:7">
      <c r="A1190" s="3">
        <v>14</v>
      </c>
      <c r="B1190" s="3">
        <v>4</v>
      </c>
      <c r="C1190" s="3">
        <v>76</v>
      </c>
      <c r="D1190" s="3">
        <v>19</v>
      </c>
      <c r="E1190" s="3">
        <v>114.686</v>
      </c>
      <c r="F1190" s="4" t="str">
        <f>HYPERLINK("http://141.218.60.56/~jnz1568/getInfo.php?workbook=14_04.xlsx&amp;sheet=A0&amp;row=1190&amp;col=6&amp;number=170500000&amp;sourceID=14","170500000")</f>
        <v>170500000</v>
      </c>
      <c r="G1190" s="4" t="str">
        <f>HYPERLINK("http://141.218.60.56/~jnz1568/getInfo.php?workbook=14_04.xlsx&amp;sheet=A0&amp;row=1190&amp;col=7&amp;number=0&amp;sourceID=14","0")</f>
        <v>0</v>
      </c>
    </row>
    <row r="1191" spans="1:7">
      <c r="A1191" s="3">
        <v>14</v>
      </c>
      <c r="B1191" s="3">
        <v>4</v>
      </c>
      <c r="C1191" s="3">
        <v>77</v>
      </c>
      <c r="D1191" s="3">
        <v>19</v>
      </c>
      <c r="E1191" s="3">
        <v>114.567</v>
      </c>
      <c r="F1191" s="4" t="str">
        <f>HYPERLINK("http://141.218.60.56/~jnz1568/getInfo.php?workbook=14_04.xlsx&amp;sheet=A0&amp;row=1191&amp;col=6&amp;number=586800000&amp;sourceID=14","586800000")</f>
        <v>586800000</v>
      </c>
      <c r="G1191" s="4" t="str">
        <f>HYPERLINK("http://141.218.60.56/~jnz1568/getInfo.php?workbook=14_04.xlsx&amp;sheet=A0&amp;row=1191&amp;col=7&amp;number=0&amp;sourceID=14","0")</f>
        <v>0</v>
      </c>
    </row>
    <row r="1192" spans="1:7">
      <c r="A1192" s="3">
        <v>14</v>
      </c>
      <c r="B1192" s="3">
        <v>4</v>
      </c>
      <c r="C1192" s="3">
        <v>81</v>
      </c>
      <c r="D1192" s="3">
        <v>19</v>
      </c>
      <c r="E1192" s="3">
        <v>113.253</v>
      </c>
      <c r="F1192" s="4" t="str">
        <f>HYPERLINK("http://141.218.60.56/~jnz1568/getInfo.php?workbook=14_04.xlsx&amp;sheet=A0&amp;row=1192&amp;col=6&amp;number=427400&amp;sourceID=14","427400")</f>
        <v>427400</v>
      </c>
      <c r="G1192" s="4" t="str">
        <f>HYPERLINK("http://141.218.60.56/~jnz1568/getInfo.php?workbook=14_04.xlsx&amp;sheet=A0&amp;row=1192&amp;col=7&amp;number=0&amp;sourceID=14","0")</f>
        <v>0</v>
      </c>
    </row>
    <row r="1193" spans="1:7">
      <c r="A1193" s="3">
        <v>14</v>
      </c>
      <c r="B1193" s="3">
        <v>4</v>
      </c>
      <c r="C1193" s="3">
        <v>83</v>
      </c>
      <c r="D1193" s="3">
        <v>19</v>
      </c>
      <c r="E1193" s="3">
        <v>-105.494</v>
      </c>
      <c r="F1193" s="4" t="str">
        <f>HYPERLINK("http://141.218.60.56/~jnz1568/getInfo.php?workbook=14_04.xlsx&amp;sheet=A0&amp;row=1193&amp;col=6&amp;number=304600&amp;sourceID=14","304600")</f>
        <v>304600</v>
      </c>
      <c r="G1193" s="4" t="str">
        <f>HYPERLINK("http://141.218.60.56/~jnz1568/getInfo.php?workbook=14_04.xlsx&amp;sheet=A0&amp;row=1193&amp;col=7&amp;number=0&amp;sourceID=14","0")</f>
        <v>0</v>
      </c>
    </row>
    <row r="1194" spans="1:7">
      <c r="A1194" s="3">
        <v>14</v>
      </c>
      <c r="B1194" s="3">
        <v>4</v>
      </c>
      <c r="C1194" s="3">
        <v>87</v>
      </c>
      <c r="D1194" s="3">
        <v>19</v>
      </c>
      <c r="E1194" s="3">
        <v>103.377</v>
      </c>
      <c r="F1194" s="4" t="str">
        <f>HYPERLINK("http://141.218.60.56/~jnz1568/getInfo.php?workbook=14_04.xlsx&amp;sheet=A0&amp;row=1194&amp;col=6&amp;number=1663000000&amp;sourceID=14","1663000000")</f>
        <v>1663000000</v>
      </c>
      <c r="G1194" s="4" t="str">
        <f>HYPERLINK("http://141.218.60.56/~jnz1568/getInfo.php?workbook=14_04.xlsx&amp;sheet=A0&amp;row=1194&amp;col=7&amp;number=0&amp;sourceID=14","0")</f>
        <v>0</v>
      </c>
    </row>
    <row r="1195" spans="1:7">
      <c r="A1195" s="3">
        <v>14</v>
      </c>
      <c r="B1195" s="3">
        <v>4</v>
      </c>
      <c r="C1195" s="3">
        <v>89</v>
      </c>
      <c r="D1195" s="3">
        <v>19</v>
      </c>
      <c r="E1195" s="3">
        <v>-102.984</v>
      </c>
      <c r="F1195" s="4" t="str">
        <f>HYPERLINK("http://141.218.60.56/~jnz1568/getInfo.php?workbook=14_04.xlsx&amp;sheet=A0&amp;row=1195&amp;col=6&amp;number=49700&amp;sourceID=14","49700")</f>
        <v>49700</v>
      </c>
      <c r="G1195" s="4" t="str">
        <f>HYPERLINK("http://141.218.60.56/~jnz1568/getInfo.php?workbook=14_04.xlsx&amp;sheet=A0&amp;row=1195&amp;col=7&amp;number=0&amp;sourceID=14","0")</f>
        <v>0</v>
      </c>
    </row>
    <row r="1196" spans="1:7">
      <c r="A1196" s="3">
        <v>14</v>
      </c>
      <c r="B1196" s="3">
        <v>4</v>
      </c>
      <c r="C1196" s="3">
        <v>90</v>
      </c>
      <c r="D1196" s="3">
        <v>19</v>
      </c>
      <c r="E1196" s="3">
        <v>102.89</v>
      </c>
      <c r="F1196" s="4" t="str">
        <f>HYPERLINK("http://141.218.60.56/~jnz1568/getInfo.php?workbook=14_04.xlsx&amp;sheet=A0&amp;row=1196&amp;col=6&amp;number=299700&amp;sourceID=14","299700")</f>
        <v>299700</v>
      </c>
      <c r="G1196" s="4" t="str">
        <f>HYPERLINK("http://141.218.60.56/~jnz1568/getInfo.php?workbook=14_04.xlsx&amp;sheet=A0&amp;row=1196&amp;col=7&amp;number=0&amp;sourceID=14","0")</f>
        <v>0</v>
      </c>
    </row>
    <row r="1197" spans="1:7">
      <c r="A1197" s="3">
        <v>14</v>
      </c>
      <c r="B1197" s="3">
        <v>4</v>
      </c>
      <c r="C1197" s="3">
        <v>91</v>
      </c>
      <c r="D1197" s="3">
        <v>19</v>
      </c>
      <c r="E1197" s="3">
        <v>102.899</v>
      </c>
      <c r="F1197" s="4" t="str">
        <f>HYPERLINK("http://141.218.60.56/~jnz1568/getInfo.php?workbook=14_04.xlsx&amp;sheet=A0&amp;row=1197&amp;col=6&amp;number=514200&amp;sourceID=14","514200")</f>
        <v>514200</v>
      </c>
      <c r="G1197" s="4" t="str">
        <f>HYPERLINK("http://141.218.60.56/~jnz1568/getInfo.php?workbook=14_04.xlsx&amp;sheet=A0&amp;row=1197&amp;col=7&amp;number=0&amp;sourceID=14","0")</f>
        <v>0</v>
      </c>
    </row>
    <row r="1198" spans="1:7">
      <c r="A1198" s="3">
        <v>14</v>
      </c>
      <c r="B1198" s="3">
        <v>4</v>
      </c>
      <c r="C1198" s="3">
        <v>92</v>
      </c>
      <c r="D1198" s="3">
        <v>19</v>
      </c>
      <c r="E1198" s="3">
        <v>102.484</v>
      </c>
      <c r="F1198" s="4" t="str">
        <f>HYPERLINK("http://141.218.60.56/~jnz1568/getInfo.php?workbook=14_04.xlsx&amp;sheet=A0&amp;row=1198&amp;col=6&amp;number=56.52&amp;sourceID=14","56.52")</f>
        <v>56.52</v>
      </c>
      <c r="G1198" s="4" t="str">
        <f>HYPERLINK("http://141.218.60.56/~jnz1568/getInfo.php?workbook=14_04.xlsx&amp;sheet=A0&amp;row=1198&amp;col=7&amp;number=0&amp;sourceID=14","0")</f>
        <v>0</v>
      </c>
    </row>
    <row r="1199" spans="1:7">
      <c r="A1199" s="3">
        <v>14</v>
      </c>
      <c r="B1199" s="3">
        <v>4</v>
      </c>
      <c r="C1199" s="3">
        <v>22</v>
      </c>
      <c r="D1199" s="3">
        <v>20</v>
      </c>
      <c r="E1199" s="3">
        <v>-1603.699</v>
      </c>
      <c r="F1199" s="4" t="str">
        <f>HYPERLINK("http://141.218.60.56/~jnz1568/getInfo.php?workbook=14_04.xlsx&amp;sheet=A0&amp;row=1199&amp;col=6&amp;number=119700&amp;sourceID=14","119700")</f>
        <v>119700</v>
      </c>
      <c r="G1199" s="4" t="str">
        <f>HYPERLINK("http://141.218.60.56/~jnz1568/getInfo.php?workbook=14_04.xlsx&amp;sheet=A0&amp;row=1199&amp;col=7&amp;number=0&amp;sourceID=14","0")</f>
        <v>0</v>
      </c>
    </row>
    <row r="1200" spans="1:7">
      <c r="A1200" s="3">
        <v>14</v>
      </c>
      <c r="B1200" s="3">
        <v>4</v>
      </c>
      <c r="C1200" s="3">
        <v>23</v>
      </c>
      <c r="D1200" s="3">
        <v>20</v>
      </c>
      <c r="E1200" s="3">
        <v>-1469.364</v>
      </c>
      <c r="F1200" s="4" t="str">
        <f>HYPERLINK("http://141.218.60.56/~jnz1568/getInfo.php?workbook=14_04.xlsx&amp;sheet=A0&amp;row=1200&amp;col=6&amp;number=1085&amp;sourceID=14","1085")</f>
        <v>1085</v>
      </c>
      <c r="G1200" s="4" t="str">
        <f>HYPERLINK("http://141.218.60.56/~jnz1568/getInfo.php?workbook=14_04.xlsx&amp;sheet=A0&amp;row=1200&amp;col=7&amp;number=0&amp;sourceID=14","0")</f>
        <v>0</v>
      </c>
    </row>
    <row r="1201" spans="1:7">
      <c r="A1201" s="3">
        <v>14</v>
      </c>
      <c r="B1201" s="3">
        <v>4</v>
      </c>
      <c r="C1201" s="3">
        <v>24</v>
      </c>
      <c r="D1201" s="3">
        <v>20</v>
      </c>
      <c r="E1201" s="3">
        <v>-1013.945</v>
      </c>
      <c r="F1201" s="4" t="str">
        <f>HYPERLINK("http://141.218.60.56/~jnz1568/getInfo.php?workbook=14_04.xlsx&amp;sheet=A0&amp;row=1201&amp;col=6&amp;number=30250000&amp;sourceID=14","30250000")</f>
        <v>30250000</v>
      </c>
      <c r="G1201" s="4" t="str">
        <f>HYPERLINK("http://141.218.60.56/~jnz1568/getInfo.php?workbook=14_04.xlsx&amp;sheet=A0&amp;row=1201&amp;col=7&amp;number=0&amp;sourceID=14","0")</f>
        <v>0</v>
      </c>
    </row>
    <row r="1202" spans="1:7">
      <c r="A1202" s="3">
        <v>14</v>
      </c>
      <c r="B1202" s="3">
        <v>4</v>
      </c>
      <c r="C1202" s="3">
        <v>25</v>
      </c>
      <c r="D1202" s="3">
        <v>20</v>
      </c>
      <c r="E1202" s="3">
        <v>-923.908</v>
      </c>
      <c r="F1202" s="4" t="str">
        <f>HYPERLINK("http://141.218.60.56/~jnz1568/getInfo.php?workbook=14_04.xlsx&amp;sheet=A0&amp;row=1202&amp;col=6&amp;number=2.673&amp;sourceID=14","2.673")</f>
        <v>2.673</v>
      </c>
      <c r="G1202" s="4" t="str">
        <f>HYPERLINK("http://141.218.60.56/~jnz1568/getInfo.php?workbook=14_04.xlsx&amp;sheet=A0&amp;row=1202&amp;col=7&amp;number=0&amp;sourceID=14","0")</f>
        <v>0</v>
      </c>
    </row>
    <row r="1203" spans="1:7">
      <c r="A1203" s="3">
        <v>14</v>
      </c>
      <c r="B1203" s="3">
        <v>4</v>
      </c>
      <c r="C1203" s="3">
        <v>26</v>
      </c>
      <c r="D1203" s="3">
        <v>20</v>
      </c>
      <c r="E1203" s="3">
        <v>-854.79</v>
      </c>
      <c r="F1203" s="4" t="str">
        <f>HYPERLINK("http://141.218.60.56/~jnz1568/getInfo.php?workbook=14_04.xlsx&amp;sheet=A0&amp;row=1203&amp;col=6&amp;number=0.7875&amp;sourceID=14","0.7875")</f>
        <v>0.7875</v>
      </c>
      <c r="G1203" s="4" t="str">
        <f>HYPERLINK("http://141.218.60.56/~jnz1568/getInfo.php?workbook=14_04.xlsx&amp;sheet=A0&amp;row=1203&amp;col=7&amp;number=0&amp;sourceID=14","0")</f>
        <v>0</v>
      </c>
    </row>
    <row r="1204" spans="1:7">
      <c r="A1204" s="3">
        <v>14</v>
      </c>
      <c r="B1204" s="3">
        <v>4</v>
      </c>
      <c r="C1204" s="3">
        <v>27</v>
      </c>
      <c r="D1204" s="3">
        <v>20</v>
      </c>
      <c r="E1204" s="3">
        <v>838.442</v>
      </c>
      <c r="F1204" s="4" t="str">
        <f>HYPERLINK("http://141.218.60.56/~jnz1568/getInfo.php?workbook=14_04.xlsx&amp;sheet=A0&amp;row=1204&amp;col=6&amp;number=0.05488&amp;sourceID=14","0.05488")</f>
        <v>0.05488</v>
      </c>
      <c r="G1204" s="4" t="str">
        <f>HYPERLINK("http://141.218.60.56/~jnz1568/getInfo.php?workbook=14_04.xlsx&amp;sheet=A0&amp;row=1204&amp;col=7&amp;number=0&amp;sourceID=14","0")</f>
        <v>0</v>
      </c>
    </row>
    <row r="1205" spans="1:7">
      <c r="A1205" s="3">
        <v>14</v>
      </c>
      <c r="B1205" s="3">
        <v>4</v>
      </c>
      <c r="C1205" s="3">
        <v>28</v>
      </c>
      <c r="D1205" s="3">
        <v>20</v>
      </c>
      <c r="E1205" s="3">
        <v>818.011</v>
      </c>
      <c r="F1205" s="4" t="str">
        <f>HYPERLINK("http://141.218.60.56/~jnz1568/getInfo.php?workbook=14_04.xlsx&amp;sheet=A0&amp;row=1205&amp;col=6&amp;number=0.1657&amp;sourceID=14","0.1657")</f>
        <v>0.1657</v>
      </c>
      <c r="G1205" s="4" t="str">
        <f>HYPERLINK("http://141.218.60.56/~jnz1568/getInfo.php?workbook=14_04.xlsx&amp;sheet=A0&amp;row=1205&amp;col=7&amp;number=0&amp;sourceID=14","0")</f>
        <v>0</v>
      </c>
    </row>
    <row r="1206" spans="1:7">
      <c r="A1206" s="3">
        <v>14</v>
      </c>
      <c r="B1206" s="3">
        <v>4</v>
      </c>
      <c r="C1206" s="3">
        <v>29</v>
      </c>
      <c r="D1206" s="3">
        <v>20</v>
      </c>
      <c r="E1206" s="3">
        <v>727.623</v>
      </c>
      <c r="F1206" s="4" t="str">
        <f>HYPERLINK("http://141.218.60.56/~jnz1568/getInfo.php?workbook=14_04.xlsx&amp;sheet=A0&amp;row=1206&amp;col=6&amp;number=0.07243&amp;sourceID=14","0.07243")</f>
        <v>0.07243</v>
      </c>
      <c r="G1206" s="4" t="str">
        <f>HYPERLINK("http://141.218.60.56/~jnz1568/getInfo.php?workbook=14_04.xlsx&amp;sheet=A0&amp;row=1206&amp;col=7&amp;number=0&amp;sourceID=14","0")</f>
        <v>0</v>
      </c>
    </row>
    <row r="1207" spans="1:7">
      <c r="A1207" s="3">
        <v>14</v>
      </c>
      <c r="B1207" s="3">
        <v>4</v>
      </c>
      <c r="C1207" s="3">
        <v>30</v>
      </c>
      <c r="D1207" s="3">
        <v>20</v>
      </c>
      <c r="E1207" s="3">
        <v>-691.966</v>
      </c>
      <c r="F1207" s="4" t="str">
        <f>HYPERLINK("http://141.218.60.56/~jnz1568/getInfo.php?workbook=14_04.xlsx&amp;sheet=A0&amp;row=1207&amp;col=6&amp;number=0.3672&amp;sourceID=14","0.3672")</f>
        <v>0.3672</v>
      </c>
      <c r="G1207" s="4" t="str">
        <f>HYPERLINK("http://141.218.60.56/~jnz1568/getInfo.php?workbook=14_04.xlsx&amp;sheet=A0&amp;row=1207&amp;col=7&amp;number=0&amp;sourceID=14","0")</f>
        <v>0</v>
      </c>
    </row>
    <row r="1208" spans="1:7">
      <c r="A1208" s="3">
        <v>14</v>
      </c>
      <c r="B1208" s="3">
        <v>4</v>
      </c>
      <c r="C1208" s="3">
        <v>31</v>
      </c>
      <c r="D1208" s="3">
        <v>20</v>
      </c>
      <c r="E1208" s="3">
        <v>669.547</v>
      </c>
      <c r="F1208" s="4" t="str">
        <f>HYPERLINK("http://141.218.60.56/~jnz1568/getInfo.php?workbook=14_04.xlsx&amp;sheet=A0&amp;row=1208&amp;col=6&amp;number=0.3808&amp;sourceID=14","0.3808")</f>
        <v>0.3808</v>
      </c>
      <c r="G1208" s="4" t="str">
        <f>HYPERLINK("http://141.218.60.56/~jnz1568/getInfo.php?workbook=14_04.xlsx&amp;sheet=A0&amp;row=1208&amp;col=7&amp;number=0&amp;sourceID=14","0")</f>
        <v>0</v>
      </c>
    </row>
    <row r="1209" spans="1:7">
      <c r="A1209" s="3">
        <v>14</v>
      </c>
      <c r="B1209" s="3">
        <v>4</v>
      </c>
      <c r="C1209" s="3">
        <v>32</v>
      </c>
      <c r="D1209" s="3">
        <v>20</v>
      </c>
      <c r="E1209" s="3">
        <v>669.278</v>
      </c>
      <c r="F1209" s="4" t="str">
        <f>HYPERLINK("http://141.218.60.56/~jnz1568/getInfo.php?workbook=14_04.xlsx&amp;sheet=A0&amp;row=1209&amp;col=6&amp;number=0.7657&amp;sourceID=14","0.7657")</f>
        <v>0.7657</v>
      </c>
      <c r="G1209" s="4" t="str">
        <f>HYPERLINK("http://141.218.60.56/~jnz1568/getInfo.php?workbook=14_04.xlsx&amp;sheet=A0&amp;row=1209&amp;col=7&amp;number=0&amp;sourceID=14","0")</f>
        <v>0</v>
      </c>
    </row>
    <row r="1210" spans="1:7">
      <c r="A1210" s="3">
        <v>14</v>
      </c>
      <c r="B1210" s="3">
        <v>4</v>
      </c>
      <c r="C1210" s="3">
        <v>33</v>
      </c>
      <c r="D1210" s="3">
        <v>20</v>
      </c>
      <c r="E1210" s="3">
        <v>-647.718</v>
      </c>
      <c r="F1210" s="4" t="str">
        <f>HYPERLINK("http://141.218.60.56/~jnz1568/getInfo.php?workbook=14_04.xlsx&amp;sheet=A0&amp;row=1210&amp;col=6&amp;number=101800000&amp;sourceID=14","101800000")</f>
        <v>101800000</v>
      </c>
      <c r="G1210" s="4" t="str">
        <f>HYPERLINK("http://141.218.60.56/~jnz1568/getInfo.php?workbook=14_04.xlsx&amp;sheet=A0&amp;row=1210&amp;col=7&amp;number=0&amp;sourceID=14","0")</f>
        <v>0</v>
      </c>
    </row>
    <row r="1211" spans="1:7">
      <c r="A1211" s="3">
        <v>14</v>
      </c>
      <c r="B1211" s="3">
        <v>4</v>
      </c>
      <c r="C1211" s="3">
        <v>34</v>
      </c>
      <c r="D1211" s="3">
        <v>20</v>
      </c>
      <c r="E1211" s="3">
        <v>-630.986</v>
      </c>
      <c r="F1211" s="4" t="str">
        <f>HYPERLINK("http://141.218.60.56/~jnz1568/getInfo.php?workbook=14_04.xlsx&amp;sheet=A0&amp;row=1211&amp;col=6&amp;number=327300&amp;sourceID=14","327300")</f>
        <v>327300</v>
      </c>
      <c r="G1211" s="4" t="str">
        <f>HYPERLINK("http://141.218.60.56/~jnz1568/getInfo.php?workbook=14_04.xlsx&amp;sheet=A0&amp;row=1211&amp;col=7&amp;number=0&amp;sourceID=14","0")</f>
        <v>0</v>
      </c>
    </row>
    <row r="1212" spans="1:7">
      <c r="A1212" s="3">
        <v>14</v>
      </c>
      <c r="B1212" s="3">
        <v>4</v>
      </c>
      <c r="C1212" s="3">
        <v>35</v>
      </c>
      <c r="D1212" s="3">
        <v>20</v>
      </c>
      <c r="E1212" s="3">
        <v>617.072</v>
      </c>
      <c r="F1212" s="4" t="str">
        <f>HYPERLINK("http://141.218.60.56/~jnz1568/getInfo.php?workbook=14_04.xlsx&amp;sheet=A0&amp;row=1212&amp;col=6&amp;number=471900000&amp;sourceID=14","471900000")</f>
        <v>471900000</v>
      </c>
      <c r="G1212" s="4" t="str">
        <f>HYPERLINK("http://141.218.60.56/~jnz1568/getInfo.php?workbook=14_04.xlsx&amp;sheet=A0&amp;row=1212&amp;col=7&amp;number=0&amp;sourceID=14","0")</f>
        <v>0</v>
      </c>
    </row>
    <row r="1213" spans="1:7">
      <c r="A1213" s="3">
        <v>14</v>
      </c>
      <c r="B1213" s="3">
        <v>4</v>
      </c>
      <c r="C1213" s="3">
        <v>37</v>
      </c>
      <c r="D1213" s="3">
        <v>20</v>
      </c>
      <c r="E1213" s="3">
        <v>590.194</v>
      </c>
      <c r="F1213" s="4" t="str">
        <f>HYPERLINK("http://141.218.60.56/~jnz1568/getInfo.php?workbook=14_04.xlsx&amp;sheet=A0&amp;row=1213&amp;col=6&amp;number=1.359&amp;sourceID=14","1.359")</f>
        <v>1.359</v>
      </c>
      <c r="G1213" s="4" t="str">
        <f>HYPERLINK("http://141.218.60.56/~jnz1568/getInfo.php?workbook=14_04.xlsx&amp;sheet=A0&amp;row=1213&amp;col=7&amp;number=0&amp;sourceID=14","0")</f>
        <v>0</v>
      </c>
    </row>
    <row r="1214" spans="1:7">
      <c r="A1214" s="3">
        <v>14</v>
      </c>
      <c r="B1214" s="3">
        <v>4</v>
      </c>
      <c r="C1214" s="3">
        <v>38</v>
      </c>
      <c r="D1214" s="3">
        <v>20</v>
      </c>
      <c r="E1214" s="3">
        <v>-548.815</v>
      </c>
      <c r="F1214" s="4" t="str">
        <f>HYPERLINK("http://141.218.60.56/~jnz1568/getInfo.php?workbook=14_04.xlsx&amp;sheet=A0&amp;row=1214&amp;col=6&amp;number=6313000&amp;sourceID=14","6313000")</f>
        <v>6313000</v>
      </c>
      <c r="G1214" s="4" t="str">
        <f>HYPERLINK("http://141.218.60.56/~jnz1568/getInfo.php?workbook=14_04.xlsx&amp;sheet=A0&amp;row=1214&amp;col=7&amp;number=0&amp;sourceID=14","0")</f>
        <v>0</v>
      </c>
    </row>
    <row r="1215" spans="1:7">
      <c r="A1215" s="3">
        <v>14</v>
      </c>
      <c r="B1215" s="3">
        <v>4</v>
      </c>
      <c r="C1215" s="3">
        <v>39</v>
      </c>
      <c r="D1215" s="3">
        <v>20</v>
      </c>
      <c r="E1215" s="3">
        <v>556.017</v>
      </c>
      <c r="F1215" s="4" t="str">
        <f>HYPERLINK("http://141.218.60.56/~jnz1568/getInfo.php?workbook=14_04.xlsx&amp;sheet=A0&amp;row=1215&amp;col=6&amp;number=4135000&amp;sourceID=14","4135000")</f>
        <v>4135000</v>
      </c>
      <c r="G1215" s="4" t="str">
        <f>HYPERLINK("http://141.218.60.56/~jnz1568/getInfo.php?workbook=14_04.xlsx&amp;sheet=A0&amp;row=1215&amp;col=7&amp;number=0&amp;sourceID=14","0")</f>
        <v>0</v>
      </c>
    </row>
    <row r="1216" spans="1:7">
      <c r="A1216" s="3">
        <v>14</v>
      </c>
      <c r="B1216" s="3">
        <v>4</v>
      </c>
      <c r="C1216" s="3">
        <v>40</v>
      </c>
      <c r="D1216" s="3">
        <v>20</v>
      </c>
      <c r="E1216" s="3">
        <v>546.843</v>
      </c>
      <c r="F1216" s="4" t="str">
        <f>HYPERLINK("http://141.218.60.56/~jnz1568/getInfo.php?workbook=14_04.xlsx&amp;sheet=A0&amp;row=1216&amp;col=6&amp;number=365100&amp;sourceID=14","365100")</f>
        <v>365100</v>
      </c>
      <c r="G1216" s="4" t="str">
        <f>HYPERLINK("http://141.218.60.56/~jnz1568/getInfo.php?workbook=14_04.xlsx&amp;sheet=A0&amp;row=1216&amp;col=7&amp;number=0&amp;sourceID=14","0")</f>
        <v>0</v>
      </c>
    </row>
    <row r="1217" spans="1:7">
      <c r="A1217" s="3">
        <v>14</v>
      </c>
      <c r="B1217" s="3">
        <v>4</v>
      </c>
      <c r="C1217" s="3">
        <v>41</v>
      </c>
      <c r="D1217" s="3">
        <v>20</v>
      </c>
      <c r="E1217" s="3">
        <v>516.034</v>
      </c>
      <c r="F1217" s="4" t="str">
        <f>HYPERLINK("http://141.218.60.56/~jnz1568/getInfo.php?workbook=14_04.xlsx&amp;sheet=A0&amp;row=1217&amp;col=6&amp;number=4907000&amp;sourceID=14","4907000")</f>
        <v>4907000</v>
      </c>
      <c r="G1217" s="4" t="str">
        <f>HYPERLINK("http://141.218.60.56/~jnz1568/getInfo.php?workbook=14_04.xlsx&amp;sheet=A0&amp;row=1217&amp;col=7&amp;number=0&amp;sourceID=14","0")</f>
        <v>0</v>
      </c>
    </row>
    <row r="1218" spans="1:7">
      <c r="A1218" s="3">
        <v>14</v>
      </c>
      <c r="B1218" s="3">
        <v>4</v>
      </c>
      <c r="C1218" s="3">
        <v>42</v>
      </c>
      <c r="D1218" s="3">
        <v>20</v>
      </c>
      <c r="E1218" s="3">
        <v>523.97</v>
      </c>
      <c r="F1218" s="4" t="str">
        <f>HYPERLINK("http://141.218.60.56/~jnz1568/getInfo.php?workbook=14_04.xlsx&amp;sheet=A0&amp;row=1218&amp;col=6&amp;number=1623000&amp;sourceID=14","1623000")</f>
        <v>1623000</v>
      </c>
      <c r="G1218" s="4" t="str">
        <f>HYPERLINK("http://141.218.60.56/~jnz1568/getInfo.php?workbook=14_04.xlsx&amp;sheet=A0&amp;row=1218&amp;col=7&amp;number=0&amp;sourceID=14","0")</f>
        <v>0</v>
      </c>
    </row>
    <row r="1219" spans="1:7">
      <c r="A1219" s="3">
        <v>14</v>
      </c>
      <c r="B1219" s="3">
        <v>4</v>
      </c>
      <c r="C1219" s="3">
        <v>44</v>
      </c>
      <c r="D1219" s="3">
        <v>20</v>
      </c>
      <c r="E1219" s="3">
        <v>-471.224</v>
      </c>
      <c r="F1219" s="4" t="str">
        <f>HYPERLINK("http://141.218.60.56/~jnz1568/getInfo.php?workbook=14_04.xlsx&amp;sheet=A0&amp;row=1219&amp;col=6&amp;number=445.9&amp;sourceID=14","445.9")</f>
        <v>445.9</v>
      </c>
      <c r="G1219" s="4" t="str">
        <f>HYPERLINK("http://141.218.60.56/~jnz1568/getInfo.php?workbook=14_04.xlsx&amp;sheet=A0&amp;row=1219&amp;col=7&amp;number=0&amp;sourceID=14","0")</f>
        <v>0</v>
      </c>
    </row>
    <row r="1220" spans="1:7">
      <c r="A1220" s="3">
        <v>14</v>
      </c>
      <c r="B1220" s="3">
        <v>4</v>
      </c>
      <c r="C1220" s="3">
        <v>45</v>
      </c>
      <c r="D1220" s="3">
        <v>20</v>
      </c>
      <c r="E1220" s="3">
        <v>454.658</v>
      </c>
      <c r="F1220" s="4" t="str">
        <f>HYPERLINK("http://141.218.60.56/~jnz1568/getInfo.php?workbook=14_04.xlsx&amp;sheet=A0&amp;row=1220&amp;col=6&amp;number=407200000&amp;sourceID=14","407200000")</f>
        <v>407200000</v>
      </c>
      <c r="G1220" s="4" t="str">
        <f>HYPERLINK("http://141.218.60.56/~jnz1568/getInfo.php?workbook=14_04.xlsx&amp;sheet=A0&amp;row=1220&amp;col=7&amp;number=0&amp;sourceID=14","0")</f>
        <v>0</v>
      </c>
    </row>
    <row r="1221" spans="1:7">
      <c r="A1221" s="3">
        <v>14</v>
      </c>
      <c r="B1221" s="3">
        <v>4</v>
      </c>
      <c r="C1221" s="3">
        <v>46</v>
      </c>
      <c r="D1221" s="3">
        <v>20</v>
      </c>
      <c r="E1221" s="3">
        <v>452.807</v>
      </c>
      <c r="F1221" s="4" t="str">
        <f>HYPERLINK("http://141.218.60.56/~jnz1568/getInfo.php?workbook=14_04.xlsx&amp;sheet=A0&amp;row=1221&amp;col=6&amp;number=1786000000&amp;sourceID=14","1786000000")</f>
        <v>1786000000</v>
      </c>
      <c r="G1221" s="4" t="str">
        <f>HYPERLINK("http://141.218.60.56/~jnz1568/getInfo.php?workbook=14_04.xlsx&amp;sheet=A0&amp;row=1221&amp;col=7&amp;number=0&amp;sourceID=14","0")</f>
        <v>0</v>
      </c>
    </row>
    <row r="1222" spans="1:7">
      <c r="A1222" s="3">
        <v>14</v>
      </c>
      <c r="B1222" s="3">
        <v>4</v>
      </c>
      <c r="C1222" s="3">
        <v>47</v>
      </c>
      <c r="D1222" s="3">
        <v>20</v>
      </c>
      <c r="E1222" s="3">
        <v>174.259</v>
      </c>
      <c r="F1222" s="4" t="str">
        <f>HYPERLINK("http://141.218.60.56/~jnz1568/getInfo.php?workbook=14_04.xlsx&amp;sheet=A0&amp;row=1222&amp;col=6&amp;number=54.15&amp;sourceID=14","54.15")</f>
        <v>54.15</v>
      </c>
      <c r="G1222" s="4" t="str">
        <f>HYPERLINK("http://141.218.60.56/~jnz1568/getInfo.php?workbook=14_04.xlsx&amp;sheet=A0&amp;row=1222&amp;col=7&amp;number=0&amp;sourceID=14","0")</f>
        <v>0</v>
      </c>
    </row>
    <row r="1223" spans="1:7">
      <c r="A1223" s="3">
        <v>14</v>
      </c>
      <c r="B1223" s="3">
        <v>4</v>
      </c>
      <c r="C1223" s="3">
        <v>48</v>
      </c>
      <c r="D1223" s="3">
        <v>20</v>
      </c>
      <c r="E1223" s="3">
        <v>173.851</v>
      </c>
      <c r="F1223" s="4" t="str">
        <f>HYPERLINK("http://141.218.60.56/~jnz1568/getInfo.php?workbook=14_04.xlsx&amp;sheet=A0&amp;row=1223&amp;col=6&amp;number=2001000&amp;sourceID=14","2001000")</f>
        <v>2001000</v>
      </c>
      <c r="G1223" s="4" t="str">
        <f>HYPERLINK("http://141.218.60.56/~jnz1568/getInfo.php?workbook=14_04.xlsx&amp;sheet=A0&amp;row=1223&amp;col=7&amp;number=0&amp;sourceID=14","0")</f>
        <v>0</v>
      </c>
    </row>
    <row r="1224" spans="1:7">
      <c r="A1224" s="3">
        <v>14</v>
      </c>
      <c r="B1224" s="3">
        <v>4</v>
      </c>
      <c r="C1224" s="3">
        <v>50</v>
      </c>
      <c r="D1224" s="3">
        <v>20</v>
      </c>
      <c r="E1224" s="3">
        <v>160.537</v>
      </c>
      <c r="F1224" s="4" t="str">
        <f>HYPERLINK("http://141.218.60.56/~jnz1568/getInfo.php?workbook=14_04.xlsx&amp;sheet=A0&amp;row=1224&amp;col=6&amp;number=123100000&amp;sourceID=14","123100000")</f>
        <v>123100000</v>
      </c>
      <c r="G1224" s="4" t="str">
        <f>HYPERLINK("http://141.218.60.56/~jnz1568/getInfo.php?workbook=14_04.xlsx&amp;sheet=A0&amp;row=1224&amp;col=7&amp;number=0&amp;sourceID=14","0")</f>
        <v>0</v>
      </c>
    </row>
    <row r="1225" spans="1:7">
      <c r="A1225" s="3">
        <v>14</v>
      </c>
      <c r="B1225" s="3">
        <v>4</v>
      </c>
      <c r="C1225" s="3">
        <v>51</v>
      </c>
      <c r="D1225" s="3">
        <v>20</v>
      </c>
      <c r="E1225" s="3">
        <v>160.353</v>
      </c>
      <c r="F1225" s="4" t="str">
        <f>HYPERLINK("http://141.218.60.56/~jnz1568/getInfo.php?workbook=14_04.xlsx&amp;sheet=A0&amp;row=1225&amp;col=6&amp;number=125500&amp;sourceID=14","125500")</f>
        <v>125500</v>
      </c>
      <c r="G1225" s="4" t="str">
        <f>HYPERLINK("http://141.218.60.56/~jnz1568/getInfo.php?workbook=14_04.xlsx&amp;sheet=A0&amp;row=1225&amp;col=7&amp;number=0&amp;sourceID=14","0")</f>
        <v>0</v>
      </c>
    </row>
    <row r="1226" spans="1:7">
      <c r="A1226" s="3">
        <v>14</v>
      </c>
      <c r="B1226" s="3">
        <v>4</v>
      </c>
      <c r="C1226" s="3">
        <v>52</v>
      </c>
      <c r="D1226" s="3">
        <v>20</v>
      </c>
      <c r="E1226" s="3">
        <v>161.442</v>
      </c>
      <c r="F1226" s="4" t="str">
        <f>HYPERLINK("http://141.218.60.56/~jnz1568/getInfo.php?workbook=14_04.xlsx&amp;sheet=A0&amp;row=1226&amp;col=6&amp;number=9694000000&amp;sourceID=14","9694000000")</f>
        <v>9694000000</v>
      </c>
      <c r="G1226" s="4" t="str">
        <f>HYPERLINK("http://141.218.60.56/~jnz1568/getInfo.php?workbook=14_04.xlsx&amp;sheet=A0&amp;row=1226&amp;col=7&amp;number=0&amp;sourceID=14","0")</f>
        <v>0</v>
      </c>
    </row>
    <row r="1227" spans="1:7">
      <c r="A1227" s="3">
        <v>14</v>
      </c>
      <c r="B1227" s="3">
        <v>4</v>
      </c>
      <c r="C1227" s="3">
        <v>53</v>
      </c>
      <c r="D1227" s="3">
        <v>20</v>
      </c>
      <c r="E1227" s="3">
        <v>157.378</v>
      </c>
      <c r="F1227" s="4" t="str">
        <f>HYPERLINK("http://141.218.60.56/~jnz1568/getInfo.php?workbook=14_04.xlsx&amp;sheet=A0&amp;row=1227&amp;col=6&amp;number=88.81&amp;sourceID=14","88.81")</f>
        <v>88.81</v>
      </c>
      <c r="G1227" s="4" t="str">
        <f>HYPERLINK("http://141.218.60.56/~jnz1568/getInfo.php?workbook=14_04.xlsx&amp;sheet=A0&amp;row=1227&amp;col=7&amp;number=0&amp;sourceID=14","0")</f>
        <v>0</v>
      </c>
    </row>
    <row r="1228" spans="1:7">
      <c r="A1228" s="3">
        <v>14</v>
      </c>
      <c r="B1228" s="3">
        <v>4</v>
      </c>
      <c r="C1228" s="3">
        <v>54</v>
      </c>
      <c r="D1228" s="3">
        <v>20</v>
      </c>
      <c r="E1228" s="3">
        <v>157.385</v>
      </c>
      <c r="F1228" s="4" t="str">
        <f>HYPERLINK("http://141.218.60.56/~jnz1568/getInfo.php?workbook=14_04.xlsx&amp;sheet=A0&amp;row=1228&amp;col=6&amp;number=110.4&amp;sourceID=14","110.4")</f>
        <v>110.4</v>
      </c>
      <c r="G1228" s="4" t="str">
        <f>HYPERLINK("http://141.218.60.56/~jnz1568/getInfo.php?workbook=14_04.xlsx&amp;sheet=A0&amp;row=1228&amp;col=7&amp;number=0&amp;sourceID=14","0")</f>
        <v>0</v>
      </c>
    </row>
    <row r="1229" spans="1:7">
      <c r="A1229" s="3">
        <v>14</v>
      </c>
      <c r="B1229" s="3">
        <v>4</v>
      </c>
      <c r="C1229" s="3">
        <v>55</v>
      </c>
      <c r="D1229" s="3">
        <v>20</v>
      </c>
      <c r="E1229" s="3">
        <v>157.181</v>
      </c>
      <c r="F1229" s="4" t="str">
        <f>HYPERLINK("http://141.218.60.56/~jnz1568/getInfo.php?workbook=14_04.xlsx&amp;sheet=A0&amp;row=1229&amp;col=6&amp;number=42.69&amp;sourceID=14","42.69")</f>
        <v>42.69</v>
      </c>
      <c r="G1229" s="4" t="str">
        <f>HYPERLINK("http://141.218.60.56/~jnz1568/getInfo.php?workbook=14_04.xlsx&amp;sheet=A0&amp;row=1229&amp;col=7&amp;number=0&amp;sourceID=14","0")</f>
        <v>0</v>
      </c>
    </row>
    <row r="1230" spans="1:7">
      <c r="A1230" s="3">
        <v>14</v>
      </c>
      <c r="B1230" s="3">
        <v>4</v>
      </c>
      <c r="C1230" s="3">
        <v>56</v>
      </c>
      <c r="D1230" s="3">
        <v>20</v>
      </c>
      <c r="E1230" s="3">
        <v>154.574</v>
      </c>
      <c r="F1230" s="4" t="str">
        <f>HYPERLINK("http://141.218.60.56/~jnz1568/getInfo.php?workbook=14_04.xlsx&amp;sheet=A0&amp;row=1230&amp;col=6&amp;number=2171000&amp;sourceID=14","2171000")</f>
        <v>2171000</v>
      </c>
      <c r="G1230" s="4" t="str">
        <f>HYPERLINK("http://141.218.60.56/~jnz1568/getInfo.php?workbook=14_04.xlsx&amp;sheet=A0&amp;row=1230&amp;col=7&amp;number=0&amp;sourceID=14","0")</f>
        <v>0</v>
      </c>
    </row>
    <row r="1231" spans="1:7">
      <c r="A1231" s="3">
        <v>14</v>
      </c>
      <c r="B1231" s="3">
        <v>4</v>
      </c>
      <c r="C1231" s="3">
        <v>58</v>
      </c>
      <c r="D1231" s="3">
        <v>20</v>
      </c>
      <c r="E1231" s="3">
        <v>-127.096</v>
      </c>
      <c r="F1231" s="4" t="str">
        <f>HYPERLINK("http://141.218.60.56/~jnz1568/getInfo.php?workbook=14_04.xlsx&amp;sheet=A0&amp;row=1231&amp;col=6&amp;number=46090000&amp;sourceID=14","46090000")</f>
        <v>46090000</v>
      </c>
      <c r="G1231" s="4" t="str">
        <f>HYPERLINK("http://141.218.60.56/~jnz1568/getInfo.php?workbook=14_04.xlsx&amp;sheet=A0&amp;row=1231&amp;col=7&amp;number=0&amp;sourceID=14","0")</f>
        <v>0</v>
      </c>
    </row>
    <row r="1232" spans="1:7">
      <c r="A1232" s="3">
        <v>14</v>
      </c>
      <c r="B1232" s="3">
        <v>4</v>
      </c>
      <c r="C1232" s="3">
        <v>59</v>
      </c>
      <c r="D1232" s="3">
        <v>20</v>
      </c>
      <c r="E1232" s="3">
        <v>127.179</v>
      </c>
      <c r="F1232" s="4" t="str">
        <f>HYPERLINK("http://141.218.60.56/~jnz1568/getInfo.php?workbook=14_04.xlsx&amp;sheet=A0&amp;row=1232&amp;col=6&amp;number=47920&amp;sourceID=14","47920")</f>
        <v>47920</v>
      </c>
      <c r="G1232" s="4" t="str">
        <f>HYPERLINK("http://141.218.60.56/~jnz1568/getInfo.php?workbook=14_04.xlsx&amp;sheet=A0&amp;row=1232&amp;col=7&amp;number=0&amp;sourceID=14","0")</f>
        <v>0</v>
      </c>
    </row>
    <row r="1233" spans="1:7">
      <c r="A1233" s="3">
        <v>14</v>
      </c>
      <c r="B1233" s="3">
        <v>4</v>
      </c>
      <c r="C1233" s="3">
        <v>60</v>
      </c>
      <c r="D1233" s="3">
        <v>20</v>
      </c>
      <c r="E1233" s="3">
        <v>-125.052</v>
      </c>
      <c r="F1233" s="4" t="str">
        <f>HYPERLINK("http://141.218.60.56/~jnz1568/getInfo.php?workbook=14_04.xlsx&amp;sheet=A0&amp;row=1233&amp;col=6&amp;number=395600000&amp;sourceID=14","395600000")</f>
        <v>395600000</v>
      </c>
      <c r="G1233" s="4" t="str">
        <f>HYPERLINK("http://141.218.60.56/~jnz1568/getInfo.php?workbook=14_04.xlsx&amp;sheet=A0&amp;row=1233&amp;col=7&amp;number=0&amp;sourceID=14","0")</f>
        <v>0</v>
      </c>
    </row>
    <row r="1234" spans="1:7">
      <c r="A1234" s="3">
        <v>14</v>
      </c>
      <c r="B1234" s="3">
        <v>4</v>
      </c>
      <c r="C1234" s="3">
        <v>61</v>
      </c>
      <c r="D1234" s="3">
        <v>20</v>
      </c>
      <c r="E1234" s="3">
        <v>-123.213</v>
      </c>
      <c r="F1234" s="4" t="str">
        <f>HYPERLINK("http://141.218.60.56/~jnz1568/getInfo.php?workbook=14_04.xlsx&amp;sheet=A0&amp;row=1234&amp;col=6&amp;number=16670&amp;sourceID=14","16670")</f>
        <v>16670</v>
      </c>
      <c r="G1234" s="4" t="str">
        <f>HYPERLINK("http://141.218.60.56/~jnz1568/getInfo.php?workbook=14_04.xlsx&amp;sheet=A0&amp;row=1234&amp;col=7&amp;number=0&amp;sourceID=14","0")</f>
        <v>0</v>
      </c>
    </row>
    <row r="1235" spans="1:7">
      <c r="A1235" s="3">
        <v>14</v>
      </c>
      <c r="B1235" s="3">
        <v>4</v>
      </c>
      <c r="C1235" s="3">
        <v>62</v>
      </c>
      <c r="D1235" s="3">
        <v>20</v>
      </c>
      <c r="E1235" s="3">
        <v>-123.881</v>
      </c>
      <c r="F1235" s="4" t="str">
        <f>HYPERLINK("http://141.218.60.56/~jnz1568/getInfo.php?workbook=14_04.xlsx&amp;sheet=A0&amp;row=1235&amp;col=6&amp;number=22480&amp;sourceID=14","22480")</f>
        <v>22480</v>
      </c>
      <c r="G1235" s="4" t="str">
        <f>HYPERLINK("http://141.218.60.56/~jnz1568/getInfo.php?workbook=14_04.xlsx&amp;sheet=A0&amp;row=1235&amp;col=7&amp;number=0&amp;sourceID=14","0")</f>
        <v>0</v>
      </c>
    </row>
    <row r="1236" spans="1:7">
      <c r="A1236" s="3">
        <v>14</v>
      </c>
      <c r="B1236" s="3">
        <v>4</v>
      </c>
      <c r="C1236" s="3">
        <v>63</v>
      </c>
      <c r="D1236" s="3">
        <v>20</v>
      </c>
      <c r="E1236" s="3">
        <v>-123.174</v>
      </c>
      <c r="F1236" s="4" t="str">
        <f>HYPERLINK("http://141.218.60.56/~jnz1568/getInfo.php?workbook=14_04.xlsx&amp;sheet=A0&amp;row=1236&amp;col=6&amp;number=674.8&amp;sourceID=14","674.8")</f>
        <v>674.8</v>
      </c>
      <c r="G1236" s="4" t="str">
        <f>HYPERLINK("http://141.218.60.56/~jnz1568/getInfo.php?workbook=14_04.xlsx&amp;sheet=A0&amp;row=1236&amp;col=7&amp;number=0&amp;sourceID=14","0")</f>
        <v>0</v>
      </c>
    </row>
    <row r="1237" spans="1:7">
      <c r="A1237" s="3">
        <v>14</v>
      </c>
      <c r="B1237" s="3">
        <v>4</v>
      </c>
      <c r="C1237" s="3">
        <v>64</v>
      </c>
      <c r="D1237" s="3">
        <v>20</v>
      </c>
      <c r="E1237" s="3">
        <v>-122.356</v>
      </c>
      <c r="F1237" s="4" t="str">
        <f>HYPERLINK("http://141.218.60.56/~jnz1568/getInfo.php?workbook=14_04.xlsx&amp;sheet=A0&amp;row=1237&amp;col=6&amp;number=0.1454&amp;sourceID=14","0.1454")</f>
        <v>0.1454</v>
      </c>
      <c r="G1237" s="4" t="str">
        <f>HYPERLINK("http://141.218.60.56/~jnz1568/getInfo.php?workbook=14_04.xlsx&amp;sheet=A0&amp;row=1237&amp;col=7&amp;number=0&amp;sourceID=14","0")</f>
        <v>0</v>
      </c>
    </row>
    <row r="1238" spans="1:7">
      <c r="A1238" s="3">
        <v>14</v>
      </c>
      <c r="B1238" s="3">
        <v>4</v>
      </c>
      <c r="C1238" s="3">
        <v>65</v>
      </c>
      <c r="D1238" s="3">
        <v>20</v>
      </c>
      <c r="E1238" s="3">
        <v>-122.091</v>
      </c>
      <c r="F1238" s="4" t="str">
        <f>HYPERLINK("http://141.218.60.56/~jnz1568/getInfo.php?workbook=14_04.xlsx&amp;sheet=A0&amp;row=1238&amp;col=6&amp;number=5486&amp;sourceID=14","5486")</f>
        <v>5486</v>
      </c>
      <c r="G1238" s="4" t="str">
        <f>HYPERLINK("http://141.218.60.56/~jnz1568/getInfo.php?workbook=14_04.xlsx&amp;sheet=A0&amp;row=1238&amp;col=7&amp;number=0&amp;sourceID=14","0")</f>
        <v>0</v>
      </c>
    </row>
    <row r="1239" spans="1:7">
      <c r="A1239" s="3">
        <v>14</v>
      </c>
      <c r="B1239" s="3">
        <v>4</v>
      </c>
      <c r="C1239" s="3">
        <v>66</v>
      </c>
      <c r="D1239" s="3">
        <v>20</v>
      </c>
      <c r="E1239" s="3">
        <v>-122.114</v>
      </c>
      <c r="F1239" s="4" t="str">
        <f>HYPERLINK("http://141.218.60.56/~jnz1568/getInfo.php?workbook=14_04.xlsx&amp;sheet=A0&amp;row=1239&amp;col=6&amp;number=3957&amp;sourceID=14","3957")</f>
        <v>3957</v>
      </c>
      <c r="G1239" s="4" t="str">
        <f>HYPERLINK("http://141.218.60.56/~jnz1568/getInfo.php?workbook=14_04.xlsx&amp;sheet=A0&amp;row=1239&amp;col=7&amp;number=0&amp;sourceID=14","0")</f>
        <v>0</v>
      </c>
    </row>
    <row r="1240" spans="1:7">
      <c r="A1240" s="3">
        <v>14</v>
      </c>
      <c r="B1240" s="3">
        <v>4</v>
      </c>
      <c r="C1240" s="3">
        <v>67</v>
      </c>
      <c r="D1240" s="3">
        <v>20</v>
      </c>
      <c r="E1240" s="3">
        <v>-121.443</v>
      </c>
      <c r="F1240" s="4" t="str">
        <f>HYPERLINK("http://141.218.60.56/~jnz1568/getInfo.php?workbook=14_04.xlsx&amp;sheet=A0&amp;row=1240&amp;col=6&amp;number=3.32&amp;sourceID=14","3.32")</f>
        <v>3.32</v>
      </c>
      <c r="G1240" s="4" t="str">
        <f>HYPERLINK("http://141.218.60.56/~jnz1568/getInfo.php?workbook=14_04.xlsx&amp;sheet=A0&amp;row=1240&amp;col=7&amp;number=0&amp;sourceID=14","0")</f>
        <v>0</v>
      </c>
    </row>
    <row r="1241" spans="1:7">
      <c r="A1241" s="3">
        <v>14</v>
      </c>
      <c r="B1241" s="3">
        <v>4</v>
      </c>
      <c r="C1241" s="3">
        <v>68</v>
      </c>
      <c r="D1241" s="3">
        <v>20</v>
      </c>
      <c r="E1241" s="3">
        <v>-121.326</v>
      </c>
      <c r="F1241" s="4" t="str">
        <f>HYPERLINK("http://141.218.60.56/~jnz1568/getInfo.php?workbook=14_04.xlsx&amp;sheet=A0&amp;row=1241&amp;col=6&amp;number=830.5&amp;sourceID=14","830.5")</f>
        <v>830.5</v>
      </c>
      <c r="G1241" s="4" t="str">
        <f>HYPERLINK("http://141.218.60.56/~jnz1568/getInfo.php?workbook=14_04.xlsx&amp;sheet=A0&amp;row=1241&amp;col=7&amp;number=0&amp;sourceID=14","0")</f>
        <v>0</v>
      </c>
    </row>
    <row r="1242" spans="1:7">
      <c r="A1242" s="3">
        <v>14</v>
      </c>
      <c r="B1242" s="3">
        <v>4</v>
      </c>
      <c r="C1242" s="3">
        <v>69</v>
      </c>
      <c r="D1242" s="3">
        <v>20</v>
      </c>
      <c r="E1242" s="3">
        <v>-121.207</v>
      </c>
      <c r="F1242" s="4" t="str">
        <f>HYPERLINK("http://141.218.60.56/~jnz1568/getInfo.php?workbook=14_04.xlsx&amp;sheet=A0&amp;row=1242&amp;col=6&amp;number=154300000&amp;sourceID=14","154300000")</f>
        <v>154300000</v>
      </c>
      <c r="G1242" s="4" t="str">
        <f>HYPERLINK("http://141.218.60.56/~jnz1568/getInfo.php?workbook=14_04.xlsx&amp;sheet=A0&amp;row=1242&amp;col=7&amp;number=0&amp;sourceID=14","0")</f>
        <v>0</v>
      </c>
    </row>
    <row r="1243" spans="1:7">
      <c r="A1243" s="3">
        <v>14</v>
      </c>
      <c r="B1243" s="3">
        <v>4</v>
      </c>
      <c r="C1243" s="3">
        <v>70</v>
      </c>
      <c r="D1243" s="3">
        <v>20</v>
      </c>
      <c r="E1243" s="3">
        <v>-120.704</v>
      </c>
      <c r="F1243" s="4" t="str">
        <f>HYPERLINK("http://141.218.60.56/~jnz1568/getInfo.php?workbook=14_04.xlsx&amp;sheet=A0&amp;row=1243&amp;col=6&amp;number=49690000&amp;sourceID=14","49690000")</f>
        <v>49690000</v>
      </c>
      <c r="G1243" s="4" t="str">
        <f>HYPERLINK("http://141.218.60.56/~jnz1568/getInfo.php?workbook=14_04.xlsx&amp;sheet=A0&amp;row=1243&amp;col=7&amp;number=0&amp;sourceID=14","0")</f>
        <v>0</v>
      </c>
    </row>
    <row r="1244" spans="1:7">
      <c r="A1244" s="3">
        <v>14</v>
      </c>
      <c r="B1244" s="3">
        <v>4</v>
      </c>
      <c r="C1244" s="3">
        <v>71</v>
      </c>
      <c r="D1244" s="3">
        <v>20</v>
      </c>
      <c r="E1244" s="3">
        <v>-120.499</v>
      </c>
      <c r="F1244" s="4" t="str">
        <f>HYPERLINK("http://141.218.60.56/~jnz1568/getInfo.php?workbook=14_04.xlsx&amp;sheet=A0&amp;row=1244&amp;col=6&amp;number=360900000&amp;sourceID=14","360900000")</f>
        <v>360900000</v>
      </c>
      <c r="G1244" s="4" t="str">
        <f>HYPERLINK("http://141.218.60.56/~jnz1568/getInfo.php?workbook=14_04.xlsx&amp;sheet=A0&amp;row=1244&amp;col=7&amp;number=0&amp;sourceID=14","0")</f>
        <v>0</v>
      </c>
    </row>
    <row r="1245" spans="1:7">
      <c r="A1245" s="3">
        <v>14</v>
      </c>
      <c r="B1245" s="3">
        <v>4</v>
      </c>
      <c r="C1245" s="3">
        <v>72</v>
      </c>
      <c r="D1245" s="3">
        <v>20</v>
      </c>
      <c r="E1245" s="3">
        <v>-120.184</v>
      </c>
      <c r="F1245" s="4" t="str">
        <f>HYPERLINK("http://141.218.60.56/~jnz1568/getInfo.php?workbook=14_04.xlsx&amp;sheet=A0&amp;row=1245&amp;col=6&amp;number=22340&amp;sourceID=14","22340")</f>
        <v>22340</v>
      </c>
      <c r="G1245" s="4" t="str">
        <f>HYPERLINK("http://141.218.60.56/~jnz1568/getInfo.php?workbook=14_04.xlsx&amp;sheet=A0&amp;row=1245&amp;col=7&amp;number=0&amp;sourceID=14","0")</f>
        <v>0</v>
      </c>
    </row>
    <row r="1246" spans="1:7">
      <c r="A1246" s="3">
        <v>14</v>
      </c>
      <c r="B1246" s="3">
        <v>4</v>
      </c>
      <c r="C1246" s="3">
        <v>74</v>
      </c>
      <c r="D1246" s="3">
        <v>20</v>
      </c>
      <c r="E1246" s="3">
        <v>-119.777</v>
      </c>
      <c r="F1246" s="4" t="str">
        <f>HYPERLINK("http://141.218.60.56/~jnz1568/getInfo.php?workbook=14_04.xlsx&amp;sheet=A0&amp;row=1246&amp;col=6&amp;number=45660000&amp;sourceID=14","45660000")</f>
        <v>45660000</v>
      </c>
      <c r="G1246" s="4" t="str">
        <f>HYPERLINK("http://141.218.60.56/~jnz1568/getInfo.php?workbook=14_04.xlsx&amp;sheet=A0&amp;row=1246&amp;col=7&amp;number=0&amp;sourceID=14","0")</f>
        <v>0</v>
      </c>
    </row>
    <row r="1247" spans="1:7">
      <c r="A1247" s="3">
        <v>14</v>
      </c>
      <c r="B1247" s="3">
        <v>4</v>
      </c>
      <c r="C1247" s="3">
        <v>75</v>
      </c>
      <c r="D1247" s="3">
        <v>20</v>
      </c>
      <c r="E1247" s="3">
        <v>-119.502</v>
      </c>
      <c r="F1247" s="4" t="str">
        <f>HYPERLINK("http://141.218.60.56/~jnz1568/getInfo.php?workbook=14_04.xlsx&amp;sheet=A0&amp;row=1247&amp;col=6&amp;number=87240000&amp;sourceID=14","87240000")</f>
        <v>87240000</v>
      </c>
      <c r="G1247" s="4" t="str">
        <f>HYPERLINK("http://141.218.60.56/~jnz1568/getInfo.php?workbook=14_04.xlsx&amp;sheet=A0&amp;row=1247&amp;col=7&amp;number=0&amp;sourceID=14","0")</f>
        <v>0</v>
      </c>
    </row>
    <row r="1248" spans="1:7">
      <c r="A1248" s="3">
        <v>14</v>
      </c>
      <c r="B1248" s="3">
        <v>4</v>
      </c>
      <c r="C1248" s="3">
        <v>76</v>
      </c>
      <c r="D1248" s="3">
        <v>20</v>
      </c>
      <c r="E1248" s="3">
        <v>118.841</v>
      </c>
      <c r="F1248" s="4" t="str">
        <f>HYPERLINK("http://141.218.60.56/~jnz1568/getInfo.php?workbook=14_04.xlsx&amp;sheet=A0&amp;row=1248&amp;col=6&amp;number=20250000&amp;sourceID=14","20250000")</f>
        <v>20250000</v>
      </c>
      <c r="G1248" s="4" t="str">
        <f>HYPERLINK("http://141.218.60.56/~jnz1568/getInfo.php?workbook=14_04.xlsx&amp;sheet=A0&amp;row=1248&amp;col=7&amp;number=0&amp;sourceID=14","0")</f>
        <v>0</v>
      </c>
    </row>
    <row r="1249" spans="1:7">
      <c r="A1249" s="3">
        <v>14</v>
      </c>
      <c r="B1249" s="3">
        <v>4</v>
      </c>
      <c r="C1249" s="3">
        <v>77</v>
      </c>
      <c r="D1249" s="3">
        <v>20</v>
      </c>
      <c r="E1249" s="3">
        <v>118.713</v>
      </c>
      <c r="F1249" s="4" t="str">
        <f>HYPERLINK("http://141.218.60.56/~jnz1568/getInfo.php?workbook=14_04.xlsx&amp;sheet=A0&amp;row=1249&amp;col=6&amp;number=6308000&amp;sourceID=14","6308000")</f>
        <v>6308000</v>
      </c>
      <c r="G1249" s="4" t="str">
        <f>HYPERLINK("http://141.218.60.56/~jnz1568/getInfo.php?workbook=14_04.xlsx&amp;sheet=A0&amp;row=1249&amp;col=7&amp;number=0&amp;sourceID=14","0")</f>
        <v>0</v>
      </c>
    </row>
    <row r="1250" spans="1:7">
      <c r="A1250" s="3">
        <v>14</v>
      </c>
      <c r="B1250" s="3">
        <v>4</v>
      </c>
      <c r="C1250" s="3">
        <v>78</v>
      </c>
      <c r="D1250" s="3">
        <v>20</v>
      </c>
      <c r="E1250" s="3">
        <v>-118.664</v>
      </c>
      <c r="F1250" s="4" t="str">
        <f>HYPERLINK("http://141.218.60.56/~jnz1568/getInfo.php?workbook=14_04.xlsx&amp;sheet=A0&amp;row=1250&amp;col=6&amp;number=3715000&amp;sourceID=14","3715000")</f>
        <v>3715000</v>
      </c>
      <c r="G1250" s="4" t="str">
        <f>HYPERLINK("http://141.218.60.56/~jnz1568/getInfo.php?workbook=14_04.xlsx&amp;sheet=A0&amp;row=1250&amp;col=7&amp;number=0&amp;sourceID=14","0")</f>
        <v>0</v>
      </c>
    </row>
    <row r="1251" spans="1:7">
      <c r="A1251" s="3">
        <v>14</v>
      </c>
      <c r="B1251" s="3">
        <v>4</v>
      </c>
      <c r="C1251" s="3">
        <v>80</v>
      </c>
      <c r="D1251" s="3">
        <v>20</v>
      </c>
      <c r="E1251" s="3">
        <v>120.189</v>
      </c>
      <c r="F1251" s="4" t="str">
        <f>HYPERLINK("http://141.218.60.56/~jnz1568/getInfo.php?workbook=14_04.xlsx&amp;sheet=A0&amp;row=1251&amp;col=6&amp;number=159200&amp;sourceID=14","159200")</f>
        <v>159200</v>
      </c>
      <c r="G1251" s="4" t="str">
        <f>HYPERLINK("http://141.218.60.56/~jnz1568/getInfo.php?workbook=14_04.xlsx&amp;sheet=A0&amp;row=1251&amp;col=7&amp;number=0&amp;sourceID=14","0")</f>
        <v>0</v>
      </c>
    </row>
    <row r="1252" spans="1:7">
      <c r="A1252" s="3">
        <v>14</v>
      </c>
      <c r="B1252" s="3">
        <v>4</v>
      </c>
      <c r="C1252" s="3">
        <v>81</v>
      </c>
      <c r="D1252" s="3">
        <v>20</v>
      </c>
      <c r="E1252" s="3">
        <v>117.302</v>
      </c>
      <c r="F1252" s="4" t="str">
        <f>HYPERLINK("http://141.218.60.56/~jnz1568/getInfo.php?workbook=14_04.xlsx&amp;sheet=A0&amp;row=1252&amp;col=6&amp;number=1207000000&amp;sourceID=14","1207000000")</f>
        <v>1207000000</v>
      </c>
      <c r="G1252" s="4" t="str">
        <f>HYPERLINK("http://141.218.60.56/~jnz1568/getInfo.php?workbook=14_04.xlsx&amp;sheet=A0&amp;row=1252&amp;col=7&amp;number=0&amp;sourceID=14","0")</f>
        <v>0</v>
      </c>
    </row>
    <row r="1253" spans="1:7">
      <c r="A1253" s="3">
        <v>14</v>
      </c>
      <c r="B1253" s="3">
        <v>4</v>
      </c>
      <c r="C1253" s="3">
        <v>82</v>
      </c>
      <c r="D1253" s="3">
        <v>20</v>
      </c>
      <c r="E1253" s="3">
        <v>-116.959</v>
      </c>
      <c r="F1253" s="4" t="str">
        <f>HYPERLINK("http://141.218.60.56/~jnz1568/getInfo.php?workbook=14_04.xlsx&amp;sheet=A0&amp;row=1253&amp;col=6&amp;number=1184000000&amp;sourceID=14","1184000000")</f>
        <v>1184000000</v>
      </c>
      <c r="G1253" s="4" t="str">
        <f>HYPERLINK("http://141.218.60.56/~jnz1568/getInfo.php?workbook=14_04.xlsx&amp;sheet=A0&amp;row=1253&amp;col=7&amp;number=0&amp;sourceID=14","0")</f>
        <v>0</v>
      </c>
    </row>
    <row r="1254" spans="1:7">
      <c r="A1254" s="3">
        <v>14</v>
      </c>
      <c r="B1254" s="3">
        <v>4</v>
      </c>
      <c r="C1254" s="3">
        <v>83</v>
      </c>
      <c r="D1254" s="3">
        <v>20</v>
      </c>
      <c r="E1254" s="3">
        <v>-109.18</v>
      </c>
      <c r="F1254" s="4" t="str">
        <f>HYPERLINK("http://141.218.60.56/~jnz1568/getInfo.php?workbook=14_04.xlsx&amp;sheet=A0&amp;row=1254&amp;col=6&amp;number=63.28&amp;sourceID=14","63.28")</f>
        <v>63.28</v>
      </c>
      <c r="G1254" s="4" t="str">
        <f>HYPERLINK("http://141.218.60.56/~jnz1568/getInfo.php?workbook=14_04.xlsx&amp;sheet=A0&amp;row=1254&amp;col=7&amp;number=0&amp;sourceID=14","0")</f>
        <v>0</v>
      </c>
    </row>
    <row r="1255" spans="1:7">
      <c r="A1255" s="3">
        <v>14</v>
      </c>
      <c r="B1255" s="3">
        <v>4</v>
      </c>
      <c r="C1255" s="3">
        <v>84</v>
      </c>
      <c r="D1255" s="3">
        <v>20</v>
      </c>
      <c r="E1255" s="3">
        <v>-108.33</v>
      </c>
      <c r="F1255" s="4" t="str">
        <f>HYPERLINK("http://141.218.60.56/~jnz1568/getInfo.php?workbook=14_04.xlsx&amp;sheet=A0&amp;row=1255&amp;col=6&amp;number=2387000&amp;sourceID=14","2387000")</f>
        <v>2387000</v>
      </c>
      <c r="G1255" s="4" t="str">
        <f>HYPERLINK("http://141.218.60.56/~jnz1568/getInfo.php?workbook=14_04.xlsx&amp;sheet=A0&amp;row=1255&amp;col=7&amp;number=0&amp;sourceID=14","0")</f>
        <v>0</v>
      </c>
    </row>
    <row r="1256" spans="1:7">
      <c r="A1256" s="3">
        <v>14</v>
      </c>
      <c r="B1256" s="3">
        <v>4</v>
      </c>
      <c r="C1256" s="3">
        <v>86</v>
      </c>
      <c r="D1256" s="3">
        <v>20</v>
      </c>
      <c r="E1256" s="3">
        <v>-107.462</v>
      </c>
      <c r="F1256" s="4" t="str">
        <f>HYPERLINK("http://141.218.60.56/~jnz1568/getInfo.php?workbook=14_04.xlsx&amp;sheet=A0&amp;row=1256&amp;col=6&amp;number=22190000&amp;sourceID=14","22190000")</f>
        <v>22190000</v>
      </c>
      <c r="G1256" s="4" t="str">
        <f>HYPERLINK("http://141.218.60.56/~jnz1568/getInfo.php?workbook=14_04.xlsx&amp;sheet=A0&amp;row=1256&amp;col=7&amp;number=0&amp;sourceID=14","0")</f>
        <v>0</v>
      </c>
    </row>
    <row r="1257" spans="1:7">
      <c r="A1257" s="3">
        <v>14</v>
      </c>
      <c r="B1257" s="3">
        <v>4</v>
      </c>
      <c r="C1257" s="3">
        <v>87</v>
      </c>
      <c r="D1257" s="3">
        <v>20</v>
      </c>
      <c r="E1257" s="3">
        <v>106.741</v>
      </c>
      <c r="F1257" s="4" t="str">
        <f>HYPERLINK("http://141.218.60.56/~jnz1568/getInfo.php?workbook=14_04.xlsx&amp;sheet=A0&amp;row=1257&amp;col=6&amp;number=74950&amp;sourceID=14","74950")</f>
        <v>74950</v>
      </c>
      <c r="G1257" s="4" t="str">
        <f>HYPERLINK("http://141.218.60.56/~jnz1568/getInfo.php?workbook=14_04.xlsx&amp;sheet=A0&amp;row=1257&amp;col=7&amp;number=0&amp;sourceID=14","0")</f>
        <v>0</v>
      </c>
    </row>
    <row r="1258" spans="1:7">
      <c r="A1258" s="3">
        <v>14</v>
      </c>
      <c r="B1258" s="3">
        <v>4</v>
      </c>
      <c r="C1258" s="3">
        <v>88</v>
      </c>
      <c r="D1258" s="3">
        <v>20</v>
      </c>
      <c r="E1258" s="3">
        <v>-107.134</v>
      </c>
      <c r="F1258" s="4" t="str">
        <f>HYPERLINK("http://141.218.60.56/~jnz1568/getInfo.php?workbook=14_04.xlsx&amp;sheet=A0&amp;row=1258&amp;col=6&amp;number=4874000000&amp;sourceID=14","4874000000")</f>
        <v>4874000000</v>
      </c>
      <c r="G1258" s="4" t="str">
        <f>HYPERLINK("http://141.218.60.56/~jnz1568/getInfo.php?workbook=14_04.xlsx&amp;sheet=A0&amp;row=1258&amp;col=7&amp;number=0&amp;sourceID=14","0")</f>
        <v>0</v>
      </c>
    </row>
    <row r="1259" spans="1:7">
      <c r="A1259" s="3">
        <v>14</v>
      </c>
      <c r="B1259" s="3">
        <v>4</v>
      </c>
      <c r="C1259" s="3">
        <v>89</v>
      </c>
      <c r="D1259" s="3">
        <v>20</v>
      </c>
      <c r="E1259" s="3">
        <v>-106.494</v>
      </c>
      <c r="F1259" s="4" t="str">
        <f>HYPERLINK("http://141.218.60.56/~jnz1568/getInfo.php?workbook=14_04.xlsx&amp;sheet=A0&amp;row=1259&amp;col=6&amp;number=55.95&amp;sourceID=14","55.95")</f>
        <v>55.95</v>
      </c>
      <c r="G1259" s="4" t="str">
        <f>HYPERLINK("http://141.218.60.56/~jnz1568/getInfo.php?workbook=14_04.xlsx&amp;sheet=A0&amp;row=1259&amp;col=7&amp;number=0&amp;sourceID=14","0")</f>
        <v>0</v>
      </c>
    </row>
    <row r="1260" spans="1:7">
      <c r="A1260" s="3">
        <v>14</v>
      </c>
      <c r="B1260" s="3">
        <v>4</v>
      </c>
      <c r="C1260" s="3">
        <v>90</v>
      </c>
      <c r="D1260" s="3">
        <v>20</v>
      </c>
      <c r="E1260" s="3">
        <v>106.222</v>
      </c>
      <c r="F1260" s="4" t="str">
        <f>HYPERLINK("http://141.218.60.56/~jnz1568/getInfo.php?workbook=14_04.xlsx&amp;sheet=A0&amp;row=1260&amp;col=6&amp;number=90.3&amp;sourceID=14","90.3")</f>
        <v>90.3</v>
      </c>
      <c r="G1260" s="4" t="str">
        <f>HYPERLINK("http://141.218.60.56/~jnz1568/getInfo.php?workbook=14_04.xlsx&amp;sheet=A0&amp;row=1260&amp;col=7&amp;number=0&amp;sourceID=14","0")</f>
        <v>0</v>
      </c>
    </row>
    <row r="1261" spans="1:7">
      <c r="A1261" s="3">
        <v>14</v>
      </c>
      <c r="B1261" s="3">
        <v>4</v>
      </c>
      <c r="C1261" s="3">
        <v>91</v>
      </c>
      <c r="D1261" s="3">
        <v>20</v>
      </c>
      <c r="E1261" s="3">
        <v>106.231</v>
      </c>
      <c r="F1261" s="4" t="str">
        <f>HYPERLINK("http://141.218.60.56/~jnz1568/getInfo.php?workbook=14_04.xlsx&amp;sheet=A0&amp;row=1261&amp;col=6&amp;number=28.77&amp;sourceID=14","28.77")</f>
        <v>28.77</v>
      </c>
      <c r="G1261" s="4" t="str">
        <f>HYPERLINK("http://141.218.60.56/~jnz1568/getInfo.php?workbook=14_04.xlsx&amp;sheet=A0&amp;row=1261&amp;col=7&amp;number=0&amp;sourceID=14","0")</f>
        <v>0</v>
      </c>
    </row>
    <row r="1262" spans="1:7">
      <c r="A1262" s="3">
        <v>14</v>
      </c>
      <c r="B1262" s="3">
        <v>4</v>
      </c>
      <c r="C1262" s="3">
        <v>92</v>
      </c>
      <c r="D1262" s="3">
        <v>20</v>
      </c>
      <c r="E1262" s="3">
        <v>105.789</v>
      </c>
      <c r="F1262" s="4" t="str">
        <f>HYPERLINK("http://141.218.60.56/~jnz1568/getInfo.php?workbook=14_04.xlsx&amp;sheet=A0&amp;row=1262&amp;col=6&amp;number=1433000&amp;sourceID=14","1433000")</f>
        <v>1433000</v>
      </c>
      <c r="G1262" s="4" t="str">
        <f>HYPERLINK("http://141.218.60.56/~jnz1568/getInfo.php?workbook=14_04.xlsx&amp;sheet=A0&amp;row=1262&amp;col=7&amp;number=0&amp;sourceID=14","0")</f>
        <v>0</v>
      </c>
    </row>
    <row r="1263" spans="1:7">
      <c r="A1263" s="3">
        <v>14</v>
      </c>
      <c r="B1263" s="3">
        <v>4</v>
      </c>
      <c r="C1263" s="3">
        <v>22</v>
      </c>
      <c r="D1263" s="3">
        <v>21</v>
      </c>
      <c r="E1263" s="3">
        <v>-43047.501</v>
      </c>
      <c r="F1263" s="4" t="str">
        <f>HYPERLINK("http://141.218.60.56/~jnz1568/getInfo.php?workbook=14_04.xlsx&amp;sheet=A0&amp;row=1263&amp;col=6&amp;number=0.2231&amp;sourceID=14","0.2231")</f>
        <v>0.2231</v>
      </c>
      <c r="G1263" s="4" t="str">
        <f>HYPERLINK("http://141.218.60.56/~jnz1568/getInfo.php?workbook=14_04.xlsx&amp;sheet=A0&amp;row=1263&amp;col=7&amp;number=0&amp;sourceID=14","0")</f>
        <v>0</v>
      </c>
    </row>
    <row r="1264" spans="1:7">
      <c r="A1264" s="3">
        <v>14</v>
      </c>
      <c r="B1264" s="3">
        <v>4</v>
      </c>
      <c r="C1264" s="3">
        <v>23</v>
      </c>
      <c r="D1264" s="3">
        <v>21</v>
      </c>
      <c r="E1264" s="3">
        <v>-12462.878</v>
      </c>
      <c r="F1264" s="4" t="str">
        <f>HYPERLINK("http://141.218.60.56/~jnz1568/getInfo.php?workbook=14_04.xlsx&amp;sheet=A0&amp;row=1264&amp;col=6&amp;number=4.621e-07&amp;sourceID=14","4.621e-07")</f>
        <v>4.621e-07</v>
      </c>
      <c r="G1264" s="4" t="str">
        <f>HYPERLINK("http://141.218.60.56/~jnz1568/getInfo.php?workbook=14_04.xlsx&amp;sheet=A0&amp;row=1264&amp;col=7&amp;number=0&amp;sourceID=14","0")</f>
        <v>0</v>
      </c>
    </row>
    <row r="1265" spans="1:7">
      <c r="A1265" s="3">
        <v>14</v>
      </c>
      <c r="B1265" s="3">
        <v>4</v>
      </c>
      <c r="C1265" s="3">
        <v>24</v>
      </c>
      <c r="D1265" s="3">
        <v>21</v>
      </c>
      <c r="E1265" s="3">
        <v>-2591.218</v>
      </c>
      <c r="F1265" s="4" t="str">
        <f>HYPERLINK("http://141.218.60.56/~jnz1568/getInfo.php?workbook=14_04.xlsx&amp;sheet=A0&amp;row=1265&amp;col=6&amp;number=10.4&amp;sourceID=14","10.4")</f>
        <v>10.4</v>
      </c>
      <c r="G1265" s="4" t="str">
        <f>HYPERLINK("http://141.218.60.56/~jnz1568/getInfo.php?workbook=14_04.xlsx&amp;sheet=A0&amp;row=1265&amp;col=7&amp;number=0&amp;sourceID=14","0")</f>
        <v>0</v>
      </c>
    </row>
    <row r="1266" spans="1:7">
      <c r="A1266" s="3">
        <v>14</v>
      </c>
      <c r="B1266" s="3">
        <v>4</v>
      </c>
      <c r="C1266" s="3">
        <v>25</v>
      </c>
      <c r="D1266" s="3">
        <v>21</v>
      </c>
      <c r="E1266" s="3">
        <v>-2074.556</v>
      </c>
      <c r="F1266" s="4" t="str">
        <f>HYPERLINK("http://141.218.60.56/~jnz1568/getInfo.php?workbook=14_04.xlsx&amp;sheet=A0&amp;row=1266&amp;col=6&amp;number=4709000&amp;sourceID=14","4709000")</f>
        <v>4709000</v>
      </c>
      <c r="G1266" s="4" t="str">
        <f>HYPERLINK("http://141.218.60.56/~jnz1568/getInfo.php?workbook=14_04.xlsx&amp;sheet=A0&amp;row=1266&amp;col=7&amp;number=0&amp;sourceID=14","0")</f>
        <v>0</v>
      </c>
    </row>
    <row r="1267" spans="1:7">
      <c r="A1267" s="3">
        <v>14</v>
      </c>
      <c r="B1267" s="3">
        <v>4</v>
      </c>
      <c r="C1267" s="3">
        <v>26</v>
      </c>
      <c r="D1267" s="3">
        <v>21</v>
      </c>
      <c r="E1267" s="3">
        <v>-1755.774</v>
      </c>
      <c r="F1267" s="4" t="str">
        <f>HYPERLINK("http://141.218.60.56/~jnz1568/getInfo.php?workbook=14_04.xlsx&amp;sheet=A0&amp;row=1267&amp;col=6&amp;number=83660000&amp;sourceID=14","83660000")</f>
        <v>83660000</v>
      </c>
      <c r="G1267" s="4" t="str">
        <f>HYPERLINK("http://141.218.60.56/~jnz1568/getInfo.php?workbook=14_04.xlsx&amp;sheet=A0&amp;row=1267&amp;col=7&amp;number=0&amp;sourceID=14","0")</f>
        <v>0</v>
      </c>
    </row>
    <row r="1268" spans="1:7">
      <c r="A1268" s="3">
        <v>14</v>
      </c>
      <c r="B1268" s="3">
        <v>4</v>
      </c>
      <c r="C1268" s="3">
        <v>29</v>
      </c>
      <c r="D1268" s="3">
        <v>21</v>
      </c>
      <c r="E1268" s="3">
        <v>1339.157</v>
      </c>
      <c r="F1268" s="4" t="str">
        <f>HYPERLINK("http://141.218.60.56/~jnz1568/getInfo.php?workbook=14_04.xlsx&amp;sheet=A0&amp;row=1268&amp;col=6&amp;number=62330000&amp;sourceID=14","62330000")</f>
        <v>62330000</v>
      </c>
      <c r="G1268" s="4" t="str">
        <f>HYPERLINK("http://141.218.60.56/~jnz1568/getInfo.php?workbook=14_04.xlsx&amp;sheet=A0&amp;row=1268&amp;col=7&amp;number=0&amp;sourceID=14","0")</f>
        <v>0</v>
      </c>
    </row>
    <row r="1269" spans="1:7">
      <c r="A1269" s="3">
        <v>14</v>
      </c>
      <c r="B1269" s="3">
        <v>4</v>
      </c>
      <c r="C1269" s="3">
        <v>31</v>
      </c>
      <c r="D1269" s="3">
        <v>21</v>
      </c>
      <c r="E1269" s="3">
        <v>1154.803</v>
      </c>
      <c r="F1269" s="4" t="str">
        <f>HYPERLINK("http://141.218.60.56/~jnz1568/getInfo.php?workbook=14_04.xlsx&amp;sheet=A0&amp;row=1269&amp;col=6&amp;number=121900000&amp;sourceID=14","121900000")</f>
        <v>121900000</v>
      </c>
      <c r="G1269" s="4" t="str">
        <f>HYPERLINK("http://141.218.60.56/~jnz1568/getInfo.php?workbook=14_04.xlsx&amp;sheet=A0&amp;row=1269&amp;col=7&amp;number=0&amp;sourceID=14","0")</f>
        <v>0</v>
      </c>
    </row>
    <row r="1270" spans="1:7">
      <c r="A1270" s="3">
        <v>14</v>
      </c>
      <c r="B1270" s="3">
        <v>4</v>
      </c>
      <c r="C1270" s="3">
        <v>33</v>
      </c>
      <c r="D1270" s="3">
        <v>21</v>
      </c>
      <c r="E1270" s="3">
        <v>-1059.823</v>
      </c>
      <c r="F1270" s="4" t="str">
        <f>HYPERLINK("http://141.218.60.56/~jnz1568/getInfo.php?workbook=14_04.xlsx&amp;sheet=A0&amp;row=1270&amp;col=6&amp;number=72.23&amp;sourceID=14","72.23")</f>
        <v>72.23</v>
      </c>
      <c r="G1270" s="4" t="str">
        <f>HYPERLINK("http://141.218.60.56/~jnz1568/getInfo.php?workbook=14_04.xlsx&amp;sheet=A0&amp;row=1270&amp;col=7&amp;number=0&amp;sourceID=14","0")</f>
        <v>0</v>
      </c>
    </row>
    <row r="1271" spans="1:7">
      <c r="A1271" s="3">
        <v>14</v>
      </c>
      <c r="B1271" s="3">
        <v>4</v>
      </c>
      <c r="C1271" s="3">
        <v>35</v>
      </c>
      <c r="D1271" s="3">
        <v>21</v>
      </c>
      <c r="E1271" s="3">
        <v>1007.092</v>
      </c>
      <c r="F1271" s="4" t="str">
        <f>HYPERLINK("http://141.218.60.56/~jnz1568/getInfo.php?workbook=14_04.xlsx&amp;sheet=A0&amp;row=1271&amp;col=6&amp;number=36.81&amp;sourceID=14","36.81")</f>
        <v>36.81</v>
      </c>
      <c r="G1271" s="4" t="str">
        <f>HYPERLINK("http://141.218.60.56/~jnz1568/getInfo.php?workbook=14_04.xlsx&amp;sheet=A0&amp;row=1271&amp;col=7&amp;number=0&amp;sourceID=14","0")</f>
        <v>0</v>
      </c>
    </row>
    <row r="1272" spans="1:7">
      <c r="A1272" s="3">
        <v>14</v>
      </c>
      <c r="B1272" s="3">
        <v>4</v>
      </c>
      <c r="C1272" s="3">
        <v>38</v>
      </c>
      <c r="D1272" s="3">
        <v>21</v>
      </c>
      <c r="E1272" s="3">
        <v>-818.479</v>
      </c>
      <c r="F1272" s="4" t="str">
        <f>HYPERLINK("http://141.218.60.56/~jnz1568/getInfo.php?workbook=14_04.xlsx&amp;sheet=A0&amp;row=1272&amp;col=6&amp;number=0.2515&amp;sourceID=14","0.2515")</f>
        <v>0.2515</v>
      </c>
      <c r="G1272" s="4" t="str">
        <f>HYPERLINK("http://141.218.60.56/~jnz1568/getInfo.php?workbook=14_04.xlsx&amp;sheet=A0&amp;row=1272&amp;col=7&amp;number=0&amp;sourceID=14","0")</f>
        <v>0</v>
      </c>
    </row>
    <row r="1273" spans="1:7">
      <c r="A1273" s="3">
        <v>14</v>
      </c>
      <c r="B1273" s="3">
        <v>4</v>
      </c>
      <c r="C1273" s="3">
        <v>39</v>
      </c>
      <c r="D1273" s="3">
        <v>21</v>
      </c>
      <c r="E1273" s="3">
        <v>854.038</v>
      </c>
      <c r="F1273" s="4" t="str">
        <f>HYPERLINK("http://141.218.60.56/~jnz1568/getInfo.php?workbook=14_04.xlsx&amp;sheet=A0&amp;row=1273&amp;col=6&amp;number=273.1&amp;sourceID=14","273.1")</f>
        <v>273.1</v>
      </c>
      <c r="G1273" s="4" t="str">
        <f>HYPERLINK("http://141.218.60.56/~jnz1568/getInfo.php?workbook=14_04.xlsx&amp;sheet=A0&amp;row=1273&amp;col=7&amp;number=0&amp;sourceID=14","0")</f>
        <v>0</v>
      </c>
    </row>
    <row r="1274" spans="1:7">
      <c r="A1274" s="3">
        <v>14</v>
      </c>
      <c r="B1274" s="3">
        <v>4</v>
      </c>
      <c r="C1274" s="3">
        <v>41</v>
      </c>
      <c r="D1274" s="3">
        <v>21</v>
      </c>
      <c r="E1274" s="3">
        <v>763.209</v>
      </c>
      <c r="F1274" s="4" t="str">
        <f>HYPERLINK("http://141.218.60.56/~jnz1568/getInfo.php?workbook=14_04.xlsx&amp;sheet=A0&amp;row=1274&amp;col=6&amp;number=55.24&amp;sourceID=14","55.24")</f>
        <v>55.24</v>
      </c>
      <c r="G1274" s="4" t="str">
        <f>HYPERLINK("http://141.218.60.56/~jnz1568/getInfo.php?workbook=14_04.xlsx&amp;sheet=A0&amp;row=1274&amp;col=7&amp;number=0&amp;sourceID=14","0")</f>
        <v>0</v>
      </c>
    </row>
    <row r="1275" spans="1:7">
      <c r="A1275" s="3">
        <v>14</v>
      </c>
      <c r="B1275" s="3">
        <v>4</v>
      </c>
      <c r="C1275" s="3">
        <v>42</v>
      </c>
      <c r="D1275" s="3">
        <v>21</v>
      </c>
      <c r="E1275" s="3">
        <v>780.696</v>
      </c>
      <c r="F1275" s="4" t="str">
        <f>HYPERLINK("http://141.218.60.56/~jnz1568/getInfo.php?workbook=14_04.xlsx&amp;sheet=A0&amp;row=1275&amp;col=6&amp;number=0.2918&amp;sourceID=14","0.2918")</f>
        <v>0.2918</v>
      </c>
      <c r="G1275" s="4" t="str">
        <f>HYPERLINK("http://141.218.60.56/~jnz1568/getInfo.php?workbook=14_04.xlsx&amp;sheet=A0&amp;row=1275&amp;col=7&amp;number=0&amp;sourceID=14","0")</f>
        <v>0</v>
      </c>
    </row>
    <row r="1276" spans="1:7">
      <c r="A1276" s="3">
        <v>14</v>
      </c>
      <c r="B1276" s="3">
        <v>4</v>
      </c>
      <c r="C1276" s="3">
        <v>46</v>
      </c>
      <c r="D1276" s="3">
        <v>21</v>
      </c>
      <c r="E1276" s="3">
        <v>632.572</v>
      </c>
      <c r="F1276" s="4" t="str">
        <f>HYPERLINK("http://141.218.60.56/~jnz1568/getInfo.php?workbook=14_04.xlsx&amp;sheet=A0&amp;row=1276&amp;col=6&amp;number=0.03725&amp;sourceID=14","0.03725")</f>
        <v>0.03725</v>
      </c>
      <c r="G1276" s="4" t="str">
        <f>HYPERLINK("http://141.218.60.56/~jnz1568/getInfo.php?workbook=14_04.xlsx&amp;sheet=A0&amp;row=1276&amp;col=7&amp;number=0&amp;sourceID=14","0")</f>
        <v>0</v>
      </c>
    </row>
    <row r="1277" spans="1:7">
      <c r="A1277" s="3">
        <v>14</v>
      </c>
      <c r="B1277" s="3">
        <v>4</v>
      </c>
      <c r="C1277" s="3">
        <v>47</v>
      </c>
      <c r="D1277" s="3">
        <v>21</v>
      </c>
      <c r="E1277" s="3">
        <v>195.657</v>
      </c>
      <c r="F1277" s="4" t="str">
        <f>HYPERLINK("http://141.218.60.56/~jnz1568/getInfo.php?workbook=14_04.xlsx&amp;sheet=A0&amp;row=1277&amp;col=6&amp;number=16980000&amp;sourceID=14","16980000")</f>
        <v>16980000</v>
      </c>
      <c r="G1277" s="4" t="str">
        <f>HYPERLINK("http://141.218.60.56/~jnz1568/getInfo.php?workbook=14_04.xlsx&amp;sheet=A0&amp;row=1277&amp;col=7&amp;number=0&amp;sourceID=14","0")</f>
        <v>0</v>
      </c>
    </row>
    <row r="1278" spans="1:7">
      <c r="A1278" s="3">
        <v>14</v>
      </c>
      <c r="B1278" s="3">
        <v>4</v>
      </c>
      <c r="C1278" s="3">
        <v>50</v>
      </c>
      <c r="D1278" s="3">
        <v>21</v>
      </c>
      <c r="E1278" s="3">
        <v>178.524</v>
      </c>
      <c r="F1278" s="4" t="str">
        <f>HYPERLINK("http://141.218.60.56/~jnz1568/getInfo.php?workbook=14_04.xlsx&amp;sheet=A0&amp;row=1278&amp;col=6&amp;number=0.01063&amp;sourceID=14","0.01063")</f>
        <v>0.01063</v>
      </c>
      <c r="G1278" s="4" t="str">
        <f>HYPERLINK("http://141.218.60.56/~jnz1568/getInfo.php?workbook=14_04.xlsx&amp;sheet=A0&amp;row=1278&amp;col=7&amp;number=0&amp;sourceID=14","0")</f>
        <v>0</v>
      </c>
    </row>
    <row r="1279" spans="1:7">
      <c r="A1279" s="3">
        <v>14</v>
      </c>
      <c r="B1279" s="3">
        <v>4</v>
      </c>
      <c r="C1279" s="3">
        <v>51</v>
      </c>
      <c r="D1279" s="3">
        <v>21</v>
      </c>
      <c r="E1279" s="3">
        <v>178.296</v>
      </c>
      <c r="F1279" s="4" t="str">
        <f>HYPERLINK("http://141.218.60.56/~jnz1568/getInfo.php?workbook=14_04.xlsx&amp;sheet=A0&amp;row=1279&amp;col=6&amp;number=414.8&amp;sourceID=14","414.8")</f>
        <v>414.8</v>
      </c>
      <c r="G1279" s="4" t="str">
        <f>HYPERLINK("http://141.218.60.56/~jnz1568/getInfo.php?workbook=14_04.xlsx&amp;sheet=A0&amp;row=1279&amp;col=7&amp;number=0&amp;sourceID=14","0")</f>
        <v>0</v>
      </c>
    </row>
    <row r="1280" spans="1:7">
      <c r="A1280" s="3">
        <v>14</v>
      </c>
      <c r="B1280" s="3">
        <v>4</v>
      </c>
      <c r="C1280" s="3">
        <v>52</v>
      </c>
      <c r="D1280" s="3">
        <v>21</v>
      </c>
      <c r="E1280" s="3">
        <v>179.643</v>
      </c>
      <c r="F1280" s="4" t="str">
        <f>HYPERLINK("http://141.218.60.56/~jnz1568/getInfo.php?workbook=14_04.xlsx&amp;sheet=A0&amp;row=1280&amp;col=6&amp;number=0.1218&amp;sourceID=14","0.1218")</f>
        <v>0.1218</v>
      </c>
      <c r="G1280" s="4" t="str">
        <f>HYPERLINK("http://141.218.60.56/~jnz1568/getInfo.php?workbook=14_04.xlsx&amp;sheet=A0&amp;row=1280&amp;col=7&amp;number=0&amp;sourceID=14","0")</f>
        <v>0</v>
      </c>
    </row>
    <row r="1281" spans="1:7">
      <c r="A1281" s="3">
        <v>14</v>
      </c>
      <c r="B1281" s="3">
        <v>4</v>
      </c>
      <c r="C1281" s="3">
        <v>53</v>
      </c>
      <c r="D1281" s="3">
        <v>21</v>
      </c>
      <c r="E1281" s="3">
        <v>174.626</v>
      </c>
      <c r="F1281" s="4" t="str">
        <f>HYPERLINK("http://141.218.60.56/~jnz1568/getInfo.php?workbook=14_04.xlsx&amp;sheet=A0&amp;row=1281&amp;col=6&amp;number=16410000&amp;sourceID=14","16410000")</f>
        <v>16410000</v>
      </c>
      <c r="G1281" s="4" t="str">
        <f>HYPERLINK("http://141.218.60.56/~jnz1568/getInfo.php?workbook=14_04.xlsx&amp;sheet=A0&amp;row=1281&amp;col=7&amp;number=0&amp;sourceID=14","0")</f>
        <v>0</v>
      </c>
    </row>
    <row r="1282" spans="1:7">
      <c r="A1282" s="3">
        <v>14</v>
      </c>
      <c r="B1282" s="3">
        <v>4</v>
      </c>
      <c r="C1282" s="3">
        <v>58</v>
      </c>
      <c r="D1282" s="3">
        <v>21</v>
      </c>
      <c r="E1282" s="3">
        <v>-137.595</v>
      </c>
      <c r="F1282" s="4" t="str">
        <f>HYPERLINK("http://141.218.60.56/~jnz1568/getInfo.php?workbook=14_04.xlsx&amp;sheet=A0&amp;row=1282&amp;col=6&amp;number=0.003435&amp;sourceID=14","0.003435")</f>
        <v>0.003435</v>
      </c>
      <c r="G1282" s="4" t="str">
        <f>HYPERLINK("http://141.218.60.56/~jnz1568/getInfo.php?workbook=14_04.xlsx&amp;sheet=A0&amp;row=1282&amp;col=7&amp;number=0&amp;sourceID=14","0")</f>
        <v>0</v>
      </c>
    </row>
    <row r="1283" spans="1:7">
      <c r="A1283" s="3">
        <v>14</v>
      </c>
      <c r="B1283" s="3">
        <v>4</v>
      </c>
      <c r="C1283" s="3">
        <v>59</v>
      </c>
      <c r="D1283" s="3">
        <v>21</v>
      </c>
      <c r="E1283" s="3">
        <v>138.21</v>
      </c>
      <c r="F1283" s="4" t="str">
        <f>HYPERLINK("http://141.218.60.56/~jnz1568/getInfo.php?workbook=14_04.xlsx&amp;sheet=A0&amp;row=1283&amp;col=6&amp;number=28680&amp;sourceID=14","28680")</f>
        <v>28680</v>
      </c>
      <c r="G1283" s="4" t="str">
        <f>HYPERLINK("http://141.218.60.56/~jnz1568/getInfo.php?workbook=14_04.xlsx&amp;sheet=A0&amp;row=1283&amp;col=7&amp;number=0&amp;sourceID=14","0")</f>
        <v>0</v>
      </c>
    </row>
    <row r="1284" spans="1:7">
      <c r="A1284" s="3">
        <v>14</v>
      </c>
      <c r="B1284" s="3">
        <v>4</v>
      </c>
      <c r="C1284" s="3">
        <v>60</v>
      </c>
      <c r="D1284" s="3">
        <v>21</v>
      </c>
      <c r="E1284" s="3">
        <v>-135.202</v>
      </c>
      <c r="F1284" s="4" t="str">
        <f>HYPERLINK("http://141.218.60.56/~jnz1568/getInfo.php?workbook=14_04.xlsx&amp;sheet=A0&amp;row=1284&amp;col=6&amp;number=0.04593&amp;sourceID=14","0.04593")</f>
        <v>0.04593</v>
      </c>
      <c r="G1284" s="4" t="str">
        <f>HYPERLINK("http://141.218.60.56/~jnz1568/getInfo.php?workbook=14_04.xlsx&amp;sheet=A0&amp;row=1284&amp;col=7&amp;number=0&amp;sourceID=14","0")</f>
        <v>0</v>
      </c>
    </row>
    <row r="1285" spans="1:7">
      <c r="A1285" s="3">
        <v>14</v>
      </c>
      <c r="B1285" s="3">
        <v>4</v>
      </c>
      <c r="C1285" s="3">
        <v>61</v>
      </c>
      <c r="D1285" s="3">
        <v>21</v>
      </c>
      <c r="E1285" s="3">
        <v>-133.055</v>
      </c>
      <c r="F1285" s="4" t="str">
        <f>HYPERLINK("http://141.218.60.56/~jnz1568/getInfo.php?workbook=14_04.xlsx&amp;sheet=A0&amp;row=1285&amp;col=6&amp;number=23080000000&amp;sourceID=14","23080000000")</f>
        <v>23080000000</v>
      </c>
      <c r="G1285" s="4" t="str">
        <f>HYPERLINK("http://141.218.60.56/~jnz1568/getInfo.php?workbook=14_04.xlsx&amp;sheet=A0&amp;row=1285&amp;col=7&amp;number=0&amp;sourceID=14","0")</f>
        <v>0</v>
      </c>
    </row>
    <row r="1286" spans="1:7">
      <c r="A1286" s="3">
        <v>14</v>
      </c>
      <c r="B1286" s="3">
        <v>4</v>
      </c>
      <c r="C1286" s="3">
        <v>62</v>
      </c>
      <c r="D1286" s="3">
        <v>21</v>
      </c>
      <c r="E1286" s="3">
        <v>-133.834</v>
      </c>
      <c r="F1286" s="4" t="str">
        <f>HYPERLINK("http://141.218.60.56/~jnz1568/getInfo.php?workbook=14_04.xlsx&amp;sheet=A0&amp;row=1286&amp;col=6&amp;number=8863000000&amp;sourceID=14","8863000000")</f>
        <v>8863000000</v>
      </c>
      <c r="G1286" s="4" t="str">
        <f>HYPERLINK("http://141.218.60.56/~jnz1568/getInfo.php?workbook=14_04.xlsx&amp;sheet=A0&amp;row=1286&amp;col=7&amp;number=0&amp;sourceID=14","0")</f>
        <v>0</v>
      </c>
    </row>
    <row r="1287" spans="1:7">
      <c r="A1287" s="3">
        <v>14</v>
      </c>
      <c r="B1287" s="3">
        <v>4</v>
      </c>
      <c r="C1287" s="3">
        <v>65</v>
      </c>
      <c r="D1287" s="3">
        <v>21</v>
      </c>
      <c r="E1287" s="3">
        <v>-131.748</v>
      </c>
      <c r="F1287" s="4" t="str">
        <f>HYPERLINK("http://141.218.60.56/~jnz1568/getInfo.php?workbook=14_04.xlsx&amp;sheet=A0&amp;row=1287&amp;col=6&amp;number=5411000000&amp;sourceID=14","5411000000")</f>
        <v>5411000000</v>
      </c>
      <c r="G1287" s="4" t="str">
        <f>HYPERLINK("http://141.218.60.56/~jnz1568/getInfo.php?workbook=14_04.xlsx&amp;sheet=A0&amp;row=1287&amp;col=7&amp;number=0&amp;sourceID=14","0")</f>
        <v>0</v>
      </c>
    </row>
    <row r="1288" spans="1:7">
      <c r="A1288" s="3">
        <v>14</v>
      </c>
      <c r="B1288" s="3">
        <v>4</v>
      </c>
      <c r="C1288" s="3">
        <v>67</v>
      </c>
      <c r="D1288" s="3">
        <v>21</v>
      </c>
      <c r="E1288" s="3">
        <v>-130.993</v>
      </c>
      <c r="F1288" s="4" t="str">
        <f>HYPERLINK("http://141.218.60.56/~jnz1568/getInfo.php?workbook=14_04.xlsx&amp;sheet=A0&amp;row=1288&amp;col=6&amp;number=1472000000&amp;sourceID=14","1472000000")</f>
        <v>1472000000</v>
      </c>
      <c r="G1288" s="4" t="str">
        <f>HYPERLINK("http://141.218.60.56/~jnz1568/getInfo.php?workbook=14_04.xlsx&amp;sheet=A0&amp;row=1288&amp;col=7&amp;number=0&amp;sourceID=14","0")</f>
        <v>0</v>
      </c>
    </row>
    <row r="1289" spans="1:7">
      <c r="A1289" s="3">
        <v>14</v>
      </c>
      <c r="B1289" s="3">
        <v>4</v>
      </c>
      <c r="C1289" s="3">
        <v>69</v>
      </c>
      <c r="D1289" s="3">
        <v>21</v>
      </c>
      <c r="E1289" s="3">
        <v>-130.718</v>
      </c>
      <c r="F1289" s="4" t="str">
        <f>HYPERLINK("http://141.218.60.56/~jnz1568/getInfo.php?workbook=14_04.xlsx&amp;sheet=A0&amp;row=1289&amp;col=6&amp;number=3473000&amp;sourceID=14","3473000")</f>
        <v>3473000</v>
      </c>
      <c r="G1289" s="4" t="str">
        <f>HYPERLINK("http://141.218.60.56/~jnz1568/getInfo.php?workbook=14_04.xlsx&amp;sheet=A0&amp;row=1289&amp;col=7&amp;number=0&amp;sourceID=14","0")</f>
        <v>0</v>
      </c>
    </row>
    <row r="1290" spans="1:7">
      <c r="A1290" s="3">
        <v>14</v>
      </c>
      <c r="B1290" s="3">
        <v>4</v>
      </c>
      <c r="C1290" s="3">
        <v>71</v>
      </c>
      <c r="D1290" s="3">
        <v>21</v>
      </c>
      <c r="E1290" s="3">
        <v>-129.896</v>
      </c>
      <c r="F1290" s="4" t="str">
        <f>HYPERLINK("http://141.218.60.56/~jnz1568/getInfo.php?workbook=14_04.xlsx&amp;sheet=A0&amp;row=1290&amp;col=6&amp;number=3814000&amp;sourceID=14","3814000")</f>
        <v>3814000</v>
      </c>
      <c r="G1290" s="4" t="str">
        <f>HYPERLINK("http://141.218.60.56/~jnz1568/getInfo.php?workbook=14_04.xlsx&amp;sheet=A0&amp;row=1290&amp;col=7&amp;number=0&amp;sourceID=14","0")</f>
        <v>0</v>
      </c>
    </row>
    <row r="1291" spans="1:7">
      <c r="A1291" s="3">
        <v>14</v>
      </c>
      <c r="B1291" s="3">
        <v>4</v>
      </c>
      <c r="C1291" s="3">
        <v>74</v>
      </c>
      <c r="D1291" s="3">
        <v>21</v>
      </c>
      <c r="E1291" s="3">
        <v>-129.057</v>
      </c>
      <c r="F1291" s="4" t="str">
        <f>HYPERLINK("http://141.218.60.56/~jnz1568/getInfo.php?workbook=14_04.xlsx&amp;sheet=A0&amp;row=1291&amp;col=6&amp;number=8.106e-05&amp;sourceID=14","8.106e-05")</f>
        <v>8.106e-05</v>
      </c>
      <c r="G1291" s="4" t="str">
        <f>HYPERLINK("http://141.218.60.56/~jnz1568/getInfo.php?workbook=14_04.xlsx&amp;sheet=A0&amp;row=1291&amp;col=7&amp;number=0&amp;sourceID=14","0")</f>
        <v>0</v>
      </c>
    </row>
    <row r="1292" spans="1:7">
      <c r="A1292" s="3">
        <v>14</v>
      </c>
      <c r="B1292" s="3">
        <v>4</v>
      </c>
      <c r="C1292" s="3">
        <v>75</v>
      </c>
      <c r="D1292" s="3">
        <v>21</v>
      </c>
      <c r="E1292" s="3">
        <v>-128.738</v>
      </c>
      <c r="F1292" s="4" t="str">
        <f>HYPERLINK("http://141.218.60.56/~jnz1568/getInfo.php?workbook=14_04.xlsx&amp;sheet=A0&amp;row=1292&amp;col=6&amp;number=2083000&amp;sourceID=14","2083000")</f>
        <v>2083000</v>
      </c>
      <c r="G1292" s="4" t="str">
        <f>HYPERLINK("http://141.218.60.56/~jnz1568/getInfo.php?workbook=14_04.xlsx&amp;sheet=A0&amp;row=1292&amp;col=7&amp;number=0&amp;sourceID=14","0")</f>
        <v>0</v>
      </c>
    </row>
    <row r="1293" spans="1:7">
      <c r="A1293" s="3">
        <v>14</v>
      </c>
      <c r="B1293" s="3">
        <v>4</v>
      </c>
      <c r="C1293" s="3">
        <v>77</v>
      </c>
      <c r="D1293" s="3">
        <v>21</v>
      </c>
      <c r="E1293" s="3">
        <v>128.269</v>
      </c>
      <c r="F1293" s="4" t="str">
        <f>HYPERLINK("http://141.218.60.56/~jnz1568/getInfo.php?workbook=14_04.xlsx&amp;sheet=A0&amp;row=1293&amp;col=6&amp;number=21660&amp;sourceID=14","21660")</f>
        <v>21660</v>
      </c>
      <c r="G1293" s="4" t="str">
        <f>HYPERLINK("http://141.218.60.56/~jnz1568/getInfo.php?workbook=14_04.xlsx&amp;sheet=A0&amp;row=1293&amp;col=7&amp;number=0&amp;sourceID=14","0")</f>
        <v>0</v>
      </c>
    </row>
    <row r="1294" spans="1:7">
      <c r="A1294" s="3">
        <v>14</v>
      </c>
      <c r="B1294" s="3">
        <v>4</v>
      </c>
      <c r="C1294" s="3">
        <v>78</v>
      </c>
      <c r="D1294" s="3">
        <v>21</v>
      </c>
      <c r="E1294" s="3">
        <v>-127.766</v>
      </c>
      <c r="F1294" s="4" t="str">
        <f>HYPERLINK("http://141.218.60.56/~jnz1568/getInfo.php?workbook=14_04.xlsx&amp;sheet=A0&amp;row=1294&amp;col=6&amp;number=0.0002402&amp;sourceID=14","0.0002402")</f>
        <v>0.0002402</v>
      </c>
      <c r="G1294" s="4" t="str">
        <f>HYPERLINK("http://141.218.60.56/~jnz1568/getInfo.php?workbook=14_04.xlsx&amp;sheet=A0&amp;row=1294&amp;col=7&amp;number=0&amp;sourceID=14","0")</f>
        <v>0</v>
      </c>
    </row>
    <row r="1295" spans="1:7">
      <c r="A1295" s="3">
        <v>14</v>
      </c>
      <c r="B1295" s="3">
        <v>4</v>
      </c>
      <c r="C1295" s="3">
        <v>82</v>
      </c>
      <c r="D1295" s="3">
        <v>21</v>
      </c>
      <c r="E1295" s="3">
        <v>-125.791</v>
      </c>
      <c r="F1295" s="4" t="str">
        <f>HYPERLINK("http://141.218.60.56/~jnz1568/getInfo.php?workbook=14_04.xlsx&amp;sheet=A0&amp;row=1295&amp;col=6&amp;number=0.007724&amp;sourceID=14","0.007724")</f>
        <v>0.007724</v>
      </c>
      <c r="G1295" s="4" t="str">
        <f>HYPERLINK("http://141.218.60.56/~jnz1568/getInfo.php?workbook=14_04.xlsx&amp;sheet=A0&amp;row=1295&amp;col=7&amp;number=0&amp;sourceID=14","0")</f>
        <v>0</v>
      </c>
    </row>
    <row r="1296" spans="1:7">
      <c r="A1296" s="3">
        <v>14</v>
      </c>
      <c r="B1296" s="3">
        <v>4</v>
      </c>
      <c r="C1296" s="3">
        <v>83</v>
      </c>
      <c r="D1296" s="3">
        <v>21</v>
      </c>
      <c r="E1296" s="3">
        <v>-116.838</v>
      </c>
      <c r="F1296" s="4" t="str">
        <f>HYPERLINK("http://141.218.60.56/~jnz1568/getInfo.php?workbook=14_04.xlsx&amp;sheet=A0&amp;row=1296&amp;col=6&amp;number=6076000&amp;sourceID=14","6076000")</f>
        <v>6076000</v>
      </c>
      <c r="G1296" s="4" t="str">
        <f>HYPERLINK("http://141.218.60.56/~jnz1568/getInfo.php?workbook=14_04.xlsx&amp;sheet=A0&amp;row=1296&amp;col=7&amp;number=0&amp;sourceID=14","0")</f>
        <v>0</v>
      </c>
    </row>
    <row r="1297" spans="1:7">
      <c r="A1297" s="3">
        <v>14</v>
      </c>
      <c r="B1297" s="3">
        <v>4</v>
      </c>
      <c r="C1297" s="3">
        <v>86</v>
      </c>
      <c r="D1297" s="3">
        <v>21</v>
      </c>
      <c r="E1297" s="3">
        <v>-114.873</v>
      </c>
      <c r="F1297" s="4" t="str">
        <f>HYPERLINK("http://141.218.60.56/~jnz1568/getInfo.php?workbook=14_04.xlsx&amp;sheet=A0&amp;row=1297&amp;col=6&amp;number=0.003137&amp;sourceID=14","0.003137")</f>
        <v>0.003137</v>
      </c>
      <c r="G1297" s="4" t="str">
        <f>HYPERLINK("http://141.218.60.56/~jnz1568/getInfo.php?workbook=14_04.xlsx&amp;sheet=A0&amp;row=1297&amp;col=7&amp;number=0&amp;sourceID=14","0")</f>
        <v>0</v>
      </c>
    </row>
    <row r="1298" spans="1:7">
      <c r="A1298" s="3">
        <v>14</v>
      </c>
      <c r="B1298" s="3">
        <v>4</v>
      </c>
      <c r="C1298" s="3">
        <v>87</v>
      </c>
      <c r="D1298" s="3">
        <v>21</v>
      </c>
      <c r="E1298" s="3">
        <v>114.405</v>
      </c>
      <c r="F1298" s="4" t="str">
        <f>HYPERLINK("http://141.218.60.56/~jnz1568/getInfo.php?workbook=14_04.xlsx&amp;sheet=A0&amp;row=1298&amp;col=6&amp;number=2432&amp;sourceID=14","2432")</f>
        <v>2432</v>
      </c>
      <c r="G1298" s="4" t="str">
        <f>HYPERLINK("http://141.218.60.56/~jnz1568/getInfo.php?workbook=14_04.xlsx&amp;sheet=A0&amp;row=1298&amp;col=7&amp;number=0&amp;sourceID=14","0")</f>
        <v>0</v>
      </c>
    </row>
    <row r="1299" spans="1:7">
      <c r="A1299" s="3">
        <v>14</v>
      </c>
      <c r="B1299" s="3">
        <v>4</v>
      </c>
      <c r="C1299" s="3">
        <v>88</v>
      </c>
      <c r="D1299" s="3">
        <v>21</v>
      </c>
      <c r="E1299" s="3">
        <v>-114.498</v>
      </c>
      <c r="F1299" s="4" t="str">
        <f>HYPERLINK("http://141.218.60.56/~jnz1568/getInfo.php?workbook=14_04.xlsx&amp;sheet=A0&amp;row=1299&amp;col=6&amp;number=0.02016&amp;sourceID=14","0.02016")</f>
        <v>0.02016</v>
      </c>
      <c r="G1299" s="4" t="str">
        <f>HYPERLINK("http://141.218.60.56/~jnz1568/getInfo.php?workbook=14_04.xlsx&amp;sheet=A0&amp;row=1299&amp;col=7&amp;number=0&amp;sourceID=14","0")</f>
        <v>0</v>
      </c>
    </row>
    <row r="1300" spans="1:7">
      <c r="A1300" s="3">
        <v>14</v>
      </c>
      <c r="B1300" s="3">
        <v>4</v>
      </c>
      <c r="C1300" s="3">
        <v>89</v>
      </c>
      <c r="D1300" s="3">
        <v>21</v>
      </c>
      <c r="E1300" s="3">
        <v>-113.767</v>
      </c>
      <c r="F1300" s="4" t="str">
        <f>HYPERLINK("http://141.218.60.56/~jnz1568/getInfo.php?workbook=14_04.xlsx&amp;sheet=A0&amp;row=1300&amp;col=6&amp;number=35210000&amp;sourceID=14","35210000")</f>
        <v>35210000</v>
      </c>
      <c r="G1300" s="4" t="str">
        <f>HYPERLINK("http://141.218.60.56/~jnz1568/getInfo.php?workbook=14_04.xlsx&amp;sheet=A0&amp;row=1300&amp;col=7&amp;number=0&amp;sourceID=14","0")</f>
        <v>0</v>
      </c>
    </row>
    <row r="1301" spans="1:7">
      <c r="A1301" s="3">
        <v>14</v>
      </c>
      <c r="B1301" s="3">
        <v>4</v>
      </c>
      <c r="C1301" s="3">
        <v>23</v>
      </c>
      <c r="D1301" s="3">
        <v>22</v>
      </c>
      <c r="E1301" s="3">
        <v>-17541.356</v>
      </c>
      <c r="F1301" s="4" t="str">
        <f>HYPERLINK("http://141.218.60.56/~jnz1568/getInfo.php?workbook=14_04.xlsx&amp;sheet=A0&amp;row=1301&amp;col=6&amp;number=2.473&amp;sourceID=14","2.473")</f>
        <v>2.473</v>
      </c>
      <c r="G1301" s="4" t="str">
        <f>HYPERLINK("http://141.218.60.56/~jnz1568/getInfo.php?workbook=14_04.xlsx&amp;sheet=A0&amp;row=1301&amp;col=7&amp;number=0&amp;sourceID=14","0")</f>
        <v>0</v>
      </c>
    </row>
    <row r="1302" spans="1:7">
      <c r="A1302" s="3">
        <v>14</v>
      </c>
      <c r="B1302" s="3">
        <v>4</v>
      </c>
      <c r="C1302" s="3">
        <v>24</v>
      </c>
      <c r="D1302" s="3">
        <v>22</v>
      </c>
      <c r="E1302" s="3">
        <v>-2757.186</v>
      </c>
      <c r="F1302" s="4" t="str">
        <f>HYPERLINK("http://141.218.60.56/~jnz1568/getInfo.php?workbook=14_04.xlsx&amp;sheet=A0&amp;row=1302&amp;col=6&amp;number=6.413&amp;sourceID=14","6.413")</f>
        <v>6.413</v>
      </c>
      <c r="G1302" s="4" t="str">
        <f>HYPERLINK("http://141.218.60.56/~jnz1568/getInfo.php?workbook=14_04.xlsx&amp;sheet=A0&amp;row=1302&amp;col=7&amp;number=0&amp;sourceID=14","0")</f>
        <v>0</v>
      </c>
    </row>
    <row r="1303" spans="1:7">
      <c r="A1303" s="3">
        <v>14</v>
      </c>
      <c r="B1303" s="3">
        <v>4</v>
      </c>
      <c r="C1303" s="3">
        <v>25</v>
      </c>
      <c r="D1303" s="3">
        <v>22</v>
      </c>
      <c r="E1303" s="3">
        <v>-2179.595</v>
      </c>
      <c r="F1303" s="4" t="str">
        <f>HYPERLINK("http://141.218.60.56/~jnz1568/getInfo.php?workbook=14_04.xlsx&amp;sheet=A0&amp;row=1303&amp;col=6&amp;number=11020000&amp;sourceID=14","11020000")</f>
        <v>11020000</v>
      </c>
      <c r="G1303" s="4" t="str">
        <f>HYPERLINK("http://141.218.60.56/~jnz1568/getInfo.php?workbook=14_04.xlsx&amp;sheet=A0&amp;row=1303&amp;col=7&amp;number=0&amp;sourceID=14","0")</f>
        <v>0</v>
      </c>
    </row>
    <row r="1304" spans="1:7">
      <c r="A1304" s="3">
        <v>14</v>
      </c>
      <c r="B1304" s="3">
        <v>4</v>
      </c>
      <c r="C1304" s="3">
        <v>26</v>
      </c>
      <c r="D1304" s="3">
        <v>22</v>
      </c>
      <c r="E1304" s="3">
        <v>-1830.431</v>
      </c>
      <c r="F1304" s="4" t="str">
        <f>HYPERLINK("http://141.218.60.56/~jnz1568/getInfo.php?workbook=14_04.xlsx&amp;sheet=A0&amp;row=1304&amp;col=6&amp;number=33050000&amp;sourceID=14","33050000")</f>
        <v>33050000</v>
      </c>
      <c r="G1304" s="4" t="str">
        <f>HYPERLINK("http://141.218.60.56/~jnz1568/getInfo.php?workbook=14_04.xlsx&amp;sheet=A0&amp;row=1304&amp;col=7&amp;number=0&amp;sourceID=14","0")</f>
        <v>0</v>
      </c>
    </row>
    <row r="1305" spans="1:7">
      <c r="A1305" s="3">
        <v>14</v>
      </c>
      <c r="B1305" s="3">
        <v>4</v>
      </c>
      <c r="C1305" s="3">
        <v>27</v>
      </c>
      <c r="D1305" s="3">
        <v>22</v>
      </c>
      <c r="E1305" s="3">
        <v>-1765.424</v>
      </c>
      <c r="F1305" s="4" t="str">
        <f>HYPERLINK("http://141.218.60.56/~jnz1568/getInfo.php?workbook=14_04.xlsx&amp;sheet=A0&amp;row=1305&amp;col=6&amp;number=117800000&amp;sourceID=14","117800000")</f>
        <v>117800000</v>
      </c>
      <c r="G1305" s="4" t="str">
        <f>HYPERLINK("http://141.218.60.56/~jnz1568/getInfo.php?workbook=14_04.xlsx&amp;sheet=A0&amp;row=1305&amp;col=7&amp;number=0&amp;sourceID=14","0")</f>
        <v>0</v>
      </c>
    </row>
    <row r="1306" spans="1:7">
      <c r="A1306" s="3">
        <v>14</v>
      </c>
      <c r="B1306" s="3">
        <v>4</v>
      </c>
      <c r="C1306" s="3">
        <v>29</v>
      </c>
      <c r="D1306" s="3">
        <v>22</v>
      </c>
      <c r="E1306" s="3">
        <v>-1340.952</v>
      </c>
      <c r="F1306" s="4" t="str">
        <f>HYPERLINK("http://141.218.60.56/~jnz1568/getInfo.php?workbook=14_04.xlsx&amp;sheet=A0&amp;row=1306&amp;col=6&amp;number=153800000&amp;sourceID=14","153800000")</f>
        <v>153800000</v>
      </c>
      <c r="G1306" s="4" t="str">
        <f>HYPERLINK("http://141.218.60.56/~jnz1568/getInfo.php?workbook=14_04.xlsx&amp;sheet=A0&amp;row=1306&amp;col=7&amp;number=0&amp;sourceID=14","0")</f>
        <v>0</v>
      </c>
    </row>
    <row r="1307" spans="1:7">
      <c r="A1307" s="3">
        <v>14</v>
      </c>
      <c r="B1307" s="3">
        <v>4</v>
      </c>
      <c r="C1307" s="3">
        <v>30</v>
      </c>
      <c r="D1307" s="3">
        <v>22</v>
      </c>
      <c r="E1307" s="3">
        <v>-1217.14</v>
      </c>
      <c r="F1307" s="4" t="str">
        <f>HYPERLINK("http://141.218.60.56/~jnz1568/getInfo.php?workbook=14_04.xlsx&amp;sheet=A0&amp;row=1307&amp;col=6&amp;number=491500000&amp;sourceID=14","491500000")</f>
        <v>491500000</v>
      </c>
      <c r="G1307" s="4" t="str">
        <f>HYPERLINK("http://141.218.60.56/~jnz1568/getInfo.php?workbook=14_04.xlsx&amp;sheet=A0&amp;row=1307&amp;col=7&amp;number=0&amp;sourceID=14","0")</f>
        <v>0</v>
      </c>
    </row>
    <row r="1308" spans="1:7">
      <c r="A1308" s="3">
        <v>14</v>
      </c>
      <c r="B1308" s="3">
        <v>4</v>
      </c>
      <c r="C1308" s="3">
        <v>31</v>
      </c>
      <c r="D1308" s="3">
        <v>22</v>
      </c>
      <c r="E1308" s="3">
        <v>-1178.754</v>
      </c>
      <c r="F1308" s="4" t="str">
        <f>HYPERLINK("http://141.218.60.56/~jnz1568/getInfo.php?workbook=14_04.xlsx&amp;sheet=A0&amp;row=1308&amp;col=6&amp;number=81370000&amp;sourceID=14","81370000")</f>
        <v>81370000</v>
      </c>
      <c r="G1308" s="4" t="str">
        <f>HYPERLINK("http://141.218.60.56/~jnz1568/getInfo.php?workbook=14_04.xlsx&amp;sheet=A0&amp;row=1308&amp;col=7&amp;number=0&amp;sourceID=14","0")</f>
        <v>0</v>
      </c>
    </row>
    <row r="1309" spans="1:7">
      <c r="A1309" s="3">
        <v>14</v>
      </c>
      <c r="B1309" s="3">
        <v>4</v>
      </c>
      <c r="C1309" s="3">
        <v>32</v>
      </c>
      <c r="D1309" s="3">
        <v>22</v>
      </c>
      <c r="E1309" s="3">
        <v>-1142.132</v>
      </c>
      <c r="F1309" s="4" t="str">
        <f>HYPERLINK("http://141.218.60.56/~jnz1568/getInfo.php?workbook=14_04.xlsx&amp;sheet=A0&amp;row=1309&amp;col=6&amp;number=120500000&amp;sourceID=14","120500000")</f>
        <v>120500000</v>
      </c>
      <c r="G1309" s="4" t="str">
        <f>HYPERLINK("http://141.218.60.56/~jnz1568/getInfo.php?workbook=14_04.xlsx&amp;sheet=A0&amp;row=1309&amp;col=7&amp;number=0&amp;sourceID=14","0")</f>
        <v>0</v>
      </c>
    </row>
    <row r="1310" spans="1:7">
      <c r="A1310" s="3">
        <v>14</v>
      </c>
      <c r="B1310" s="3">
        <v>4</v>
      </c>
      <c r="C1310" s="3">
        <v>33</v>
      </c>
      <c r="D1310" s="3">
        <v>22</v>
      </c>
      <c r="E1310" s="3">
        <v>-1086.575</v>
      </c>
      <c r="F1310" s="4" t="str">
        <f>HYPERLINK("http://141.218.60.56/~jnz1568/getInfo.php?workbook=14_04.xlsx&amp;sheet=A0&amp;row=1310&amp;col=6&amp;number=68.96&amp;sourceID=14","68.96")</f>
        <v>68.96</v>
      </c>
      <c r="G1310" s="4" t="str">
        <f>HYPERLINK("http://141.218.60.56/~jnz1568/getInfo.php?workbook=14_04.xlsx&amp;sheet=A0&amp;row=1310&amp;col=7&amp;number=0&amp;sourceID=14","0")</f>
        <v>0</v>
      </c>
    </row>
    <row r="1311" spans="1:7">
      <c r="A1311" s="3">
        <v>14</v>
      </c>
      <c r="B1311" s="3">
        <v>4</v>
      </c>
      <c r="C1311" s="3">
        <v>34</v>
      </c>
      <c r="D1311" s="3">
        <v>22</v>
      </c>
      <c r="E1311" s="3">
        <v>-1040.298</v>
      </c>
      <c r="F1311" s="4" t="str">
        <f>HYPERLINK("http://141.218.60.56/~jnz1568/getInfo.php?workbook=14_04.xlsx&amp;sheet=A0&amp;row=1311&amp;col=6&amp;number=153.3&amp;sourceID=14","153.3")</f>
        <v>153.3</v>
      </c>
      <c r="G1311" s="4" t="str">
        <f>HYPERLINK("http://141.218.60.56/~jnz1568/getInfo.php?workbook=14_04.xlsx&amp;sheet=A0&amp;row=1311&amp;col=7&amp;number=0&amp;sourceID=14","0")</f>
        <v>0</v>
      </c>
    </row>
    <row r="1312" spans="1:7">
      <c r="A1312" s="3">
        <v>14</v>
      </c>
      <c r="B1312" s="3">
        <v>4</v>
      </c>
      <c r="C1312" s="3">
        <v>35</v>
      </c>
      <c r="D1312" s="3">
        <v>22</v>
      </c>
      <c r="E1312" s="3">
        <v>-1013.276</v>
      </c>
      <c r="F1312" s="4" t="str">
        <f>HYPERLINK("http://141.218.60.56/~jnz1568/getInfo.php?workbook=14_04.xlsx&amp;sheet=A0&amp;row=1312&amp;col=6&amp;number=3.82&amp;sourceID=14","3.82")</f>
        <v>3.82</v>
      </c>
      <c r="G1312" s="4" t="str">
        <f>HYPERLINK("http://141.218.60.56/~jnz1568/getInfo.php?workbook=14_04.xlsx&amp;sheet=A0&amp;row=1312&amp;col=7&amp;number=0&amp;sourceID=14","0")</f>
        <v>0</v>
      </c>
    </row>
    <row r="1313" spans="1:7">
      <c r="A1313" s="3">
        <v>14</v>
      </c>
      <c r="B1313" s="3">
        <v>4</v>
      </c>
      <c r="C1313" s="3">
        <v>37</v>
      </c>
      <c r="D1313" s="3">
        <v>22</v>
      </c>
      <c r="E1313" s="3">
        <v>-907.166</v>
      </c>
      <c r="F1313" s="4" t="str">
        <f>HYPERLINK("http://141.218.60.56/~jnz1568/getInfo.php?workbook=14_04.xlsx&amp;sheet=A0&amp;row=1313&amp;col=6&amp;number=554200&amp;sourceID=14","554200")</f>
        <v>554200</v>
      </c>
      <c r="G1313" s="4" t="str">
        <f>HYPERLINK("http://141.218.60.56/~jnz1568/getInfo.php?workbook=14_04.xlsx&amp;sheet=A0&amp;row=1313&amp;col=7&amp;number=0&amp;sourceID=14","0")</f>
        <v>0</v>
      </c>
    </row>
    <row r="1314" spans="1:7">
      <c r="A1314" s="3">
        <v>14</v>
      </c>
      <c r="B1314" s="3">
        <v>4</v>
      </c>
      <c r="C1314" s="3">
        <v>38</v>
      </c>
      <c r="D1314" s="3">
        <v>22</v>
      </c>
      <c r="E1314" s="3">
        <v>-834.343</v>
      </c>
      <c r="F1314" s="4" t="str">
        <f>HYPERLINK("http://141.218.60.56/~jnz1568/getInfo.php?workbook=14_04.xlsx&amp;sheet=A0&amp;row=1314&amp;col=6&amp;number=706.3&amp;sourceID=14","706.3")</f>
        <v>706.3</v>
      </c>
      <c r="G1314" s="4" t="str">
        <f>HYPERLINK("http://141.218.60.56/~jnz1568/getInfo.php?workbook=14_04.xlsx&amp;sheet=A0&amp;row=1314&amp;col=7&amp;number=0&amp;sourceID=14","0")</f>
        <v>0</v>
      </c>
    </row>
    <row r="1315" spans="1:7">
      <c r="A1315" s="3">
        <v>14</v>
      </c>
      <c r="B1315" s="3">
        <v>4</v>
      </c>
      <c r="C1315" s="3">
        <v>39</v>
      </c>
      <c r="D1315" s="3">
        <v>22</v>
      </c>
      <c r="E1315" s="3">
        <v>-826.346</v>
      </c>
      <c r="F1315" s="4" t="str">
        <f>HYPERLINK("http://141.218.60.56/~jnz1568/getInfo.php?workbook=14_04.xlsx&amp;sheet=A0&amp;row=1315&amp;col=6&amp;number=197.4&amp;sourceID=14","197.4")</f>
        <v>197.4</v>
      </c>
      <c r="G1315" s="4" t="str">
        <f>HYPERLINK("http://141.218.60.56/~jnz1568/getInfo.php?workbook=14_04.xlsx&amp;sheet=A0&amp;row=1315&amp;col=7&amp;number=0&amp;sourceID=14","0")</f>
        <v>0</v>
      </c>
    </row>
    <row r="1316" spans="1:7">
      <c r="A1316" s="3">
        <v>14</v>
      </c>
      <c r="B1316" s="3">
        <v>4</v>
      </c>
      <c r="C1316" s="3">
        <v>40</v>
      </c>
      <c r="D1316" s="3">
        <v>22</v>
      </c>
      <c r="E1316" s="3">
        <v>-809.881</v>
      </c>
      <c r="F1316" s="4" t="str">
        <f>HYPERLINK("http://141.218.60.56/~jnz1568/getInfo.php?workbook=14_04.xlsx&amp;sheet=A0&amp;row=1316&amp;col=6&amp;number=242.7&amp;sourceID=14","242.7")</f>
        <v>242.7</v>
      </c>
      <c r="G1316" s="4" t="str">
        <f>HYPERLINK("http://141.218.60.56/~jnz1568/getInfo.php?workbook=14_04.xlsx&amp;sheet=A0&amp;row=1316&amp;col=7&amp;number=0&amp;sourceID=14","0")</f>
        <v>0</v>
      </c>
    </row>
    <row r="1317" spans="1:7">
      <c r="A1317" s="3">
        <v>14</v>
      </c>
      <c r="B1317" s="3">
        <v>4</v>
      </c>
      <c r="C1317" s="3">
        <v>41</v>
      </c>
      <c r="D1317" s="3">
        <v>22</v>
      </c>
      <c r="E1317" s="3">
        <v>-762.333</v>
      </c>
      <c r="F1317" s="4" t="str">
        <f>HYPERLINK("http://141.218.60.56/~jnz1568/getInfo.php?workbook=14_04.xlsx&amp;sheet=A0&amp;row=1317&amp;col=6&amp;number=267.9&amp;sourceID=14","267.9")</f>
        <v>267.9</v>
      </c>
      <c r="G1317" s="4" t="str">
        <f>HYPERLINK("http://141.218.60.56/~jnz1568/getInfo.php?workbook=14_04.xlsx&amp;sheet=A0&amp;row=1317&amp;col=7&amp;number=0&amp;sourceID=14","0")</f>
        <v>0</v>
      </c>
    </row>
    <row r="1318" spans="1:7">
      <c r="A1318" s="3">
        <v>14</v>
      </c>
      <c r="B1318" s="3">
        <v>4</v>
      </c>
      <c r="C1318" s="3">
        <v>42</v>
      </c>
      <c r="D1318" s="3">
        <v>22</v>
      </c>
      <c r="E1318" s="3">
        <v>-753.941</v>
      </c>
      <c r="F1318" s="4" t="str">
        <f>HYPERLINK("http://141.218.60.56/~jnz1568/getInfo.php?workbook=14_04.xlsx&amp;sheet=A0&amp;row=1318&amp;col=6&amp;number=93.96&amp;sourceID=14","93.96")</f>
        <v>93.96</v>
      </c>
      <c r="G1318" s="4" t="str">
        <f>HYPERLINK("http://141.218.60.56/~jnz1568/getInfo.php?workbook=14_04.xlsx&amp;sheet=A0&amp;row=1318&amp;col=7&amp;number=0&amp;sourceID=14","0")</f>
        <v>0</v>
      </c>
    </row>
    <row r="1319" spans="1:7">
      <c r="A1319" s="3">
        <v>14</v>
      </c>
      <c r="B1319" s="3">
        <v>4</v>
      </c>
      <c r="C1319" s="3">
        <v>43</v>
      </c>
      <c r="D1319" s="3">
        <v>22</v>
      </c>
      <c r="E1319" s="3">
        <v>-749.58</v>
      </c>
      <c r="F1319" s="4" t="str">
        <f>HYPERLINK("http://141.218.60.56/~jnz1568/getInfo.php?workbook=14_04.xlsx&amp;sheet=A0&amp;row=1319&amp;col=6&amp;number=0.9983&amp;sourceID=14","0.9983")</f>
        <v>0.9983</v>
      </c>
      <c r="G1319" s="4" t="str">
        <f>HYPERLINK("http://141.218.60.56/~jnz1568/getInfo.php?workbook=14_04.xlsx&amp;sheet=A0&amp;row=1319&amp;col=7&amp;number=0&amp;sourceID=14","0")</f>
        <v>0</v>
      </c>
    </row>
    <row r="1320" spans="1:7">
      <c r="A1320" s="3">
        <v>14</v>
      </c>
      <c r="B1320" s="3">
        <v>4</v>
      </c>
      <c r="C1320" s="3">
        <v>44</v>
      </c>
      <c r="D1320" s="3">
        <v>22</v>
      </c>
      <c r="E1320" s="3">
        <v>-667.302</v>
      </c>
      <c r="F1320" s="4" t="str">
        <f>HYPERLINK("http://141.218.60.56/~jnz1568/getInfo.php?workbook=14_04.xlsx&amp;sheet=A0&amp;row=1320&amp;col=6&amp;number=9546000&amp;sourceID=14","9546000")</f>
        <v>9546000</v>
      </c>
      <c r="G1320" s="4" t="str">
        <f>HYPERLINK("http://141.218.60.56/~jnz1568/getInfo.php?workbook=14_04.xlsx&amp;sheet=A0&amp;row=1320&amp;col=7&amp;number=0&amp;sourceID=14","0")</f>
        <v>0</v>
      </c>
    </row>
    <row r="1321" spans="1:7">
      <c r="A1321" s="3">
        <v>14</v>
      </c>
      <c r="B1321" s="3">
        <v>4</v>
      </c>
      <c r="C1321" s="3">
        <v>45</v>
      </c>
      <c r="D1321" s="3">
        <v>22</v>
      </c>
      <c r="E1321" s="3">
        <v>-619.375</v>
      </c>
      <c r="F1321" s="4" t="str">
        <f>HYPERLINK("http://141.218.60.56/~jnz1568/getInfo.php?workbook=14_04.xlsx&amp;sheet=A0&amp;row=1321&amp;col=6&amp;number=1.941&amp;sourceID=14","1.941")</f>
        <v>1.941</v>
      </c>
      <c r="G1321" s="4" t="str">
        <f>HYPERLINK("http://141.218.60.56/~jnz1568/getInfo.php?workbook=14_04.xlsx&amp;sheet=A0&amp;row=1321&amp;col=7&amp;number=0&amp;sourceID=14","0")</f>
        <v>0</v>
      </c>
    </row>
    <row r="1322" spans="1:7">
      <c r="A1322" s="3">
        <v>14</v>
      </c>
      <c r="B1322" s="3">
        <v>4</v>
      </c>
      <c r="C1322" s="3">
        <v>46</v>
      </c>
      <c r="D1322" s="3">
        <v>22</v>
      </c>
      <c r="E1322" s="3">
        <v>-599.115</v>
      </c>
      <c r="F1322" s="4" t="str">
        <f>HYPERLINK("http://141.218.60.56/~jnz1568/getInfo.php?workbook=14_04.xlsx&amp;sheet=A0&amp;row=1322&amp;col=6&amp;number=0.4024&amp;sourceID=14","0.4024")</f>
        <v>0.4024</v>
      </c>
      <c r="G1322" s="4" t="str">
        <f>HYPERLINK("http://141.218.60.56/~jnz1568/getInfo.php?workbook=14_04.xlsx&amp;sheet=A0&amp;row=1322&amp;col=7&amp;number=0&amp;sourceID=14","0")</f>
        <v>0</v>
      </c>
    </row>
    <row r="1323" spans="1:7">
      <c r="A1323" s="3">
        <v>14</v>
      </c>
      <c r="B1323" s="3">
        <v>4</v>
      </c>
      <c r="C1323" s="3">
        <v>47</v>
      </c>
      <c r="D1323" s="3">
        <v>22</v>
      </c>
      <c r="E1323" s="3">
        <v>-191.076</v>
      </c>
      <c r="F1323" s="4" t="str">
        <f>HYPERLINK("http://141.218.60.56/~jnz1568/getInfo.php?workbook=14_04.xlsx&amp;sheet=A0&amp;row=1323&amp;col=6&amp;number=54790000&amp;sourceID=14","54790000")</f>
        <v>54790000</v>
      </c>
      <c r="G1323" s="4" t="str">
        <f>HYPERLINK("http://141.218.60.56/~jnz1568/getInfo.php?workbook=14_04.xlsx&amp;sheet=A0&amp;row=1323&amp;col=7&amp;number=0&amp;sourceID=14","0")</f>
        <v>0</v>
      </c>
    </row>
    <row r="1324" spans="1:7">
      <c r="A1324" s="3">
        <v>14</v>
      </c>
      <c r="B1324" s="3">
        <v>4</v>
      </c>
      <c r="C1324" s="3">
        <v>48</v>
      </c>
      <c r="D1324" s="3">
        <v>22</v>
      </c>
      <c r="E1324" s="3">
        <v>-186.91</v>
      </c>
      <c r="F1324" s="4" t="str">
        <f>HYPERLINK("http://141.218.60.56/~jnz1568/getInfo.php?workbook=14_04.xlsx&amp;sheet=A0&amp;row=1324&amp;col=6&amp;number=32820000&amp;sourceID=14","32820000")</f>
        <v>32820000</v>
      </c>
      <c r="G1324" s="4" t="str">
        <f>HYPERLINK("http://141.218.60.56/~jnz1568/getInfo.php?workbook=14_04.xlsx&amp;sheet=A0&amp;row=1324&amp;col=7&amp;number=0&amp;sourceID=14","0")</f>
        <v>0</v>
      </c>
    </row>
    <row r="1325" spans="1:7">
      <c r="A1325" s="3">
        <v>14</v>
      </c>
      <c r="B1325" s="3">
        <v>4</v>
      </c>
      <c r="C1325" s="3">
        <v>49</v>
      </c>
      <c r="D1325" s="3">
        <v>22</v>
      </c>
      <c r="E1325" s="3">
        <v>-180.591</v>
      </c>
      <c r="F1325" s="4" t="str">
        <f>HYPERLINK("http://141.218.60.56/~jnz1568/getInfo.php?workbook=14_04.xlsx&amp;sheet=A0&amp;row=1325&amp;col=6&amp;number=0.06&amp;sourceID=14","0.06")</f>
        <v>0.06</v>
      </c>
      <c r="G1325" s="4" t="str">
        <f>HYPERLINK("http://141.218.60.56/~jnz1568/getInfo.php?workbook=14_04.xlsx&amp;sheet=A0&amp;row=1325&amp;col=7&amp;number=0&amp;sourceID=14","0")</f>
        <v>0</v>
      </c>
    </row>
    <row r="1326" spans="1:7">
      <c r="A1326" s="3">
        <v>14</v>
      </c>
      <c r="B1326" s="3">
        <v>4</v>
      </c>
      <c r="C1326" s="3">
        <v>50</v>
      </c>
      <c r="D1326" s="3">
        <v>22</v>
      </c>
      <c r="E1326" s="3">
        <v>-180.513</v>
      </c>
      <c r="F1326" s="4" t="str">
        <f>HYPERLINK("http://141.218.60.56/~jnz1568/getInfo.php?workbook=14_04.xlsx&amp;sheet=A0&amp;row=1326&amp;col=6&amp;number=225.3&amp;sourceID=14","225.3")</f>
        <v>225.3</v>
      </c>
      <c r="G1326" s="4" t="str">
        <f>HYPERLINK("http://141.218.60.56/~jnz1568/getInfo.php?workbook=14_04.xlsx&amp;sheet=A0&amp;row=1326&amp;col=7&amp;number=0&amp;sourceID=14","0")</f>
        <v>0</v>
      </c>
    </row>
    <row r="1327" spans="1:7">
      <c r="A1327" s="3">
        <v>14</v>
      </c>
      <c r="B1327" s="3">
        <v>4</v>
      </c>
      <c r="C1327" s="3">
        <v>51</v>
      </c>
      <c r="D1327" s="3">
        <v>22</v>
      </c>
      <c r="E1327" s="3">
        <v>-180.313</v>
      </c>
      <c r="F1327" s="4" t="str">
        <f>HYPERLINK("http://141.218.60.56/~jnz1568/getInfo.php?workbook=14_04.xlsx&amp;sheet=A0&amp;row=1327&amp;col=6&amp;number=887.2&amp;sourceID=14","887.2")</f>
        <v>887.2</v>
      </c>
      <c r="G1327" s="4" t="str">
        <f>HYPERLINK("http://141.218.60.56/~jnz1568/getInfo.php?workbook=14_04.xlsx&amp;sheet=A0&amp;row=1327&amp;col=7&amp;number=0&amp;sourceID=14","0")</f>
        <v>0</v>
      </c>
    </row>
    <row r="1328" spans="1:7">
      <c r="A1328" s="3">
        <v>14</v>
      </c>
      <c r="B1328" s="3">
        <v>4</v>
      </c>
      <c r="C1328" s="3">
        <v>52</v>
      </c>
      <c r="D1328" s="3">
        <v>22</v>
      </c>
      <c r="E1328" s="3">
        <v>-179.393</v>
      </c>
      <c r="F1328" s="4" t="str">
        <f>HYPERLINK("http://141.218.60.56/~jnz1568/getInfo.php?workbook=14_04.xlsx&amp;sheet=A0&amp;row=1328&amp;col=6&amp;number=4016&amp;sourceID=14","4016")</f>
        <v>4016</v>
      </c>
      <c r="G1328" s="4" t="str">
        <f>HYPERLINK("http://141.218.60.56/~jnz1568/getInfo.php?workbook=14_04.xlsx&amp;sheet=A0&amp;row=1328&amp;col=7&amp;number=0&amp;sourceID=14","0")</f>
        <v>0</v>
      </c>
    </row>
    <row r="1329" spans="1:7">
      <c r="A1329" s="3">
        <v>14</v>
      </c>
      <c r="B1329" s="3">
        <v>4</v>
      </c>
      <c r="C1329" s="3">
        <v>53</v>
      </c>
      <c r="D1329" s="3">
        <v>22</v>
      </c>
      <c r="E1329" s="3">
        <v>-174.979</v>
      </c>
      <c r="F1329" s="4" t="str">
        <f>HYPERLINK("http://141.218.60.56/~jnz1568/getInfo.php?workbook=14_04.xlsx&amp;sheet=A0&amp;row=1329&amp;col=6&amp;number=11390000&amp;sourceID=14","11390000")</f>
        <v>11390000</v>
      </c>
      <c r="G1329" s="4" t="str">
        <f>HYPERLINK("http://141.218.60.56/~jnz1568/getInfo.php?workbook=14_04.xlsx&amp;sheet=A0&amp;row=1329&amp;col=7&amp;number=0&amp;sourceID=14","0")</f>
        <v>0</v>
      </c>
    </row>
    <row r="1330" spans="1:7">
      <c r="A1330" s="3">
        <v>14</v>
      </c>
      <c r="B1330" s="3">
        <v>4</v>
      </c>
      <c r="C1330" s="3">
        <v>54</v>
      </c>
      <c r="D1330" s="3">
        <v>22</v>
      </c>
      <c r="E1330" s="3">
        <v>-174.946</v>
      </c>
      <c r="F1330" s="4" t="str">
        <f>HYPERLINK("http://141.218.60.56/~jnz1568/getInfo.php?workbook=14_04.xlsx&amp;sheet=A0&amp;row=1330&amp;col=6&amp;number=20030000&amp;sourceID=14","20030000")</f>
        <v>20030000</v>
      </c>
      <c r="G1330" s="4" t="str">
        <f>HYPERLINK("http://141.218.60.56/~jnz1568/getInfo.php?workbook=14_04.xlsx&amp;sheet=A0&amp;row=1330&amp;col=7&amp;number=0&amp;sourceID=14","0")</f>
        <v>0</v>
      </c>
    </row>
    <row r="1331" spans="1:7">
      <c r="A1331" s="3">
        <v>14</v>
      </c>
      <c r="B1331" s="3">
        <v>4</v>
      </c>
      <c r="C1331" s="3">
        <v>56</v>
      </c>
      <c r="D1331" s="3">
        <v>22</v>
      </c>
      <c r="E1331" s="3">
        <v>-171.744</v>
      </c>
      <c r="F1331" s="4" t="str">
        <f>HYPERLINK("http://141.218.60.56/~jnz1568/getInfo.php?workbook=14_04.xlsx&amp;sheet=A0&amp;row=1331&amp;col=6&amp;number=122300000&amp;sourceID=14","122300000")</f>
        <v>122300000</v>
      </c>
      <c r="G1331" s="4" t="str">
        <f>HYPERLINK("http://141.218.60.56/~jnz1568/getInfo.php?workbook=14_04.xlsx&amp;sheet=A0&amp;row=1331&amp;col=7&amp;number=0&amp;sourceID=14","0")</f>
        <v>0</v>
      </c>
    </row>
    <row r="1332" spans="1:7">
      <c r="A1332" s="3">
        <v>14</v>
      </c>
      <c r="B1332" s="3">
        <v>4</v>
      </c>
      <c r="C1332" s="3">
        <v>57</v>
      </c>
      <c r="D1332" s="3">
        <v>22</v>
      </c>
      <c r="E1332" s="3">
        <v>-138.313</v>
      </c>
      <c r="F1332" s="4" t="str">
        <f>HYPERLINK("http://141.218.60.56/~jnz1568/getInfo.php?workbook=14_04.xlsx&amp;sheet=A0&amp;row=1332&amp;col=6&amp;number=0.006795&amp;sourceID=14","0.006795")</f>
        <v>0.006795</v>
      </c>
      <c r="G1332" s="4" t="str">
        <f>HYPERLINK("http://141.218.60.56/~jnz1568/getInfo.php?workbook=14_04.xlsx&amp;sheet=A0&amp;row=1332&amp;col=7&amp;number=0&amp;sourceID=14","0")</f>
        <v>0</v>
      </c>
    </row>
    <row r="1333" spans="1:7">
      <c r="A1333" s="3">
        <v>14</v>
      </c>
      <c r="B1333" s="3">
        <v>4</v>
      </c>
      <c r="C1333" s="3">
        <v>58</v>
      </c>
      <c r="D1333" s="3">
        <v>22</v>
      </c>
      <c r="E1333" s="3">
        <v>-138.036</v>
      </c>
      <c r="F1333" s="4" t="str">
        <f>HYPERLINK("http://141.218.60.56/~jnz1568/getInfo.php?workbook=14_04.xlsx&amp;sheet=A0&amp;row=1333&amp;col=6&amp;number=27760&amp;sourceID=14","27760")</f>
        <v>27760</v>
      </c>
      <c r="G1333" s="4" t="str">
        <f>HYPERLINK("http://141.218.60.56/~jnz1568/getInfo.php?workbook=14_04.xlsx&amp;sheet=A0&amp;row=1333&amp;col=7&amp;number=0&amp;sourceID=14","0")</f>
        <v>0</v>
      </c>
    </row>
    <row r="1334" spans="1:7">
      <c r="A1334" s="3">
        <v>14</v>
      </c>
      <c r="B1334" s="3">
        <v>4</v>
      </c>
      <c r="C1334" s="3">
        <v>59</v>
      </c>
      <c r="D1334" s="3">
        <v>22</v>
      </c>
      <c r="E1334" s="3">
        <v>-136.784</v>
      </c>
      <c r="F1334" s="4" t="str">
        <f>HYPERLINK("http://141.218.60.56/~jnz1568/getInfo.php?workbook=14_04.xlsx&amp;sheet=A0&amp;row=1334&amp;col=6&amp;number=63260&amp;sourceID=14","63260")</f>
        <v>63260</v>
      </c>
      <c r="G1334" s="4" t="str">
        <f>HYPERLINK("http://141.218.60.56/~jnz1568/getInfo.php?workbook=14_04.xlsx&amp;sheet=A0&amp;row=1334&amp;col=7&amp;number=0&amp;sourceID=14","0")</f>
        <v>0</v>
      </c>
    </row>
    <row r="1335" spans="1:7">
      <c r="A1335" s="3">
        <v>14</v>
      </c>
      <c r="B1335" s="3">
        <v>4</v>
      </c>
      <c r="C1335" s="3">
        <v>60</v>
      </c>
      <c r="D1335" s="3">
        <v>22</v>
      </c>
      <c r="E1335" s="3">
        <v>-135.627</v>
      </c>
      <c r="F1335" s="4" t="str">
        <f>HYPERLINK("http://141.218.60.56/~jnz1568/getInfo.php?workbook=14_04.xlsx&amp;sheet=A0&amp;row=1335&amp;col=6&amp;number=1850&amp;sourceID=14","1850")</f>
        <v>1850</v>
      </c>
      <c r="G1335" s="4" t="str">
        <f>HYPERLINK("http://141.218.60.56/~jnz1568/getInfo.php?workbook=14_04.xlsx&amp;sheet=A0&amp;row=1335&amp;col=7&amp;number=0&amp;sourceID=14","0")</f>
        <v>0</v>
      </c>
    </row>
    <row r="1336" spans="1:7">
      <c r="A1336" s="3">
        <v>14</v>
      </c>
      <c r="B1336" s="3">
        <v>4</v>
      </c>
      <c r="C1336" s="3">
        <v>61</v>
      </c>
      <c r="D1336" s="3">
        <v>22</v>
      </c>
      <c r="E1336" s="3">
        <v>-133.467</v>
      </c>
      <c r="F1336" s="4" t="str">
        <f>HYPERLINK("http://141.218.60.56/~jnz1568/getInfo.php?workbook=14_04.xlsx&amp;sheet=A0&amp;row=1336&amp;col=6&amp;number=183800000&amp;sourceID=14","183800000")</f>
        <v>183800000</v>
      </c>
      <c r="G1336" s="4" t="str">
        <f>HYPERLINK("http://141.218.60.56/~jnz1568/getInfo.php?workbook=14_04.xlsx&amp;sheet=A0&amp;row=1336&amp;col=7&amp;number=0&amp;sourceID=14","0")</f>
        <v>0</v>
      </c>
    </row>
    <row r="1337" spans="1:7">
      <c r="A1337" s="3">
        <v>14</v>
      </c>
      <c r="B1337" s="3">
        <v>4</v>
      </c>
      <c r="C1337" s="3">
        <v>62</v>
      </c>
      <c r="D1337" s="3">
        <v>22</v>
      </c>
      <c r="E1337" s="3">
        <v>-134.251</v>
      </c>
      <c r="F1337" s="4" t="str">
        <f>HYPERLINK("http://141.218.60.56/~jnz1568/getInfo.php?workbook=14_04.xlsx&amp;sheet=A0&amp;row=1337&amp;col=6&amp;number=15360000000&amp;sourceID=14","15360000000")</f>
        <v>15360000000</v>
      </c>
      <c r="G1337" s="4" t="str">
        <f>HYPERLINK("http://141.218.60.56/~jnz1568/getInfo.php?workbook=14_04.xlsx&amp;sheet=A0&amp;row=1337&amp;col=7&amp;number=0&amp;sourceID=14","0")</f>
        <v>0</v>
      </c>
    </row>
    <row r="1338" spans="1:7">
      <c r="A1338" s="3">
        <v>14</v>
      </c>
      <c r="B1338" s="3">
        <v>4</v>
      </c>
      <c r="C1338" s="3">
        <v>63</v>
      </c>
      <c r="D1338" s="3">
        <v>22</v>
      </c>
      <c r="E1338" s="3">
        <v>-133.422</v>
      </c>
      <c r="F1338" s="4" t="str">
        <f>HYPERLINK("http://141.218.60.56/~jnz1568/getInfo.php?workbook=14_04.xlsx&amp;sheet=A0&amp;row=1338&amp;col=6&amp;number=35680000000&amp;sourceID=14","35680000000")</f>
        <v>35680000000</v>
      </c>
      <c r="G1338" s="4" t="str">
        <f>HYPERLINK("http://141.218.60.56/~jnz1568/getInfo.php?workbook=14_04.xlsx&amp;sheet=A0&amp;row=1338&amp;col=7&amp;number=0&amp;sourceID=14","0")</f>
        <v>0</v>
      </c>
    </row>
    <row r="1339" spans="1:7">
      <c r="A1339" s="3">
        <v>14</v>
      </c>
      <c r="B1339" s="3">
        <v>4</v>
      </c>
      <c r="C1339" s="3">
        <v>65</v>
      </c>
      <c r="D1339" s="3">
        <v>22</v>
      </c>
      <c r="E1339" s="3">
        <v>-132.152</v>
      </c>
      <c r="F1339" s="4" t="str">
        <f>HYPERLINK("http://141.218.60.56/~jnz1568/getInfo.php?workbook=14_04.xlsx&amp;sheet=A0&amp;row=1339&amp;col=6&amp;number=21520000000&amp;sourceID=14","21520000000")</f>
        <v>21520000000</v>
      </c>
      <c r="G1339" s="4" t="str">
        <f>HYPERLINK("http://141.218.60.56/~jnz1568/getInfo.php?workbook=14_04.xlsx&amp;sheet=A0&amp;row=1339&amp;col=7&amp;number=0&amp;sourceID=14","0")</f>
        <v>0</v>
      </c>
    </row>
    <row r="1340" spans="1:7">
      <c r="A1340" s="3">
        <v>14</v>
      </c>
      <c r="B1340" s="3">
        <v>4</v>
      </c>
      <c r="C1340" s="3">
        <v>66</v>
      </c>
      <c r="D1340" s="3">
        <v>22</v>
      </c>
      <c r="E1340" s="3">
        <v>-132.178</v>
      </c>
      <c r="F1340" s="4" t="str">
        <f>HYPERLINK("http://141.218.60.56/~jnz1568/getInfo.php?workbook=14_04.xlsx&amp;sheet=A0&amp;row=1340&amp;col=6&amp;number=37670000000&amp;sourceID=14","37670000000")</f>
        <v>37670000000</v>
      </c>
      <c r="G1340" s="4" t="str">
        <f>HYPERLINK("http://141.218.60.56/~jnz1568/getInfo.php?workbook=14_04.xlsx&amp;sheet=A0&amp;row=1340&amp;col=7&amp;number=0&amp;sourceID=14","0")</f>
        <v>0</v>
      </c>
    </row>
    <row r="1341" spans="1:7">
      <c r="A1341" s="3">
        <v>14</v>
      </c>
      <c r="B1341" s="3">
        <v>4</v>
      </c>
      <c r="C1341" s="3">
        <v>67</v>
      </c>
      <c r="D1341" s="3">
        <v>22</v>
      </c>
      <c r="E1341" s="3">
        <v>-131.393</v>
      </c>
      <c r="F1341" s="4" t="str">
        <f>HYPERLINK("http://141.218.60.56/~jnz1568/getInfo.php?workbook=14_04.xlsx&amp;sheet=A0&amp;row=1341&amp;col=6&amp;number=652800000&amp;sourceID=14","652800000")</f>
        <v>652800000</v>
      </c>
      <c r="G1341" s="4" t="str">
        <f>HYPERLINK("http://141.218.60.56/~jnz1568/getInfo.php?workbook=14_04.xlsx&amp;sheet=A0&amp;row=1341&amp;col=7&amp;number=0&amp;sourceID=14","0")</f>
        <v>0</v>
      </c>
    </row>
    <row r="1342" spans="1:7">
      <c r="A1342" s="3">
        <v>14</v>
      </c>
      <c r="B1342" s="3">
        <v>4</v>
      </c>
      <c r="C1342" s="3">
        <v>68</v>
      </c>
      <c r="D1342" s="3">
        <v>22</v>
      </c>
      <c r="E1342" s="3">
        <v>-131.256</v>
      </c>
      <c r="F1342" s="4" t="str">
        <f>HYPERLINK("http://141.218.60.56/~jnz1568/getInfo.php?workbook=14_04.xlsx&amp;sheet=A0&amp;row=1342&amp;col=6&amp;number=3226000000&amp;sourceID=14","3226000000")</f>
        <v>3226000000</v>
      </c>
      <c r="G1342" s="4" t="str">
        <f>HYPERLINK("http://141.218.60.56/~jnz1568/getInfo.php?workbook=14_04.xlsx&amp;sheet=A0&amp;row=1342&amp;col=7&amp;number=0&amp;sourceID=14","0")</f>
        <v>0</v>
      </c>
    </row>
    <row r="1343" spans="1:7">
      <c r="A1343" s="3">
        <v>14</v>
      </c>
      <c r="B1343" s="3">
        <v>4</v>
      </c>
      <c r="C1343" s="3">
        <v>69</v>
      </c>
      <c r="D1343" s="3">
        <v>22</v>
      </c>
      <c r="E1343" s="3">
        <v>-131.116</v>
      </c>
      <c r="F1343" s="4" t="str">
        <f>HYPERLINK("http://141.218.60.56/~jnz1568/getInfo.php?workbook=14_04.xlsx&amp;sheet=A0&amp;row=1343&amp;col=6&amp;number=3896000&amp;sourceID=14","3896000")</f>
        <v>3896000</v>
      </c>
      <c r="G1343" s="4" t="str">
        <f>HYPERLINK("http://141.218.60.56/~jnz1568/getInfo.php?workbook=14_04.xlsx&amp;sheet=A0&amp;row=1343&amp;col=7&amp;number=0&amp;sourceID=14","0")</f>
        <v>0</v>
      </c>
    </row>
    <row r="1344" spans="1:7">
      <c r="A1344" s="3">
        <v>14</v>
      </c>
      <c r="B1344" s="3">
        <v>4</v>
      </c>
      <c r="C1344" s="3">
        <v>70</v>
      </c>
      <c r="D1344" s="3">
        <v>22</v>
      </c>
      <c r="E1344" s="3">
        <v>-130.529</v>
      </c>
      <c r="F1344" s="4" t="str">
        <f>HYPERLINK("http://141.218.60.56/~jnz1568/getInfo.php?workbook=14_04.xlsx&amp;sheet=A0&amp;row=1344&amp;col=6&amp;number=8225000&amp;sourceID=14","8225000")</f>
        <v>8225000</v>
      </c>
      <c r="G1344" s="4" t="str">
        <f>HYPERLINK("http://141.218.60.56/~jnz1568/getInfo.php?workbook=14_04.xlsx&amp;sheet=A0&amp;row=1344&amp;col=7&amp;number=0&amp;sourceID=14","0")</f>
        <v>0</v>
      </c>
    </row>
    <row r="1345" spans="1:7">
      <c r="A1345" s="3">
        <v>14</v>
      </c>
      <c r="B1345" s="3">
        <v>4</v>
      </c>
      <c r="C1345" s="3">
        <v>71</v>
      </c>
      <c r="D1345" s="3">
        <v>22</v>
      </c>
      <c r="E1345" s="3">
        <v>-130.289</v>
      </c>
      <c r="F1345" s="4" t="str">
        <f>HYPERLINK("http://141.218.60.56/~jnz1568/getInfo.php?workbook=14_04.xlsx&amp;sheet=A0&amp;row=1345&amp;col=6&amp;number=83140&amp;sourceID=14","83140")</f>
        <v>83140</v>
      </c>
      <c r="G1345" s="4" t="str">
        <f>HYPERLINK("http://141.218.60.56/~jnz1568/getInfo.php?workbook=14_04.xlsx&amp;sheet=A0&amp;row=1345&amp;col=7&amp;number=0&amp;sourceID=14","0")</f>
        <v>0</v>
      </c>
    </row>
    <row r="1346" spans="1:7">
      <c r="A1346" s="3">
        <v>14</v>
      </c>
      <c r="B1346" s="3">
        <v>4</v>
      </c>
      <c r="C1346" s="3">
        <v>72</v>
      </c>
      <c r="D1346" s="3">
        <v>22</v>
      </c>
      <c r="E1346" s="3">
        <v>-129.92</v>
      </c>
      <c r="F1346" s="4" t="str">
        <f>HYPERLINK("http://141.218.60.56/~jnz1568/getInfo.php?workbook=14_04.xlsx&amp;sheet=A0&amp;row=1346&amp;col=6&amp;number=544000000&amp;sourceID=14","544000000")</f>
        <v>544000000</v>
      </c>
      <c r="G1346" s="4" t="str">
        <f>HYPERLINK("http://141.218.60.56/~jnz1568/getInfo.php?workbook=14_04.xlsx&amp;sheet=A0&amp;row=1346&amp;col=7&amp;number=0&amp;sourceID=14","0")</f>
        <v>0</v>
      </c>
    </row>
    <row r="1347" spans="1:7">
      <c r="A1347" s="3">
        <v>14</v>
      </c>
      <c r="B1347" s="3">
        <v>4</v>
      </c>
      <c r="C1347" s="3">
        <v>74</v>
      </c>
      <c r="D1347" s="3">
        <v>22</v>
      </c>
      <c r="E1347" s="3">
        <v>-129.445</v>
      </c>
      <c r="F1347" s="4" t="str">
        <f>HYPERLINK("http://141.218.60.56/~jnz1568/getInfo.php?workbook=14_04.xlsx&amp;sheet=A0&amp;row=1347&amp;col=6&amp;number=9465000&amp;sourceID=14","9465000")</f>
        <v>9465000</v>
      </c>
      <c r="G1347" s="4" t="str">
        <f>HYPERLINK("http://141.218.60.56/~jnz1568/getInfo.php?workbook=14_04.xlsx&amp;sheet=A0&amp;row=1347&amp;col=7&amp;number=0&amp;sourceID=14","0")</f>
        <v>0</v>
      </c>
    </row>
    <row r="1348" spans="1:7">
      <c r="A1348" s="3">
        <v>14</v>
      </c>
      <c r="B1348" s="3">
        <v>4</v>
      </c>
      <c r="C1348" s="3">
        <v>75</v>
      </c>
      <c r="D1348" s="3">
        <v>22</v>
      </c>
      <c r="E1348" s="3">
        <v>-129.124</v>
      </c>
      <c r="F1348" s="4" t="str">
        <f>HYPERLINK("http://141.218.60.56/~jnz1568/getInfo.php?workbook=14_04.xlsx&amp;sheet=A0&amp;row=1348&amp;col=6&amp;number=4168000&amp;sourceID=14","4168000")</f>
        <v>4168000</v>
      </c>
      <c r="G1348" s="4" t="str">
        <f>HYPERLINK("http://141.218.60.56/~jnz1568/getInfo.php?workbook=14_04.xlsx&amp;sheet=A0&amp;row=1348&amp;col=7&amp;number=0&amp;sourceID=14","0")</f>
        <v>0</v>
      </c>
    </row>
    <row r="1349" spans="1:7">
      <c r="A1349" s="3">
        <v>14</v>
      </c>
      <c r="B1349" s="3">
        <v>4</v>
      </c>
      <c r="C1349" s="3">
        <v>76</v>
      </c>
      <c r="D1349" s="3">
        <v>22</v>
      </c>
      <c r="E1349" s="3">
        <v>-128.676</v>
      </c>
      <c r="F1349" s="4" t="str">
        <f>HYPERLINK("http://141.218.60.56/~jnz1568/getInfo.php?workbook=14_04.xlsx&amp;sheet=A0&amp;row=1349&amp;col=6&amp;number=1197000&amp;sourceID=14","1197000")</f>
        <v>1197000</v>
      </c>
      <c r="G1349" s="4" t="str">
        <f>HYPERLINK("http://141.218.60.56/~jnz1568/getInfo.php?workbook=14_04.xlsx&amp;sheet=A0&amp;row=1349&amp;col=7&amp;number=0&amp;sourceID=14","0")</f>
        <v>0</v>
      </c>
    </row>
    <row r="1350" spans="1:7">
      <c r="A1350" s="3">
        <v>14</v>
      </c>
      <c r="B1350" s="3">
        <v>4</v>
      </c>
      <c r="C1350" s="3">
        <v>77</v>
      </c>
      <c r="D1350" s="3">
        <v>22</v>
      </c>
      <c r="E1350" s="3">
        <v>-128.273</v>
      </c>
      <c r="F1350" s="4" t="str">
        <f>HYPERLINK("http://141.218.60.56/~jnz1568/getInfo.php?workbook=14_04.xlsx&amp;sheet=A0&amp;row=1350&amp;col=6&amp;number=849400&amp;sourceID=14","849400")</f>
        <v>849400</v>
      </c>
      <c r="G1350" s="4" t="str">
        <f>HYPERLINK("http://141.218.60.56/~jnz1568/getInfo.php?workbook=14_04.xlsx&amp;sheet=A0&amp;row=1350&amp;col=7&amp;number=0&amp;sourceID=14","0")</f>
        <v>0</v>
      </c>
    </row>
    <row r="1351" spans="1:7">
      <c r="A1351" s="3">
        <v>14</v>
      </c>
      <c r="B1351" s="3">
        <v>4</v>
      </c>
      <c r="C1351" s="3">
        <v>78</v>
      </c>
      <c r="D1351" s="3">
        <v>22</v>
      </c>
      <c r="E1351" s="3">
        <v>-128.146</v>
      </c>
      <c r="F1351" s="4" t="str">
        <f>HYPERLINK("http://141.218.60.56/~jnz1568/getInfo.php?workbook=14_04.xlsx&amp;sheet=A0&amp;row=1351&amp;col=6&amp;number=120400&amp;sourceID=14","120400")</f>
        <v>120400</v>
      </c>
      <c r="G1351" s="4" t="str">
        <f>HYPERLINK("http://141.218.60.56/~jnz1568/getInfo.php?workbook=14_04.xlsx&amp;sheet=A0&amp;row=1351&amp;col=7&amp;number=0&amp;sourceID=14","0")</f>
        <v>0</v>
      </c>
    </row>
    <row r="1352" spans="1:7">
      <c r="A1352" s="3">
        <v>14</v>
      </c>
      <c r="B1352" s="3">
        <v>4</v>
      </c>
      <c r="C1352" s="3">
        <v>79</v>
      </c>
      <c r="D1352" s="3">
        <v>22</v>
      </c>
      <c r="E1352" s="3">
        <v>-128.074</v>
      </c>
      <c r="F1352" s="4" t="str">
        <f>HYPERLINK("http://141.218.60.56/~jnz1568/getInfo.php?workbook=14_04.xlsx&amp;sheet=A0&amp;row=1352&amp;col=6&amp;number=0.003239&amp;sourceID=14","0.003239")</f>
        <v>0.003239</v>
      </c>
      <c r="G1352" s="4" t="str">
        <f>HYPERLINK("http://141.218.60.56/~jnz1568/getInfo.php?workbook=14_04.xlsx&amp;sheet=A0&amp;row=1352&amp;col=7&amp;number=0&amp;sourceID=14","0")</f>
        <v>0</v>
      </c>
    </row>
    <row r="1353" spans="1:7">
      <c r="A1353" s="3">
        <v>14</v>
      </c>
      <c r="B1353" s="3">
        <v>4</v>
      </c>
      <c r="C1353" s="3">
        <v>80</v>
      </c>
      <c r="D1353" s="3">
        <v>22</v>
      </c>
      <c r="E1353" s="3">
        <v>-127.682</v>
      </c>
      <c r="F1353" s="4" t="str">
        <f>HYPERLINK("http://141.218.60.56/~jnz1568/getInfo.php?workbook=14_04.xlsx&amp;sheet=A0&amp;row=1353&amp;col=6&amp;number=300400000&amp;sourceID=14","300400000")</f>
        <v>300400000</v>
      </c>
      <c r="G1353" s="4" t="str">
        <f>HYPERLINK("http://141.218.60.56/~jnz1568/getInfo.php?workbook=14_04.xlsx&amp;sheet=A0&amp;row=1353&amp;col=7&amp;number=0&amp;sourceID=14","0")</f>
        <v>0</v>
      </c>
    </row>
    <row r="1354" spans="1:7">
      <c r="A1354" s="3">
        <v>14</v>
      </c>
      <c r="B1354" s="3">
        <v>4</v>
      </c>
      <c r="C1354" s="3">
        <v>81</v>
      </c>
      <c r="D1354" s="3">
        <v>22</v>
      </c>
      <c r="E1354" s="3">
        <v>-126.436</v>
      </c>
      <c r="F1354" s="4" t="str">
        <f>HYPERLINK("http://141.218.60.56/~jnz1568/getInfo.php?workbook=14_04.xlsx&amp;sheet=A0&amp;row=1354&amp;col=6&amp;number=67000&amp;sourceID=14","67000")</f>
        <v>67000</v>
      </c>
      <c r="G1354" s="4" t="str">
        <f>HYPERLINK("http://141.218.60.56/~jnz1568/getInfo.php?workbook=14_04.xlsx&amp;sheet=A0&amp;row=1354&amp;col=7&amp;number=0&amp;sourceID=14","0")</f>
        <v>0</v>
      </c>
    </row>
    <row r="1355" spans="1:7">
      <c r="A1355" s="3">
        <v>14</v>
      </c>
      <c r="B1355" s="3">
        <v>4</v>
      </c>
      <c r="C1355" s="3">
        <v>82</v>
      </c>
      <c r="D1355" s="3">
        <v>22</v>
      </c>
      <c r="E1355" s="3">
        <v>-126.16</v>
      </c>
      <c r="F1355" s="4" t="str">
        <f>HYPERLINK("http://141.218.60.56/~jnz1568/getInfo.php?workbook=14_04.xlsx&amp;sheet=A0&amp;row=1355&amp;col=6&amp;number=134000&amp;sourceID=14","134000")</f>
        <v>134000</v>
      </c>
      <c r="G1355" s="4" t="str">
        <f>HYPERLINK("http://141.218.60.56/~jnz1568/getInfo.php?workbook=14_04.xlsx&amp;sheet=A0&amp;row=1355&amp;col=7&amp;number=0&amp;sourceID=14","0")</f>
        <v>0</v>
      </c>
    </row>
    <row r="1356" spans="1:7">
      <c r="A1356" s="3">
        <v>14</v>
      </c>
      <c r="B1356" s="3">
        <v>4</v>
      </c>
      <c r="C1356" s="3">
        <v>83</v>
      </c>
      <c r="D1356" s="3">
        <v>22</v>
      </c>
      <c r="E1356" s="3">
        <v>-117.156</v>
      </c>
      <c r="F1356" s="4" t="str">
        <f>HYPERLINK("http://141.218.60.56/~jnz1568/getInfo.php?workbook=14_04.xlsx&amp;sheet=A0&amp;row=1356&amp;col=6&amp;number=20170000&amp;sourceID=14","20170000")</f>
        <v>20170000</v>
      </c>
      <c r="G1356" s="4" t="str">
        <f>HYPERLINK("http://141.218.60.56/~jnz1568/getInfo.php?workbook=14_04.xlsx&amp;sheet=A0&amp;row=1356&amp;col=7&amp;number=0&amp;sourceID=14","0")</f>
        <v>0</v>
      </c>
    </row>
    <row r="1357" spans="1:7">
      <c r="A1357" s="3">
        <v>14</v>
      </c>
      <c r="B1357" s="3">
        <v>4</v>
      </c>
      <c r="C1357" s="3">
        <v>84</v>
      </c>
      <c r="D1357" s="3">
        <v>22</v>
      </c>
      <c r="E1357" s="3">
        <v>-116.177</v>
      </c>
      <c r="F1357" s="4" t="str">
        <f>HYPERLINK("http://141.218.60.56/~jnz1568/getInfo.php?workbook=14_04.xlsx&amp;sheet=A0&amp;row=1357&amp;col=6&amp;number=48490000&amp;sourceID=14","48490000")</f>
        <v>48490000</v>
      </c>
      <c r="G1357" s="4" t="str">
        <f>HYPERLINK("http://141.218.60.56/~jnz1568/getInfo.php?workbook=14_04.xlsx&amp;sheet=A0&amp;row=1357&amp;col=7&amp;number=0&amp;sourceID=14","0")</f>
        <v>0</v>
      </c>
    </row>
    <row r="1358" spans="1:7">
      <c r="A1358" s="3">
        <v>14</v>
      </c>
      <c r="B1358" s="3">
        <v>4</v>
      </c>
      <c r="C1358" s="3">
        <v>85</v>
      </c>
      <c r="D1358" s="3">
        <v>22</v>
      </c>
      <c r="E1358" s="3">
        <v>-115.196</v>
      </c>
      <c r="F1358" s="4" t="str">
        <f>HYPERLINK("http://141.218.60.56/~jnz1568/getInfo.php?workbook=14_04.xlsx&amp;sheet=A0&amp;row=1358&amp;col=6&amp;number=0.04184&amp;sourceID=14","0.04184")</f>
        <v>0.04184</v>
      </c>
      <c r="G1358" s="4" t="str">
        <f>HYPERLINK("http://141.218.60.56/~jnz1568/getInfo.php?workbook=14_04.xlsx&amp;sheet=A0&amp;row=1358&amp;col=7&amp;number=0&amp;sourceID=14","0")</f>
        <v>0</v>
      </c>
    </row>
    <row r="1359" spans="1:7">
      <c r="A1359" s="3">
        <v>14</v>
      </c>
      <c r="B1359" s="3">
        <v>4</v>
      </c>
      <c r="C1359" s="3">
        <v>86</v>
      </c>
      <c r="D1359" s="3">
        <v>22</v>
      </c>
      <c r="E1359" s="3">
        <v>-115.18</v>
      </c>
      <c r="F1359" s="4" t="str">
        <f>HYPERLINK("http://141.218.60.56/~jnz1568/getInfo.php?workbook=14_04.xlsx&amp;sheet=A0&amp;row=1359&amp;col=6&amp;number=3988&amp;sourceID=14","3988")</f>
        <v>3988</v>
      </c>
      <c r="G1359" s="4" t="str">
        <f>HYPERLINK("http://141.218.60.56/~jnz1568/getInfo.php?workbook=14_04.xlsx&amp;sheet=A0&amp;row=1359&amp;col=7&amp;number=0&amp;sourceID=14","0")</f>
        <v>0</v>
      </c>
    </row>
    <row r="1360" spans="1:7">
      <c r="A1360" s="3">
        <v>14</v>
      </c>
      <c r="B1360" s="3">
        <v>4</v>
      </c>
      <c r="C1360" s="3">
        <v>87</v>
      </c>
      <c r="D1360" s="3">
        <v>22</v>
      </c>
      <c r="E1360" s="3">
        <v>-115.142</v>
      </c>
      <c r="F1360" s="4" t="str">
        <f>HYPERLINK("http://141.218.60.56/~jnz1568/getInfo.php?workbook=14_04.xlsx&amp;sheet=A0&amp;row=1360&amp;col=6&amp;number=5837&amp;sourceID=14","5837")</f>
        <v>5837</v>
      </c>
      <c r="G1360" s="4" t="str">
        <f>HYPERLINK("http://141.218.60.56/~jnz1568/getInfo.php?workbook=14_04.xlsx&amp;sheet=A0&amp;row=1360&amp;col=7&amp;number=0&amp;sourceID=14","0")</f>
        <v>0</v>
      </c>
    </row>
    <row r="1361" spans="1:7">
      <c r="A1361" s="3">
        <v>14</v>
      </c>
      <c r="B1361" s="3">
        <v>4</v>
      </c>
      <c r="C1361" s="3">
        <v>88</v>
      </c>
      <c r="D1361" s="3">
        <v>22</v>
      </c>
      <c r="E1361" s="3">
        <v>-114.803</v>
      </c>
      <c r="F1361" s="4" t="str">
        <f>HYPERLINK("http://141.218.60.56/~jnz1568/getInfo.php?workbook=14_04.xlsx&amp;sheet=A0&amp;row=1361&amp;col=6&amp;number=7268&amp;sourceID=14","7268")</f>
        <v>7268</v>
      </c>
      <c r="G1361" s="4" t="str">
        <f>HYPERLINK("http://141.218.60.56/~jnz1568/getInfo.php?workbook=14_04.xlsx&amp;sheet=A0&amp;row=1361&amp;col=7&amp;number=0&amp;sourceID=14","0")</f>
        <v>0</v>
      </c>
    </row>
    <row r="1362" spans="1:7">
      <c r="A1362" s="3">
        <v>14</v>
      </c>
      <c r="B1362" s="3">
        <v>4</v>
      </c>
      <c r="C1362" s="3">
        <v>89</v>
      </c>
      <c r="D1362" s="3">
        <v>22</v>
      </c>
      <c r="E1362" s="3">
        <v>-114.069</v>
      </c>
      <c r="F1362" s="4" t="str">
        <f>HYPERLINK("http://141.218.60.56/~jnz1568/getInfo.php?workbook=14_04.xlsx&amp;sheet=A0&amp;row=1362&amp;col=6&amp;number=25360000&amp;sourceID=14","25360000")</f>
        <v>25360000</v>
      </c>
      <c r="G1362" s="4" t="str">
        <f>HYPERLINK("http://141.218.60.56/~jnz1568/getInfo.php?workbook=14_04.xlsx&amp;sheet=A0&amp;row=1362&amp;col=7&amp;number=0&amp;sourceID=14","0")</f>
        <v>0</v>
      </c>
    </row>
    <row r="1363" spans="1:7">
      <c r="A1363" s="3">
        <v>14</v>
      </c>
      <c r="B1363" s="3">
        <v>4</v>
      </c>
      <c r="C1363" s="3">
        <v>90</v>
      </c>
      <c r="D1363" s="3">
        <v>22</v>
      </c>
      <c r="E1363" s="3">
        <v>-114.062</v>
      </c>
      <c r="F1363" s="4" t="str">
        <f>HYPERLINK("http://141.218.60.56/~jnz1568/getInfo.php?workbook=14_04.xlsx&amp;sheet=A0&amp;row=1363&amp;col=6&amp;number=44340000&amp;sourceID=14","44340000")</f>
        <v>44340000</v>
      </c>
      <c r="G1363" s="4" t="str">
        <f>HYPERLINK("http://141.218.60.56/~jnz1568/getInfo.php?workbook=14_04.xlsx&amp;sheet=A0&amp;row=1363&amp;col=7&amp;number=0&amp;sourceID=14","0")</f>
        <v>0</v>
      </c>
    </row>
    <row r="1364" spans="1:7">
      <c r="A1364" s="3">
        <v>14</v>
      </c>
      <c r="B1364" s="3">
        <v>4</v>
      </c>
      <c r="C1364" s="3">
        <v>92</v>
      </c>
      <c r="D1364" s="3">
        <v>22</v>
      </c>
      <c r="E1364" s="3">
        <v>-113.423</v>
      </c>
      <c r="F1364" s="4" t="str">
        <f>HYPERLINK("http://141.218.60.56/~jnz1568/getInfo.php?workbook=14_04.xlsx&amp;sheet=A0&amp;row=1364&amp;col=6&amp;number=75490000&amp;sourceID=14","75490000")</f>
        <v>75490000</v>
      </c>
      <c r="G1364" s="4" t="str">
        <f>HYPERLINK("http://141.218.60.56/~jnz1568/getInfo.php?workbook=14_04.xlsx&amp;sheet=A0&amp;row=1364&amp;col=7&amp;number=0&amp;sourceID=14","0")</f>
        <v>0</v>
      </c>
    </row>
    <row r="1365" spans="1:7">
      <c r="A1365" s="3">
        <v>14</v>
      </c>
      <c r="B1365" s="3">
        <v>4</v>
      </c>
      <c r="C1365" s="3">
        <v>24</v>
      </c>
      <c r="D1365" s="3">
        <v>23</v>
      </c>
      <c r="E1365" s="3">
        <v>-3271.389</v>
      </c>
      <c r="F1365" s="4" t="str">
        <f>HYPERLINK("http://141.218.60.56/~jnz1568/getInfo.php?workbook=14_04.xlsx&amp;sheet=A0&amp;row=1365&amp;col=6&amp;number=6.466&amp;sourceID=14","6.466")</f>
        <v>6.466</v>
      </c>
      <c r="G1365" s="4" t="str">
        <f>HYPERLINK("http://141.218.60.56/~jnz1568/getInfo.php?workbook=14_04.xlsx&amp;sheet=A0&amp;row=1365&amp;col=7&amp;number=0&amp;sourceID=14","0")</f>
        <v>0</v>
      </c>
    </row>
    <row r="1366" spans="1:7">
      <c r="A1366" s="3">
        <v>14</v>
      </c>
      <c r="B1366" s="3">
        <v>4</v>
      </c>
      <c r="C1366" s="3">
        <v>25</v>
      </c>
      <c r="D1366" s="3">
        <v>23</v>
      </c>
      <c r="E1366" s="3">
        <v>-2488.846</v>
      </c>
      <c r="F1366" s="4" t="str">
        <f>HYPERLINK("http://141.218.60.56/~jnz1568/getInfo.php?workbook=14_04.xlsx&amp;sheet=A0&amp;row=1366&amp;col=6&amp;number=13060&amp;sourceID=14","13060")</f>
        <v>13060</v>
      </c>
      <c r="G1366" s="4" t="str">
        <f>HYPERLINK("http://141.218.60.56/~jnz1568/getInfo.php?workbook=14_04.xlsx&amp;sheet=A0&amp;row=1366&amp;col=7&amp;number=0&amp;sourceID=14","0")</f>
        <v>0</v>
      </c>
    </row>
    <row r="1367" spans="1:7">
      <c r="A1367" s="3">
        <v>14</v>
      </c>
      <c r="B1367" s="3">
        <v>4</v>
      </c>
      <c r="C1367" s="3">
        <v>26</v>
      </c>
      <c r="D1367" s="3">
        <v>23</v>
      </c>
      <c r="E1367" s="3">
        <v>-2043.689</v>
      </c>
      <c r="F1367" s="4" t="str">
        <f>HYPERLINK("http://141.218.60.56/~jnz1568/getInfo.php?workbook=14_04.xlsx&amp;sheet=A0&amp;row=1367&amp;col=6&amp;number=2181000&amp;sourceID=14","2181000")</f>
        <v>2181000</v>
      </c>
      <c r="G1367" s="4" t="str">
        <f>HYPERLINK("http://141.218.60.56/~jnz1568/getInfo.php?workbook=14_04.xlsx&amp;sheet=A0&amp;row=1367&amp;col=7&amp;number=0&amp;sourceID=14","0")</f>
        <v>0</v>
      </c>
    </row>
    <row r="1368" spans="1:7">
      <c r="A1368" s="3">
        <v>14</v>
      </c>
      <c r="B1368" s="3">
        <v>4</v>
      </c>
      <c r="C1368" s="3">
        <v>27</v>
      </c>
      <c r="D1368" s="3">
        <v>23</v>
      </c>
      <c r="E1368" s="3">
        <v>-1962.986</v>
      </c>
      <c r="F1368" s="4" t="str">
        <f>HYPERLINK("http://141.218.60.56/~jnz1568/getInfo.php?workbook=14_04.xlsx&amp;sheet=A0&amp;row=1368&amp;col=6&amp;number=20830000&amp;sourceID=14","20830000")</f>
        <v>20830000</v>
      </c>
      <c r="G1368" s="4" t="str">
        <f>HYPERLINK("http://141.218.60.56/~jnz1568/getInfo.php?workbook=14_04.xlsx&amp;sheet=A0&amp;row=1368&amp;col=7&amp;number=0&amp;sourceID=14","0")</f>
        <v>0</v>
      </c>
    </row>
    <row r="1369" spans="1:7">
      <c r="A1369" s="3">
        <v>14</v>
      </c>
      <c r="B1369" s="3">
        <v>4</v>
      </c>
      <c r="C1369" s="3">
        <v>28</v>
      </c>
      <c r="D1369" s="3">
        <v>23</v>
      </c>
      <c r="E1369" s="3">
        <v>-1779.592</v>
      </c>
      <c r="F1369" s="4" t="str">
        <f>HYPERLINK("http://141.218.60.56/~jnz1568/getInfo.php?workbook=14_04.xlsx&amp;sheet=A0&amp;row=1369&amp;col=6&amp;number=142700000&amp;sourceID=14","142700000")</f>
        <v>142700000</v>
      </c>
      <c r="G1369" s="4" t="str">
        <f>HYPERLINK("http://141.218.60.56/~jnz1568/getInfo.php?workbook=14_04.xlsx&amp;sheet=A0&amp;row=1369&amp;col=7&amp;number=0&amp;sourceID=14","0")</f>
        <v>0</v>
      </c>
    </row>
    <row r="1370" spans="1:7">
      <c r="A1370" s="3">
        <v>14</v>
      </c>
      <c r="B1370" s="3">
        <v>4</v>
      </c>
      <c r="C1370" s="3">
        <v>29</v>
      </c>
      <c r="D1370" s="3">
        <v>23</v>
      </c>
      <c r="E1370" s="3">
        <v>-1451.946</v>
      </c>
      <c r="F1370" s="4" t="str">
        <f>HYPERLINK("http://141.218.60.56/~jnz1568/getInfo.php?workbook=14_04.xlsx&amp;sheet=A0&amp;row=1370&amp;col=6&amp;number=84900000&amp;sourceID=14","84900000")</f>
        <v>84900000</v>
      </c>
      <c r="G1370" s="4" t="str">
        <f>HYPERLINK("http://141.218.60.56/~jnz1568/getInfo.php?workbook=14_04.xlsx&amp;sheet=A0&amp;row=1370&amp;col=7&amp;number=0&amp;sourceID=14","0")</f>
        <v>0</v>
      </c>
    </row>
    <row r="1371" spans="1:7">
      <c r="A1371" s="3">
        <v>14</v>
      </c>
      <c r="B1371" s="3">
        <v>4</v>
      </c>
      <c r="C1371" s="3">
        <v>31</v>
      </c>
      <c r="D1371" s="3">
        <v>23</v>
      </c>
      <c r="E1371" s="3">
        <v>-1263.67</v>
      </c>
      <c r="F1371" s="4" t="str">
        <f>HYPERLINK("http://141.218.60.56/~jnz1568/getInfo.php?workbook=14_04.xlsx&amp;sheet=A0&amp;row=1371&amp;col=6&amp;number=274900000&amp;sourceID=14","274900000")</f>
        <v>274900000</v>
      </c>
      <c r="G1371" s="4" t="str">
        <f>HYPERLINK("http://141.218.60.56/~jnz1568/getInfo.php?workbook=14_04.xlsx&amp;sheet=A0&amp;row=1371&amp;col=7&amp;number=0&amp;sourceID=14","0")</f>
        <v>0</v>
      </c>
    </row>
    <row r="1372" spans="1:7">
      <c r="A1372" s="3">
        <v>14</v>
      </c>
      <c r="B1372" s="3">
        <v>4</v>
      </c>
      <c r="C1372" s="3">
        <v>32</v>
      </c>
      <c r="D1372" s="3">
        <v>23</v>
      </c>
      <c r="E1372" s="3">
        <v>-1221.677</v>
      </c>
      <c r="F1372" s="4" t="str">
        <f>HYPERLINK("http://141.218.60.56/~jnz1568/getInfo.php?workbook=14_04.xlsx&amp;sheet=A0&amp;row=1372&amp;col=6&amp;number=384900000&amp;sourceID=14","384900000")</f>
        <v>384900000</v>
      </c>
      <c r="G1372" s="4" t="str">
        <f>HYPERLINK("http://141.218.60.56/~jnz1568/getInfo.php?workbook=14_04.xlsx&amp;sheet=A0&amp;row=1372&amp;col=7&amp;number=0&amp;sourceID=14","0")</f>
        <v>0</v>
      </c>
    </row>
    <row r="1373" spans="1:7">
      <c r="A1373" s="3">
        <v>14</v>
      </c>
      <c r="B1373" s="3">
        <v>4</v>
      </c>
      <c r="C1373" s="3">
        <v>33</v>
      </c>
      <c r="D1373" s="3">
        <v>23</v>
      </c>
      <c r="E1373" s="3">
        <v>-1158.326</v>
      </c>
      <c r="F1373" s="4" t="str">
        <f>HYPERLINK("http://141.218.60.56/~jnz1568/getInfo.php?workbook=14_04.xlsx&amp;sheet=A0&amp;row=1373&amp;col=6&amp;number=3.543&amp;sourceID=14","3.543")</f>
        <v>3.543</v>
      </c>
      <c r="G1373" s="4" t="str">
        <f>HYPERLINK("http://141.218.60.56/~jnz1568/getInfo.php?workbook=14_04.xlsx&amp;sheet=A0&amp;row=1373&amp;col=7&amp;number=0&amp;sourceID=14","0")</f>
        <v>0</v>
      </c>
    </row>
    <row r="1374" spans="1:7">
      <c r="A1374" s="3">
        <v>14</v>
      </c>
      <c r="B1374" s="3">
        <v>4</v>
      </c>
      <c r="C1374" s="3">
        <v>34</v>
      </c>
      <c r="D1374" s="3">
        <v>23</v>
      </c>
      <c r="E1374" s="3">
        <v>-1105.883</v>
      </c>
      <c r="F1374" s="4" t="str">
        <f>HYPERLINK("http://141.218.60.56/~jnz1568/getInfo.php?workbook=14_04.xlsx&amp;sheet=A0&amp;row=1374&amp;col=6&amp;number=34.34&amp;sourceID=14","34.34")</f>
        <v>34.34</v>
      </c>
      <c r="G1374" s="4" t="str">
        <f>HYPERLINK("http://141.218.60.56/~jnz1568/getInfo.php?workbook=14_04.xlsx&amp;sheet=A0&amp;row=1374&amp;col=7&amp;number=0&amp;sourceID=14","0")</f>
        <v>0</v>
      </c>
    </row>
    <row r="1375" spans="1:7">
      <c r="A1375" s="3">
        <v>14</v>
      </c>
      <c r="B1375" s="3">
        <v>4</v>
      </c>
      <c r="C1375" s="3">
        <v>35</v>
      </c>
      <c r="D1375" s="3">
        <v>23</v>
      </c>
      <c r="E1375" s="3">
        <v>-1075.396</v>
      </c>
      <c r="F1375" s="4" t="str">
        <f>HYPERLINK("http://141.218.60.56/~jnz1568/getInfo.php?workbook=14_04.xlsx&amp;sheet=A0&amp;row=1375&amp;col=6&amp;number=1.636&amp;sourceID=14","1.636")</f>
        <v>1.636</v>
      </c>
      <c r="G1375" s="4" t="str">
        <f>HYPERLINK("http://141.218.60.56/~jnz1568/getInfo.php?workbook=14_04.xlsx&amp;sheet=A0&amp;row=1375&amp;col=7&amp;number=0&amp;sourceID=14","0")</f>
        <v>0</v>
      </c>
    </row>
    <row r="1376" spans="1:7">
      <c r="A1376" s="3">
        <v>14</v>
      </c>
      <c r="B1376" s="3">
        <v>4</v>
      </c>
      <c r="C1376" s="3">
        <v>36</v>
      </c>
      <c r="D1376" s="3">
        <v>23</v>
      </c>
      <c r="E1376" s="3">
        <v>-1055.23</v>
      </c>
      <c r="F1376" s="4" t="str">
        <f>HYPERLINK("http://141.218.60.56/~jnz1568/getInfo.php?workbook=14_04.xlsx&amp;sheet=A0&amp;row=1376&amp;col=6&amp;number=185.6&amp;sourceID=14","185.6")</f>
        <v>185.6</v>
      </c>
      <c r="G1376" s="4" t="str">
        <f>HYPERLINK("http://141.218.60.56/~jnz1568/getInfo.php?workbook=14_04.xlsx&amp;sheet=A0&amp;row=1376&amp;col=7&amp;number=0&amp;sourceID=14","0")</f>
        <v>0</v>
      </c>
    </row>
    <row r="1377" spans="1:7">
      <c r="A1377" s="3">
        <v>14</v>
      </c>
      <c r="B1377" s="3">
        <v>4</v>
      </c>
      <c r="C1377" s="3">
        <v>37</v>
      </c>
      <c r="D1377" s="3">
        <v>23</v>
      </c>
      <c r="E1377" s="3">
        <v>-956.639</v>
      </c>
      <c r="F1377" s="4" t="str">
        <f>HYPERLINK("http://141.218.60.56/~jnz1568/getInfo.php?workbook=14_04.xlsx&amp;sheet=A0&amp;row=1377&amp;col=6&amp;number=4762000&amp;sourceID=14","4762000")</f>
        <v>4762000</v>
      </c>
      <c r="G1377" s="4" t="str">
        <f>HYPERLINK("http://141.218.60.56/~jnz1568/getInfo.php?workbook=14_04.xlsx&amp;sheet=A0&amp;row=1377&amp;col=7&amp;number=0&amp;sourceID=14","0")</f>
        <v>0</v>
      </c>
    </row>
    <row r="1378" spans="1:7">
      <c r="A1378" s="3">
        <v>14</v>
      </c>
      <c r="B1378" s="3">
        <v>4</v>
      </c>
      <c r="C1378" s="3">
        <v>38</v>
      </c>
      <c r="D1378" s="3">
        <v>23</v>
      </c>
      <c r="E1378" s="3">
        <v>-876.01</v>
      </c>
      <c r="F1378" s="4" t="str">
        <f>HYPERLINK("http://141.218.60.56/~jnz1568/getInfo.php?workbook=14_04.xlsx&amp;sheet=A0&amp;row=1378&amp;col=6&amp;number=77.69&amp;sourceID=14","77.69")</f>
        <v>77.69</v>
      </c>
      <c r="G1378" s="4" t="str">
        <f>HYPERLINK("http://141.218.60.56/~jnz1568/getInfo.php?workbook=14_04.xlsx&amp;sheet=A0&amp;row=1378&amp;col=7&amp;number=0&amp;sourceID=14","0")</f>
        <v>0</v>
      </c>
    </row>
    <row r="1379" spans="1:7">
      <c r="A1379" s="3">
        <v>14</v>
      </c>
      <c r="B1379" s="3">
        <v>4</v>
      </c>
      <c r="C1379" s="3">
        <v>39</v>
      </c>
      <c r="D1379" s="3">
        <v>23</v>
      </c>
      <c r="E1379" s="3">
        <v>-867.198</v>
      </c>
      <c r="F1379" s="4" t="str">
        <f>HYPERLINK("http://141.218.60.56/~jnz1568/getInfo.php?workbook=14_04.xlsx&amp;sheet=A0&amp;row=1379&amp;col=6&amp;number=237.8&amp;sourceID=14","237.8")</f>
        <v>237.8</v>
      </c>
      <c r="G1379" s="4" t="str">
        <f>HYPERLINK("http://141.218.60.56/~jnz1568/getInfo.php?workbook=14_04.xlsx&amp;sheet=A0&amp;row=1379&amp;col=7&amp;number=0&amp;sourceID=14","0")</f>
        <v>0</v>
      </c>
    </row>
    <row r="1380" spans="1:7">
      <c r="A1380" s="3">
        <v>14</v>
      </c>
      <c r="B1380" s="3">
        <v>4</v>
      </c>
      <c r="C1380" s="3">
        <v>40</v>
      </c>
      <c r="D1380" s="3">
        <v>23</v>
      </c>
      <c r="E1380" s="3">
        <v>-849.083</v>
      </c>
      <c r="F1380" s="4" t="str">
        <f>HYPERLINK("http://141.218.60.56/~jnz1568/getInfo.php?workbook=14_04.xlsx&amp;sheet=A0&amp;row=1380&amp;col=6&amp;number=551.1&amp;sourceID=14","551.1")</f>
        <v>551.1</v>
      </c>
      <c r="G1380" s="4" t="str">
        <f>HYPERLINK("http://141.218.60.56/~jnz1568/getInfo.php?workbook=14_04.xlsx&amp;sheet=A0&amp;row=1380&amp;col=7&amp;number=0&amp;sourceID=14","0")</f>
        <v>0</v>
      </c>
    </row>
    <row r="1381" spans="1:7">
      <c r="A1381" s="3">
        <v>14</v>
      </c>
      <c r="B1381" s="3">
        <v>4</v>
      </c>
      <c r="C1381" s="3">
        <v>41</v>
      </c>
      <c r="D1381" s="3">
        <v>23</v>
      </c>
      <c r="E1381" s="3">
        <v>-796.968</v>
      </c>
      <c r="F1381" s="4" t="str">
        <f>HYPERLINK("http://141.218.60.56/~jnz1568/getInfo.php?workbook=14_04.xlsx&amp;sheet=A0&amp;row=1381&amp;col=6&amp;number=525.1&amp;sourceID=14","525.1")</f>
        <v>525.1</v>
      </c>
      <c r="G1381" s="4" t="str">
        <f>HYPERLINK("http://141.218.60.56/~jnz1568/getInfo.php?workbook=14_04.xlsx&amp;sheet=A0&amp;row=1381&amp;col=7&amp;number=0&amp;sourceID=14","0")</f>
        <v>0</v>
      </c>
    </row>
    <row r="1382" spans="1:7">
      <c r="A1382" s="3">
        <v>14</v>
      </c>
      <c r="B1382" s="3">
        <v>4</v>
      </c>
      <c r="C1382" s="3">
        <v>42</v>
      </c>
      <c r="D1382" s="3">
        <v>23</v>
      </c>
      <c r="E1382" s="3">
        <v>-787.802</v>
      </c>
      <c r="F1382" s="4" t="str">
        <f>HYPERLINK("http://141.218.60.56/~jnz1568/getInfo.php?workbook=14_04.xlsx&amp;sheet=A0&amp;row=1382&amp;col=6&amp;number=752.5&amp;sourceID=14","752.5")</f>
        <v>752.5</v>
      </c>
      <c r="G1382" s="4" t="str">
        <f>HYPERLINK("http://141.218.60.56/~jnz1568/getInfo.php?workbook=14_04.xlsx&amp;sheet=A0&amp;row=1382&amp;col=7&amp;number=0&amp;sourceID=14","0")</f>
        <v>0</v>
      </c>
    </row>
    <row r="1383" spans="1:7">
      <c r="A1383" s="3">
        <v>14</v>
      </c>
      <c r="B1383" s="3">
        <v>4</v>
      </c>
      <c r="C1383" s="3">
        <v>43</v>
      </c>
      <c r="D1383" s="3">
        <v>23</v>
      </c>
      <c r="E1383" s="3">
        <v>-783.041</v>
      </c>
      <c r="F1383" s="4" t="str">
        <f>HYPERLINK("http://141.218.60.56/~jnz1568/getInfo.php?workbook=14_04.xlsx&amp;sheet=A0&amp;row=1383&amp;col=6&amp;number=840.9&amp;sourceID=14","840.9")</f>
        <v>840.9</v>
      </c>
      <c r="G1383" s="4" t="str">
        <f>HYPERLINK("http://141.218.60.56/~jnz1568/getInfo.php?workbook=14_04.xlsx&amp;sheet=A0&amp;row=1383&amp;col=7&amp;number=0&amp;sourceID=14","0")</f>
        <v>0</v>
      </c>
    </row>
    <row r="1384" spans="1:7">
      <c r="A1384" s="3">
        <v>14</v>
      </c>
      <c r="B1384" s="3">
        <v>4</v>
      </c>
      <c r="C1384" s="3">
        <v>45</v>
      </c>
      <c r="D1384" s="3">
        <v>23</v>
      </c>
      <c r="E1384" s="3">
        <v>-642.045</v>
      </c>
      <c r="F1384" s="4" t="str">
        <f>HYPERLINK("http://141.218.60.56/~jnz1568/getInfo.php?workbook=14_04.xlsx&amp;sheet=A0&amp;row=1384&amp;col=6&amp;number=2.015&amp;sourceID=14","2.015")</f>
        <v>2.015</v>
      </c>
      <c r="G1384" s="4" t="str">
        <f>HYPERLINK("http://141.218.60.56/~jnz1568/getInfo.php?workbook=14_04.xlsx&amp;sheet=A0&amp;row=1384&amp;col=7&amp;number=0&amp;sourceID=14","0")</f>
        <v>0</v>
      </c>
    </row>
    <row r="1385" spans="1:7">
      <c r="A1385" s="3">
        <v>14</v>
      </c>
      <c r="B1385" s="3">
        <v>4</v>
      </c>
      <c r="C1385" s="3">
        <v>46</v>
      </c>
      <c r="D1385" s="3">
        <v>23</v>
      </c>
      <c r="E1385" s="3">
        <v>-620.301</v>
      </c>
      <c r="F1385" s="4" t="str">
        <f>HYPERLINK("http://141.218.60.56/~jnz1568/getInfo.php?workbook=14_04.xlsx&amp;sheet=A0&amp;row=1385&amp;col=6&amp;number=0.6036&amp;sourceID=14","0.6036")</f>
        <v>0.6036</v>
      </c>
      <c r="G1385" s="4" t="str">
        <f>HYPERLINK("http://141.218.60.56/~jnz1568/getInfo.php?workbook=14_04.xlsx&amp;sheet=A0&amp;row=1385&amp;col=7&amp;number=0&amp;sourceID=14","0")</f>
        <v>0</v>
      </c>
    </row>
    <row r="1386" spans="1:7">
      <c r="A1386" s="3">
        <v>14</v>
      </c>
      <c r="B1386" s="3">
        <v>4</v>
      </c>
      <c r="C1386" s="3">
        <v>47</v>
      </c>
      <c r="D1386" s="3">
        <v>23</v>
      </c>
      <c r="E1386" s="3">
        <v>-193.18</v>
      </c>
      <c r="F1386" s="4" t="str">
        <f>HYPERLINK("http://141.218.60.56/~jnz1568/getInfo.php?workbook=14_04.xlsx&amp;sheet=A0&amp;row=1386&amp;col=6&amp;number=95950000&amp;sourceID=14","95950000")</f>
        <v>95950000</v>
      </c>
      <c r="G1386" s="4" t="str">
        <f>HYPERLINK("http://141.218.60.56/~jnz1568/getInfo.php?workbook=14_04.xlsx&amp;sheet=A0&amp;row=1386&amp;col=7&amp;number=0&amp;sourceID=14","0")</f>
        <v>0</v>
      </c>
    </row>
    <row r="1387" spans="1:7">
      <c r="A1387" s="3">
        <v>14</v>
      </c>
      <c r="B1387" s="3">
        <v>4</v>
      </c>
      <c r="C1387" s="3">
        <v>49</v>
      </c>
      <c r="D1387" s="3">
        <v>23</v>
      </c>
      <c r="E1387" s="3">
        <v>-182.469</v>
      </c>
      <c r="F1387" s="4" t="str">
        <f>HYPERLINK("http://141.218.60.56/~jnz1568/getInfo.php?workbook=14_04.xlsx&amp;sheet=A0&amp;row=1387&amp;col=6&amp;number=2151&amp;sourceID=14","2151")</f>
        <v>2151</v>
      </c>
      <c r="G1387" s="4" t="str">
        <f>HYPERLINK("http://141.218.60.56/~jnz1568/getInfo.php?workbook=14_04.xlsx&amp;sheet=A0&amp;row=1387&amp;col=7&amp;number=0&amp;sourceID=14","0")</f>
        <v>0</v>
      </c>
    </row>
    <row r="1388" spans="1:7">
      <c r="A1388" s="3">
        <v>14</v>
      </c>
      <c r="B1388" s="3">
        <v>4</v>
      </c>
      <c r="C1388" s="3">
        <v>50</v>
      </c>
      <c r="D1388" s="3">
        <v>23</v>
      </c>
      <c r="E1388" s="3">
        <v>-182.39</v>
      </c>
      <c r="F1388" s="4" t="str">
        <f>HYPERLINK("http://141.218.60.56/~jnz1568/getInfo.php?workbook=14_04.xlsx&amp;sheet=A0&amp;row=1388&amp;col=6&amp;number=1597&amp;sourceID=14","1597")</f>
        <v>1597</v>
      </c>
      <c r="G1388" s="4" t="str">
        <f>HYPERLINK("http://141.218.60.56/~jnz1568/getInfo.php?workbook=14_04.xlsx&amp;sheet=A0&amp;row=1388&amp;col=7&amp;number=0&amp;sourceID=14","0")</f>
        <v>0</v>
      </c>
    </row>
    <row r="1389" spans="1:7">
      <c r="A1389" s="3">
        <v>14</v>
      </c>
      <c r="B1389" s="3">
        <v>4</v>
      </c>
      <c r="C1389" s="3">
        <v>51</v>
      </c>
      <c r="D1389" s="3">
        <v>23</v>
      </c>
      <c r="E1389" s="3">
        <v>-182.186</v>
      </c>
      <c r="F1389" s="4" t="str">
        <f>HYPERLINK("http://141.218.60.56/~jnz1568/getInfo.php?workbook=14_04.xlsx&amp;sheet=A0&amp;row=1389&amp;col=6&amp;number=756.9&amp;sourceID=14","756.9")</f>
        <v>756.9</v>
      </c>
      <c r="G1389" s="4" t="str">
        <f>HYPERLINK("http://141.218.60.56/~jnz1568/getInfo.php?workbook=14_04.xlsx&amp;sheet=A0&amp;row=1389&amp;col=7&amp;number=0&amp;sourceID=14","0")</f>
        <v>0</v>
      </c>
    </row>
    <row r="1390" spans="1:7">
      <c r="A1390" s="3">
        <v>14</v>
      </c>
      <c r="B1390" s="3">
        <v>4</v>
      </c>
      <c r="C1390" s="3">
        <v>52</v>
      </c>
      <c r="D1390" s="3">
        <v>23</v>
      </c>
      <c r="E1390" s="3">
        <v>-181.247</v>
      </c>
      <c r="F1390" s="4" t="str">
        <f>HYPERLINK("http://141.218.60.56/~jnz1568/getInfo.php?workbook=14_04.xlsx&amp;sheet=A0&amp;row=1390&amp;col=6&amp;number=18.52&amp;sourceID=14","18.52")</f>
        <v>18.52</v>
      </c>
      <c r="G1390" s="4" t="str">
        <f>HYPERLINK("http://141.218.60.56/~jnz1568/getInfo.php?workbook=14_04.xlsx&amp;sheet=A0&amp;row=1390&amp;col=7&amp;number=0&amp;sourceID=14","0")</f>
        <v>0</v>
      </c>
    </row>
    <row r="1391" spans="1:7">
      <c r="A1391" s="3">
        <v>14</v>
      </c>
      <c r="B1391" s="3">
        <v>4</v>
      </c>
      <c r="C1391" s="3">
        <v>53</v>
      </c>
      <c r="D1391" s="3">
        <v>23</v>
      </c>
      <c r="E1391" s="3">
        <v>-176.742</v>
      </c>
      <c r="F1391" s="4" t="str">
        <f>HYPERLINK("http://141.218.60.56/~jnz1568/getInfo.php?workbook=14_04.xlsx&amp;sheet=A0&amp;row=1391&amp;col=6&amp;number=554500&amp;sourceID=14","554500")</f>
        <v>554500</v>
      </c>
      <c r="G1391" s="4" t="str">
        <f>HYPERLINK("http://141.218.60.56/~jnz1568/getInfo.php?workbook=14_04.xlsx&amp;sheet=A0&amp;row=1391&amp;col=7&amp;number=0&amp;sourceID=14","0")</f>
        <v>0</v>
      </c>
    </row>
    <row r="1392" spans="1:7">
      <c r="A1392" s="3">
        <v>14</v>
      </c>
      <c r="B1392" s="3">
        <v>4</v>
      </c>
      <c r="C1392" s="3">
        <v>54</v>
      </c>
      <c r="D1392" s="3">
        <v>23</v>
      </c>
      <c r="E1392" s="3">
        <v>-176.708</v>
      </c>
      <c r="F1392" s="4" t="str">
        <f>HYPERLINK("http://141.218.60.56/~jnz1568/getInfo.php?workbook=14_04.xlsx&amp;sheet=A0&amp;row=1392&amp;col=6&amp;number=5152000&amp;sourceID=14","5152000")</f>
        <v>5152000</v>
      </c>
      <c r="G1392" s="4" t="str">
        <f>HYPERLINK("http://141.218.60.56/~jnz1568/getInfo.php?workbook=14_04.xlsx&amp;sheet=A0&amp;row=1392&amp;col=7&amp;number=0&amp;sourceID=14","0")</f>
        <v>0</v>
      </c>
    </row>
    <row r="1393" spans="1:7">
      <c r="A1393" s="3">
        <v>14</v>
      </c>
      <c r="B1393" s="3">
        <v>4</v>
      </c>
      <c r="C1393" s="3">
        <v>55</v>
      </c>
      <c r="D1393" s="3">
        <v>23</v>
      </c>
      <c r="E1393" s="3">
        <v>-176.657</v>
      </c>
      <c r="F1393" s="4" t="str">
        <f>HYPERLINK("http://141.218.60.56/~jnz1568/getInfo.php?workbook=14_04.xlsx&amp;sheet=A0&amp;row=1393&amp;col=6&amp;number=21560000&amp;sourceID=14","21560000")</f>
        <v>21560000</v>
      </c>
      <c r="G1393" s="4" t="str">
        <f>HYPERLINK("http://141.218.60.56/~jnz1568/getInfo.php?workbook=14_04.xlsx&amp;sheet=A0&amp;row=1393&amp;col=7&amp;number=0&amp;sourceID=14","0")</f>
        <v>0</v>
      </c>
    </row>
    <row r="1394" spans="1:7">
      <c r="A1394" s="3">
        <v>14</v>
      </c>
      <c r="B1394" s="3">
        <v>4</v>
      </c>
      <c r="C1394" s="3">
        <v>56</v>
      </c>
      <c r="D1394" s="3">
        <v>23</v>
      </c>
      <c r="E1394" s="3">
        <v>-173.442</v>
      </c>
      <c r="F1394" s="4" t="str">
        <f>HYPERLINK("http://141.218.60.56/~jnz1568/getInfo.php?workbook=14_04.xlsx&amp;sheet=A0&amp;row=1394&amp;col=6&amp;number=11150&amp;sourceID=14","11150")</f>
        <v>11150</v>
      </c>
      <c r="G1394" s="4" t="str">
        <f>HYPERLINK("http://141.218.60.56/~jnz1568/getInfo.php?workbook=14_04.xlsx&amp;sheet=A0&amp;row=1394&amp;col=7&amp;number=0&amp;sourceID=14","0")</f>
        <v>0</v>
      </c>
    </row>
    <row r="1395" spans="1:7">
      <c r="A1395" s="3">
        <v>14</v>
      </c>
      <c r="B1395" s="3">
        <v>4</v>
      </c>
      <c r="C1395" s="3">
        <v>57</v>
      </c>
      <c r="D1395" s="3">
        <v>23</v>
      </c>
      <c r="E1395" s="3">
        <v>-139.412</v>
      </c>
      <c r="F1395" s="4" t="str">
        <f>HYPERLINK("http://141.218.60.56/~jnz1568/getInfo.php?workbook=14_04.xlsx&amp;sheet=A0&amp;row=1395&amp;col=6&amp;number=95780&amp;sourceID=14","95780")</f>
        <v>95780</v>
      </c>
      <c r="G1395" s="4" t="str">
        <f>HYPERLINK("http://141.218.60.56/~jnz1568/getInfo.php?workbook=14_04.xlsx&amp;sheet=A0&amp;row=1395&amp;col=7&amp;number=0&amp;sourceID=14","0")</f>
        <v>0</v>
      </c>
    </row>
    <row r="1396" spans="1:7">
      <c r="A1396" s="3">
        <v>14</v>
      </c>
      <c r="B1396" s="3">
        <v>4</v>
      </c>
      <c r="C1396" s="3">
        <v>58</v>
      </c>
      <c r="D1396" s="3">
        <v>23</v>
      </c>
      <c r="E1396" s="3">
        <v>-139.131</v>
      </c>
      <c r="F1396" s="4" t="str">
        <f>HYPERLINK("http://141.218.60.56/~jnz1568/getInfo.php?workbook=14_04.xlsx&amp;sheet=A0&amp;row=1396&amp;col=6&amp;number=66390&amp;sourceID=14","66390")</f>
        <v>66390</v>
      </c>
      <c r="G1396" s="4" t="str">
        <f>HYPERLINK("http://141.218.60.56/~jnz1568/getInfo.php?workbook=14_04.xlsx&amp;sheet=A0&amp;row=1396&amp;col=7&amp;number=0&amp;sourceID=14","0")</f>
        <v>0</v>
      </c>
    </row>
    <row r="1397" spans="1:7">
      <c r="A1397" s="3">
        <v>14</v>
      </c>
      <c r="B1397" s="3">
        <v>4</v>
      </c>
      <c r="C1397" s="3">
        <v>59</v>
      </c>
      <c r="D1397" s="3">
        <v>23</v>
      </c>
      <c r="E1397" s="3">
        <v>-137.859</v>
      </c>
      <c r="F1397" s="4" t="str">
        <f>HYPERLINK("http://141.218.60.56/~jnz1568/getInfo.php?workbook=14_04.xlsx&amp;sheet=A0&amp;row=1397&amp;col=6&amp;number=39340&amp;sourceID=14","39340")</f>
        <v>39340</v>
      </c>
      <c r="G1397" s="4" t="str">
        <f>HYPERLINK("http://141.218.60.56/~jnz1568/getInfo.php?workbook=14_04.xlsx&amp;sheet=A0&amp;row=1397&amp;col=7&amp;number=0&amp;sourceID=14","0")</f>
        <v>0</v>
      </c>
    </row>
    <row r="1398" spans="1:7">
      <c r="A1398" s="3">
        <v>14</v>
      </c>
      <c r="B1398" s="3">
        <v>4</v>
      </c>
      <c r="C1398" s="3">
        <v>60</v>
      </c>
      <c r="D1398" s="3">
        <v>23</v>
      </c>
      <c r="E1398" s="3">
        <v>-136.684</v>
      </c>
      <c r="F1398" s="4" t="str">
        <f>HYPERLINK("http://141.218.60.56/~jnz1568/getInfo.php?workbook=14_04.xlsx&amp;sheet=A0&amp;row=1398&amp;col=6&amp;number=10090&amp;sourceID=14","10090")</f>
        <v>10090</v>
      </c>
      <c r="G1398" s="4" t="str">
        <f>HYPERLINK("http://141.218.60.56/~jnz1568/getInfo.php?workbook=14_04.xlsx&amp;sheet=A0&amp;row=1398&amp;col=7&amp;number=0&amp;sourceID=14","0")</f>
        <v>0</v>
      </c>
    </row>
    <row r="1399" spans="1:7">
      <c r="A1399" s="3">
        <v>14</v>
      </c>
      <c r="B1399" s="3">
        <v>4</v>
      </c>
      <c r="C1399" s="3">
        <v>61</v>
      </c>
      <c r="D1399" s="3">
        <v>23</v>
      </c>
      <c r="E1399" s="3">
        <v>-134.49</v>
      </c>
      <c r="F1399" s="4" t="str">
        <f>HYPERLINK("http://141.218.60.56/~jnz1568/getInfo.php?workbook=14_04.xlsx&amp;sheet=A0&amp;row=1399&amp;col=6&amp;number=540600000&amp;sourceID=14","540600000")</f>
        <v>540600000</v>
      </c>
      <c r="G1399" s="4" t="str">
        <f>HYPERLINK("http://141.218.60.56/~jnz1568/getInfo.php?workbook=14_04.xlsx&amp;sheet=A0&amp;row=1399&amp;col=7&amp;number=0&amp;sourceID=14","0")</f>
        <v>0</v>
      </c>
    </row>
    <row r="1400" spans="1:7">
      <c r="A1400" s="3">
        <v>14</v>
      </c>
      <c r="B1400" s="3">
        <v>4</v>
      </c>
      <c r="C1400" s="3">
        <v>62</v>
      </c>
      <c r="D1400" s="3">
        <v>23</v>
      </c>
      <c r="E1400" s="3">
        <v>-135.287</v>
      </c>
      <c r="F1400" s="4" t="str">
        <f>HYPERLINK("http://141.218.60.56/~jnz1568/getInfo.php?workbook=14_04.xlsx&amp;sheet=A0&amp;row=1400&amp;col=6&amp;number=74450000&amp;sourceID=14","74450000")</f>
        <v>74450000</v>
      </c>
      <c r="G1400" s="4" t="str">
        <f>HYPERLINK("http://141.218.60.56/~jnz1568/getInfo.php?workbook=14_04.xlsx&amp;sheet=A0&amp;row=1400&amp;col=7&amp;number=0&amp;sourceID=14","0")</f>
        <v>0</v>
      </c>
    </row>
    <row r="1401" spans="1:7">
      <c r="A1401" s="3">
        <v>14</v>
      </c>
      <c r="B1401" s="3">
        <v>4</v>
      </c>
      <c r="C1401" s="3">
        <v>63</v>
      </c>
      <c r="D1401" s="3">
        <v>23</v>
      </c>
      <c r="E1401" s="3">
        <v>-134.444</v>
      </c>
      <c r="F1401" s="4" t="str">
        <f>HYPERLINK("http://141.218.60.56/~jnz1568/getInfo.php?workbook=14_04.xlsx&amp;sheet=A0&amp;row=1401&amp;col=6&amp;number=4082000000&amp;sourceID=14","4082000000")</f>
        <v>4082000000</v>
      </c>
      <c r="G1401" s="4" t="str">
        <f>HYPERLINK("http://141.218.60.56/~jnz1568/getInfo.php?workbook=14_04.xlsx&amp;sheet=A0&amp;row=1401&amp;col=7&amp;number=0&amp;sourceID=14","0")</f>
        <v>0</v>
      </c>
    </row>
    <row r="1402" spans="1:7">
      <c r="A1402" s="3">
        <v>14</v>
      </c>
      <c r="B1402" s="3">
        <v>4</v>
      </c>
      <c r="C1402" s="3">
        <v>64</v>
      </c>
      <c r="D1402" s="3">
        <v>23</v>
      </c>
      <c r="E1402" s="3">
        <v>-133.47</v>
      </c>
      <c r="F1402" s="4" t="str">
        <f>HYPERLINK("http://141.218.60.56/~jnz1568/getInfo.php?workbook=14_04.xlsx&amp;sheet=A0&amp;row=1402&amp;col=6&amp;number=39800000000&amp;sourceID=14","39800000000")</f>
        <v>39800000000</v>
      </c>
      <c r="G1402" s="4" t="str">
        <f>HYPERLINK("http://141.218.60.56/~jnz1568/getInfo.php?workbook=14_04.xlsx&amp;sheet=A0&amp;row=1402&amp;col=7&amp;number=0&amp;sourceID=14","0")</f>
        <v>0</v>
      </c>
    </row>
    <row r="1403" spans="1:7">
      <c r="A1403" s="3">
        <v>14</v>
      </c>
      <c r="B1403" s="3">
        <v>4</v>
      </c>
      <c r="C1403" s="3">
        <v>65</v>
      </c>
      <c r="D1403" s="3">
        <v>23</v>
      </c>
      <c r="E1403" s="3">
        <v>-133.155</v>
      </c>
      <c r="F1403" s="4" t="str">
        <f>HYPERLINK("http://141.218.60.56/~jnz1568/getInfo.php?workbook=14_04.xlsx&amp;sheet=A0&amp;row=1403&amp;col=6&amp;number=813300000&amp;sourceID=14","813300000")</f>
        <v>813300000</v>
      </c>
      <c r="G1403" s="4" t="str">
        <f>HYPERLINK("http://141.218.60.56/~jnz1568/getInfo.php?workbook=14_04.xlsx&amp;sheet=A0&amp;row=1403&amp;col=7&amp;number=0&amp;sourceID=14","0")</f>
        <v>0</v>
      </c>
    </row>
    <row r="1404" spans="1:7">
      <c r="A1404" s="3">
        <v>14</v>
      </c>
      <c r="B1404" s="3">
        <v>4</v>
      </c>
      <c r="C1404" s="3">
        <v>67</v>
      </c>
      <c r="D1404" s="3">
        <v>23</v>
      </c>
      <c r="E1404" s="3">
        <v>-132.384</v>
      </c>
      <c r="F1404" s="4" t="str">
        <f>HYPERLINK("http://141.218.60.56/~jnz1568/getInfo.php?workbook=14_04.xlsx&amp;sheet=A0&amp;row=1404&amp;col=6&amp;number=34600000000&amp;sourceID=14","34600000000")</f>
        <v>34600000000</v>
      </c>
      <c r="G1404" s="4" t="str">
        <f>HYPERLINK("http://141.218.60.56/~jnz1568/getInfo.php?workbook=14_04.xlsx&amp;sheet=A0&amp;row=1404&amp;col=7&amp;number=0&amp;sourceID=14","0")</f>
        <v>0</v>
      </c>
    </row>
    <row r="1405" spans="1:7">
      <c r="A1405" s="3">
        <v>14</v>
      </c>
      <c r="B1405" s="3">
        <v>4</v>
      </c>
      <c r="C1405" s="3">
        <v>68</v>
      </c>
      <c r="D1405" s="3">
        <v>23</v>
      </c>
      <c r="E1405" s="3">
        <v>-132.246</v>
      </c>
      <c r="F1405" s="4" t="str">
        <f>HYPERLINK("http://141.218.60.56/~jnz1568/getInfo.php?workbook=14_04.xlsx&amp;sheet=A0&amp;row=1405&amp;col=6&amp;number=33710000000&amp;sourceID=14","33710000000")</f>
        <v>33710000000</v>
      </c>
      <c r="G1405" s="4" t="str">
        <f>HYPERLINK("http://141.218.60.56/~jnz1568/getInfo.php?workbook=14_04.xlsx&amp;sheet=A0&amp;row=1405&amp;col=7&amp;number=0&amp;sourceID=14","0")</f>
        <v>0</v>
      </c>
    </row>
    <row r="1406" spans="1:7">
      <c r="A1406" s="3">
        <v>14</v>
      </c>
      <c r="B1406" s="3">
        <v>4</v>
      </c>
      <c r="C1406" s="3">
        <v>69</v>
      </c>
      <c r="D1406" s="3">
        <v>23</v>
      </c>
      <c r="E1406" s="3">
        <v>-132.104</v>
      </c>
      <c r="F1406" s="4" t="str">
        <f>HYPERLINK("http://141.218.60.56/~jnz1568/getInfo.php?workbook=14_04.xlsx&amp;sheet=A0&amp;row=1406&amp;col=6&amp;number=114600&amp;sourceID=14","114600")</f>
        <v>114600</v>
      </c>
      <c r="G1406" s="4" t="str">
        <f>HYPERLINK("http://141.218.60.56/~jnz1568/getInfo.php?workbook=14_04.xlsx&amp;sheet=A0&amp;row=1406&amp;col=7&amp;number=0&amp;sourceID=14","0")</f>
        <v>0</v>
      </c>
    </row>
    <row r="1407" spans="1:7">
      <c r="A1407" s="3">
        <v>14</v>
      </c>
      <c r="B1407" s="3">
        <v>4</v>
      </c>
      <c r="C1407" s="3">
        <v>70</v>
      </c>
      <c r="D1407" s="3">
        <v>23</v>
      </c>
      <c r="E1407" s="3">
        <v>-131.507</v>
      </c>
      <c r="F1407" s="4" t="str">
        <f>HYPERLINK("http://141.218.60.56/~jnz1568/getInfo.php?workbook=14_04.xlsx&amp;sheet=A0&amp;row=1407&amp;col=6&amp;number=992900&amp;sourceID=14","992900")</f>
        <v>992900</v>
      </c>
      <c r="G1407" s="4" t="str">
        <f>HYPERLINK("http://141.218.60.56/~jnz1568/getInfo.php?workbook=14_04.xlsx&amp;sheet=A0&amp;row=1407&amp;col=7&amp;number=0&amp;sourceID=14","0")</f>
        <v>0</v>
      </c>
    </row>
    <row r="1408" spans="1:7">
      <c r="A1408" s="3">
        <v>14</v>
      </c>
      <c r="B1408" s="3">
        <v>4</v>
      </c>
      <c r="C1408" s="3">
        <v>71</v>
      </c>
      <c r="D1408" s="3">
        <v>23</v>
      </c>
      <c r="E1408" s="3">
        <v>-131.264</v>
      </c>
      <c r="F1408" s="4" t="str">
        <f>HYPERLINK("http://141.218.60.56/~jnz1568/getInfo.php?workbook=14_04.xlsx&amp;sheet=A0&amp;row=1408&amp;col=6&amp;number=1580&amp;sourceID=14","1580")</f>
        <v>1580</v>
      </c>
      <c r="G1408" s="4" t="str">
        <f>HYPERLINK("http://141.218.60.56/~jnz1568/getInfo.php?workbook=14_04.xlsx&amp;sheet=A0&amp;row=1408&amp;col=7&amp;number=0&amp;sourceID=14","0")</f>
        <v>0</v>
      </c>
    </row>
    <row r="1409" spans="1:7">
      <c r="A1409" s="3">
        <v>14</v>
      </c>
      <c r="B1409" s="3">
        <v>4</v>
      </c>
      <c r="C1409" s="3">
        <v>72</v>
      </c>
      <c r="D1409" s="3">
        <v>23</v>
      </c>
      <c r="E1409" s="3">
        <v>-130.89</v>
      </c>
      <c r="F1409" s="4" t="str">
        <f>HYPERLINK("http://141.218.60.56/~jnz1568/getInfo.php?workbook=14_04.xlsx&amp;sheet=A0&amp;row=1409&amp;col=6&amp;number=718200000&amp;sourceID=14","718200000")</f>
        <v>718200000</v>
      </c>
      <c r="G1409" s="4" t="str">
        <f>HYPERLINK("http://141.218.60.56/~jnz1568/getInfo.php?workbook=14_04.xlsx&amp;sheet=A0&amp;row=1409&amp;col=7&amp;number=0&amp;sourceID=14","0")</f>
        <v>0</v>
      </c>
    </row>
    <row r="1410" spans="1:7">
      <c r="A1410" s="3">
        <v>14</v>
      </c>
      <c r="B1410" s="3">
        <v>4</v>
      </c>
      <c r="C1410" s="3">
        <v>73</v>
      </c>
      <c r="D1410" s="3">
        <v>23</v>
      </c>
      <c r="E1410" s="3">
        <v>-130.664</v>
      </c>
      <c r="F1410" s="4" t="str">
        <f>HYPERLINK("http://141.218.60.56/~jnz1568/getInfo.php?workbook=14_04.xlsx&amp;sheet=A0&amp;row=1410&amp;col=6&amp;number=9204000&amp;sourceID=14","9204000")</f>
        <v>9204000</v>
      </c>
      <c r="G1410" s="4" t="str">
        <f>HYPERLINK("http://141.218.60.56/~jnz1568/getInfo.php?workbook=14_04.xlsx&amp;sheet=A0&amp;row=1410&amp;col=7&amp;number=0&amp;sourceID=14","0")</f>
        <v>0</v>
      </c>
    </row>
    <row r="1411" spans="1:7">
      <c r="A1411" s="3">
        <v>14</v>
      </c>
      <c r="B1411" s="3">
        <v>4</v>
      </c>
      <c r="C1411" s="3">
        <v>74</v>
      </c>
      <c r="D1411" s="3">
        <v>23</v>
      </c>
      <c r="E1411" s="3">
        <v>-130.407</v>
      </c>
      <c r="F1411" s="4" t="str">
        <f>HYPERLINK("http://141.218.60.56/~jnz1568/getInfo.php?workbook=14_04.xlsx&amp;sheet=A0&amp;row=1411&amp;col=6&amp;number=299400&amp;sourceID=14","299400")</f>
        <v>299400</v>
      </c>
      <c r="G1411" s="4" t="str">
        <f>HYPERLINK("http://141.218.60.56/~jnz1568/getInfo.php?workbook=14_04.xlsx&amp;sheet=A0&amp;row=1411&amp;col=7&amp;number=0&amp;sourceID=14","0")</f>
        <v>0</v>
      </c>
    </row>
    <row r="1412" spans="1:7">
      <c r="A1412" s="3">
        <v>14</v>
      </c>
      <c r="B1412" s="3">
        <v>4</v>
      </c>
      <c r="C1412" s="3">
        <v>75</v>
      </c>
      <c r="D1412" s="3">
        <v>23</v>
      </c>
      <c r="E1412" s="3">
        <v>-130.082</v>
      </c>
      <c r="F1412" s="4" t="str">
        <f>HYPERLINK("http://141.218.60.56/~jnz1568/getInfo.php?workbook=14_04.xlsx&amp;sheet=A0&amp;row=1412&amp;col=6&amp;number=1370000&amp;sourceID=14","1370000")</f>
        <v>1370000</v>
      </c>
      <c r="G1412" s="4" t="str">
        <f>HYPERLINK("http://141.218.60.56/~jnz1568/getInfo.php?workbook=14_04.xlsx&amp;sheet=A0&amp;row=1412&amp;col=7&amp;number=0&amp;sourceID=14","0")</f>
        <v>0</v>
      </c>
    </row>
    <row r="1413" spans="1:7">
      <c r="A1413" s="3">
        <v>14</v>
      </c>
      <c r="B1413" s="3">
        <v>4</v>
      </c>
      <c r="C1413" s="3">
        <v>76</v>
      </c>
      <c r="D1413" s="3">
        <v>23</v>
      </c>
      <c r="E1413" s="3">
        <v>-129.627</v>
      </c>
      <c r="F1413" s="4" t="str">
        <f>HYPERLINK("http://141.218.60.56/~jnz1568/getInfo.php?workbook=14_04.xlsx&amp;sheet=A0&amp;row=1413&amp;col=6&amp;number=8785000&amp;sourceID=14","8785000")</f>
        <v>8785000</v>
      </c>
      <c r="G1413" s="4" t="str">
        <f>HYPERLINK("http://141.218.60.56/~jnz1568/getInfo.php?workbook=14_04.xlsx&amp;sheet=A0&amp;row=1413&amp;col=7&amp;number=0&amp;sourceID=14","0")</f>
        <v>0</v>
      </c>
    </row>
    <row r="1414" spans="1:7">
      <c r="A1414" s="3">
        <v>14</v>
      </c>
      <c r="B1414" s="3">
        <v>4</v>
      </c>
      <c r="C1414" s="3">
        <v>77</v>
      </c>
      <c r="D1414" s="3">
        <v>23</v>
      </c>
      <c r="E1414" s="3">
        <v>-129.218</v>
      </c>
      <c r="F1414" s="4" t="str">
        <f>HYPERLINK("http://141.218.60.56/~jnz1568/getInfo.php?workbook=14_04.xlsx&amp;sheet=A0&amp;row=1414&amp;col=6&amp;number=8040000&amp;sourceID=14","8040000")</f>
        <v>8040000</v>
      </c>
      <c r="G1414" s="4" t="str">
        <f>HYPERLINK("http://141.218.60.56/~jnz1568/getInfo.php?workbook=14_04.xlsx&amp;sheet=A0&amp;row=1414&amp;col=7&amp;number=0&amp;sourceID=14","0")</f>
        <v>0</v>
      </c>
    </row>
    <row r="1415" spans="1:7">
      <c r="A1415" s="3">
        <v>14</v>
      </c>
      <c r="B1415" s="3">
        <v>4</v>
      </c>
      <c r="C1415" s="3">
        <v>78</v>
      </c>
      <c r="D1415" s="3">
        <v>23</v>
      </c>
      <c r="E1415" s="3">
        <v>-129.089</v>
      </c>
      <c r="F1415" s="4" t="str">
        <f>HYPERLINK("http://141.218.60.56/~jnz1568/getInfo.php?workbook=14_04.xlsx&amp;sheet=A0&amp;row=1415&amp;col=6&amp;number=8700000&amp;sourceID=14","8700000")</f>
        <v>8700000</v>
      </c>
      <c r="G1415" s="4" t="str">
        <f>HYPERLINK("http://141.218.60.56/~jnz1568/getInfo.php?workbook=14_04.xlsx&amp;sheet=A0&amp;row=1415&amp;col=7&amp;number=0&amp;sourceID=14","0")</f>
        <v>0</v>
      </c>
    </row>
    <row r="1416" spans="1:7">
      <c r="A1416" s="3">
        <v>14</v>
      </c>
      <c r="B1416" s="3">
        <v>4</v>
      </c>
      <c r="C1416" s="3">
        <v>79</v>
      </c>
      <c r="D1416" s="3">
        <v>23</v>
      </c>
      <c r="E1416" s="3">
        <v>-129.016</v>
      </c>
      <c r="F1416" s="4" t="str">
        <f>HYPERLINK("http://141.218.60.56/~jnz1568/getInfo.php?workbook=14_04.xlsx&amp;sheet=A0&amp;row=1416&amp;col=6&amp;number=8641000&amp;sourceID=14","8641000")</f>
        <v>8641000</v>
      </c>
      <c r="G1416" s="4" t="str">
        <f>HYPERLINK("http://141.218.60.56/~jnz1568/getInfo.php?workbook=14_04.xlsx&amp;sheet=A0&amp;row=1416&amp;col=7&amp;number=0&amp;sourceID=14","0")</f>
        <v>0</v>
      </c>
    </row>
    <row r="1417" spans="1:7">
      <c r="A1417" s="3">
        <v>14</v>
      </c>
      <c r="B1417" s="3">
        <v>4</v>
      </c>
      <c r="C1417" s="3">
        <v>81</v>
      </c>
      <c r="D1417" s="3">
        <v>23</v>
      </c>
      <c r="E1417" s="3">
        <v>-127.354</v>
      </c>
      <c r="F1417" s="4" t="str">
        <f>HYPERLINK("http://141.218.60.56/~jnz1568/getInfo.php?workbook=14_04.xlsx&amp;sheet=A0&amp;row=1417&amp;col=6&amp;number=25210&amp;sourceID=14","25210")</f>
        <v>25210</v>
      </c>
      <c r="G1417" s="4" t="str">
        <f>HYPERLINK("http://141.218.60.56/~jnz1568/getInfo.php?workbook=14_04.xlsx&amp;sheet=A0&amp;row=1417&amp;col=7&amp;number=0&amp;sourceID=14","0")</f>
        <v>0</v>
      </c>
    </row>
    <row r="1418" spans="1:7">
      <c r="A1418" s="3">
        <v>14</v>
      </c>
      <c r="B1418" s="3">
        <v>4</v>
      </c>
      <c r="C1418" s="3">
        <v>82</v>
      </c>
      <c r="D1418" s="3">
        <v>23</v>
      </c>
      <c r="E1418" s="3">
        <v>-127.074</v>
      </c>
      <c r="F1418" s="4" t="str">
        <f>HYPERLINK("http://141.218.60.56/~jnz1568/getInfo.php?workbook=14_04.xlsx&amp;sheet=A0&amp;row=1418&amp;col=6&amp;number=3046&amp;sourceID=14","3046")</f>
        <v>3046</v>
      </c>
      <c r="G1418" s="4" t="str">
        <f>HYPERLINK("http://141.218.60.56/~jnz1568/getInfo.php?workbook=14_04.xlsx&amp;sheet=A0&amp;row=1418&amp;col=7&amp;number=0&amp;sourceID=14","0")</f>
        <v>0</v>
      </c>
    </row>
    <row r="1419" spans="1:7">
      <c r="A1419" s="3">
        <v>14</v>
      </c>
      <c r="B1419" s="3">
        <v>4</v>
      </c>
      <c r="C1419" s="3">
        <v>83</v>
      </c>
      <c r="D1419" s="3">
        <v>23</v>
      </c>
      <c r="E1419" s="3">
        <v>-117.944</v>
      </c>
      <c r="F1419" s="4" t="str">
        <f>HYPERLINK("http://141.218.60.56/~jnz1568/getInfo.php?workbook=14_04.xlsx&amp;sheet=A0&amp;row=1419&amp;col=6&amp;number=40720000&amp;sourceID=14","40720000")</f>
        <v>40720000</v>
      </c>
      <c r="G1419" s="4" t="str">
        <f>HYPERLINK("http://141.218.60.56/~jnz1568/getInfo.php?workbook=14_04.xlsx&amp;sheet=A0&amp;row=1419&amp;col=7&amp;number=0&amp;sourceID=14","0")</f>
        <v>0</v>
      </c>
    </row>
    <row r="1420" spans="1:7">
      <c r="A1420" s="3">
        <v>14</v>
      </c>
      <c r="B1420" s="3">
        <v>4</v>
      </c>
      <c r="C1420" s="3">
        <v>85</v>
      </c>
      <c r="D1420" s="3">
        <v>23</v>
      </c>
      <c r="E1420" s="3">
        <v>-115.958</v>
      </c>
      <c r="F1420" s="4" t="str">
        <f>HYPERLINK("http://141.218.60.56/~jnz1568/getInfo.php?workbook=14_04.xlsx&amp;sheet=A0&amp;row=1420&amp;col=6&amp;number=15300&amp;sourceID=14","15300")</f>
        <v>15300</v>
      </c>
      <c r="G1420" s="4" t="str">
        <f>HYPERLINK("http://141.218.60.56/~jnz1568/getInfo.php?workbook=14_04.xlsx&amp;sheet=A0&amp;row=1420&amp;col=7&amp;number=0&amp;sourceID=14","0")</f>
        <v>0</v>
      </c>
    </row>
    <row r="1421" spans="1:7">
      <c r="A1421" s="3">
        <v>14</v>
      </c>
      <c r="B1421" s="3">
        <v>4</v>
      </c>
      <c r="C1421" s="3">
        <v>86</v>
      </c>
      <c r="D1421" s="3">
        <v>23</v>
      </c>
      <c r="E1421" s="3">
        <v>-115.941</v>
      </c>
      <c r="F1421" s="4" t="str">
        <f>HYPERLINK("http://141.218.60.56/~jnz1568/getInfo.php?workbook=14_04.xlsx&amp;sheet=A0&amp;row=1421&amp;col=6&amp;number=11420&amp;sourceID=14","11420")</f>
        <v>11420</v>
      </c>
      <c r="G1421" s="4" t="str">
        <f>HYPERLINK("http://141.218.60.56/~jnz1568/getInfo.php?workbook=14_04.xlsx&amp;sheet=A0&amp;row=1421&amp;col=7&amp;number=0&amp;sourceID=14","0")</f>
        <v>0</v>
      </c>
    </row>
    <row r="1422" spans="1:7">
      <c r="A1422" s="3">
        <v>14</v>
      </c>
      <c r="B1422" s="3">
        <v>4</v>
      </c>
      <c r="C1422" s="3">
        <v>87</v>
      </c>
      <c r="D1422" s="3">
        <v>23</v>
      </c>
      <c r="E1422" s="3">
        <v>-115.903</v>
      </c>
      <c r="F1422" s="4" t="str">
        <f>HYPERLINK("http://141.218.60.56/~jnz1568/getInfo.php?workbook=14_04.xlsx&amp;sheet=A0&amp;row=1422&amp;col=6&amp;number=5353&amp;sourceID=14","5353")</f>
        <v>5353</v>
      </c>
      <c r="G1422" s="4" t="str">
        <f>HYPERLINK("http://141.218.60.56/~jnz1568/getInfo.php?workbook=14_04.xlsx&amp;sheet=A0&amp;row=1422&amp;col=7&amp;number=0&amp;sourceID=14","0")</f>
        <v>0</v>
      </c>
    </row>
    <row r="1423" spans="1:7">
      <c r="A1423" s="3">
        <v>14</v>
      </c>
      <c r="B1423" s="3">
        <v>4</v>
      </c>
      <c r="C1423" s="3">
        <v>88</v>
      </c>
      <c r="D1423" s="3">
        <v>23</v>
      </c>
      <c r="E1423" s="3">
        <v>-115.559</v>
      </c>
      <c r="F1423" s="4" t="str">
        <f>HYPERLINK("http://141.218.60.56/~jnz1568/getInfo.php?workbook=14_04.xlsx&amp;sheet=A0&amp;row=1423&amp;col=6&amp;number=55.3&amp;sourceID=14","55.3")</f>
        <v>55.3</v>
      </c>
      <c r="G1423" s="4" t="str">
        <f>HYPERLINK("http://141.218.60.56/~jnz1568/getInfo.php?workbook=14_04.xlsx&amp;sheet=A0&amp;row=1423&amp;col=7&amp;number=0&amp;sourceID=14","0")</f>
        <v>0</v>
      </c>
    </row>
    <row r="1424" spans="1:7">
      <c r="A1424" s="3">
        <v>14</v>
      </c>
      <c r="B1424" s="3">
        <v>4</v>
      </c>
      <c r="C1424" s="3">
        <v>89</v>
      </c>
      <c r="D1424" s="3">
        <v>23</v>
      </c>
      <c r="E1424" s="3">
        <v>-114.815</v>
      </c>
      <c r="F1424" s="4" t="str">
        <f>HYPERLINK("http://141.218.60.56/~jnz1568/getInfo.php?workbook=14_04.xlsx&amp;sheet=A0&amp;row=1424&amp;col=6&amp;number=1477000&amp;sourceID=14","1477000")</f>
        <v>1477000</v>
      </c>
      <c r="G1424" s="4" t="str">
        <f>HYPERLINK("http://141.218.60.56/~jnz1568/getInfo.php?workbook=14_04.xlsx&amp;sheet=A0&amp;row=1424&amp;col=7&amp;number=0&amp;sourceID=14","0")</f>
        <v>0</v>
      </c>
    </row>
    <row r="1425" spans="1:7">
      <c r="A1425" s="3">
        <v>14</v>
      </c>
      <c r="B1425" s="3">
        <v>4</v>
      </c>
      <c r="C1425" s="3">
        <v>90</v>
      </c>
      <c r="D1425" s="3">
        <v>23</v>
      </c>
      <c r="E1425" s="3">
        <v>-114.809</v>
      </c>
      <c r="F1425" s="4" t="str">
        <f>HYPERLINK("http://141.218.60.56/~jnz1568/getInfo.php?workbook=14_04.xlsx&amp;sheet=A0&amp;row=1425&amp;col=6&amp;number=13340000&amp;sourceID=14","13340000")</f>
        <v>13340000</v>
      </c>
      <c r="G1425" s="4" t="str">
        <f>HYPERLINK("http://141.218.60.56/~jnz1568/getInfo.php?workbook=14_04.xlsx&amp;sheet=A0&amp;row=1425&amp;col=7&amp;number=0&amp;sourceID=14","0")</f>
        <v>0</v>
      </c>
    </row>
    <row r="1426" spans="1:7">
      <c r="A1426" s="3">
        <v>14</v>
      </c>
      <c r="B1426" s="3">
        <v>4</v>
      </c>
      <c r="C1426" s="3">
        <v>91</v>
      </c>
      <c r="D1426" s="3">
        <v>23</v>
      </c>
      <c r="E1426" s="3">
        <v>-114.798</v>
      </c>
      <c r="F1426" s="4" t="str">
        <f>HYPERLINK("http://141.218.60.56/~jnz1568/getInfo.php?workbook=14_04.xlsx&amp;sheet=A0&amp;row=1426&amp;col=6&amp;number=53480000&amp;sourceID=14","53480000")</f>
        <v>53480000</v>
      </c>
      <c r="G1426" s="4" t="str">
        <f>HYPERLINK("http://141.218.60.56/~jnz1568/getInfo.php?workbook=14_04.xlsx&amp;sheet=A0&amp;row=1426&amp;col=7&amp;number=0&amp;sourceID=14","0")</f>
        <v>0</v>
      </c>
    </row>
    <row r="1427" spans="1:7">
      <c r="A1427" s="3">
        <v>14</v>
      </c>
      <c r="B1427" s="3">
        <v>4</v>
      </c>
      <c r="C1427" s="3">
        <v>92</v>
      </c>
      <c r="D1427" s="3">
        <v>23</v>
      </c>
      <c r="E1427" s="3">
        <v>-114.161</v>
      </c>
      <c r="F1427" s="4" t="str">
        <f>HYPERLINK("http://141.218.60.56/~jnz1568/getInfo.php?workbook=14_04.xlsx&amp;sheet=A0&amp;row=1427&amp;col=6&amp;number=752.9&amp;sourceID=14","752.9")</f>
        <v>752.9</v>
      </c>
      <c r="G1427" s="4" t="str">
        <f>HYPERLINK("http://141.218.60.56/~jnz1568/getInfo.php?workbook=14_04.xlsx&amp;sheet=A0&amp;row=1427&amp;col=7&amp;number=0&amp;sourceID=14","0")</f>
        <v>0</v>
      </c>
    </row>
    <row r="1428" spans="1:7">
      <c r="A1428" s="3">
        <v>14</v>
      </c>
      <c r="B1428" s="3">
        <v>4</v>
      </c>
      <c r="C1428" s="3">
        <v>25</v>
      </c>
      <c r="D1428" s="3">
        <v>24</v>
      </c>
      <c r="E1428" s="3">
        <v>-10404.521</v>
      </c>
      <c r="F1428" s="4" t="str">
        <f>HYPERLINK("http://141.218.60.56/~jnz1568/getInfo.php?workbook=14_04.xlsx&amp;sheet=A0&amp;row=1428&amp;col=6&amp;number=402900&amp;sourceID=14","402900")</f>
        <v>402900</v>
      </c>
      <c r="G1428" s="4" t="str">
        <f>HYPERLINK("http://141.218.60.56/~jnz1568/getInfo.php?workbook=14_04.xlsx&amp;sheet=A0&amp;row=1428&amp;col=7&amp;number=0&amp;sourceID=14","0")</f>
        <v>0</v>
      </c>
    </row>
    <row r="1429" spans="1:7">
      <c r="A1429" s="3">
        <v>14</v>
      </c>
      <c r="B1429" s="3">
        <v>4</v>
      </c>
      <c r="C1429" s="3">
        <v>26</v>
      </c>
      <c r="D1429" s="3">
        <v>24</v>
      </c>
      <c r="E1429" s="3">
        <v>-5445.714</v>
      </c>
      <c r="F1429" s="4" t="str">
        <f>HYPERLINK("http://141.218.60.56/~jnz1568/getInfo.php?workbook=14_04.xlsx&amp;sheet=A0&amp;row=1429&amp;col=6&amp;number=642100&amp;sourceID=14","642100")</f>
        <v>642100</v>
      </c>
      <c r="G1429" s="4" t="str">
        <f>HYPERLINK("http://141.218.60.56/~jnz1568/getInfo.php?workbook=14_04.xlsx&amp;sheet=A0&amp;row=1429&amp;col=7&amp;number=0&amp;sourceID=14","0")</f>
        <v>0</v>
      </c>
    </row>
    <row r="1430" spans="1:7">
      <c r="A1430" s="3">
        <v>14</v>
      </c>
      <c r="B1430" s="3">
        <v>4</v>
      </c>
      <c r="C1430" s="3">
        <v>27</v>
      </c>
      <c r="D1430" s="3">
        <v>24</v>
      </c>
      <c r="E1430" s="3">
        <v>-4908.038</v>
      </c>
      <c r="F1430" s="4" t="str">
        <f>HYPERLINK("http://141.218.60.56/~jnz1568/getInfo.php?workbook=14_04.xlsx&amp;sheet=A0&amp;row=1430&amp;col=6&amp;number=7765&amp;sourceID=14","7765")</f>
        <v>7765</v>
      </c>
      <c r="G1430" s="4" t="str">
        <f>HYPERLINK("http://141.218.60.56/~jnz1568/getInfo.php?workbook=14_04.xlsx&amp;sheet=A0&amp;row=1430&amp;col=7&amp;number=0&amp;sourceID=14","0")</f>
        <v>0</v>
      </c>
    </row>
    <row r="1431" spans="1:7">
      <c r="A1431" s="3">
        <v>14</v>
      </c>
      <c r="B1431" s="3">
        <v>4</v>
      </c>
      <c r="C1431" s="3">
        <v>29</v>
      </c>
      <c r="D1431" s="3">
        <v>24</v>
      </c>
      <c r="E1431" s="3">
        <v>-2610.624</v>
      </c>
      <c r="F1431" s="4" t="str">
        <f>HYPERLINK("http://141.218.60.56/~jnz1568/getInfo.php?workbook=14_04.xlsx&amp;sheet=A0&amp;row=1431&amp;col=6&amp;number=1173000&amp;sourceID=14","1173000")</f>
        <v>1173000</v>
      </c>
      <c r="G1431" s="4" t="str">
        <f>HYPERLINK("http://141.218.60.56/~jnz1568/getInfo.php?workbook=14_04.xlsx&amp;sheet=A0&amp;row=1431&amp;col=7&amp;number=0&amp;sourceID=14","0")</f>
        <v>0</v>
      </c>
    </row>
    <row r="1432" spans="1:7">
      <c r="A1432" s="3">
        <v>14</v>
      </c>
      <c r="B1432" s="3">
        <v>4</v>
      </c>
      <c r="C1432" s="3">
        <v>30</v>
      </c>
      <c r="D1432" s="3">
        <v>24</v>
      </c>
      <c r="E1432" s="3">
        <v>-2179.078</v>
      </c>
      <c r="F1432" s="4" t="str">
        <f>HYPERLINK("http://141.218.60.56/~jnz1568/getInfo.php?workbook=14_04.xlsx&amp;sheet=A0&amp;row=1432&amp;col=6&amp;number=14860&amp;sourceID=14","14860")</f>
        <v>14860</v>
      </c>
      <c r="G1432" s="4" t="str">
        <f>HYPERLINK("http://141.218.60.56/~jnz1568/getInfo.php?workbook=14_04.xlsx&amp;sheet=A0&amp;row=1432&amp;col=7&amp;number=0&amp;sourceID=14","0")</f>
        <v>0</v>
      </c>
    </row>
    <row r="1433" spans="1:7">
      <c r="A1433" s="3">
        <v>14</v>
      </c>
      <c r="B1433" s="3">
        <v>4</v>
      </c>
      <c r="C1433" s="3">
        <v>31</v>
      </c>
      <c r="D1433" s="3">
        <v>24</v>
      </c>
      <c r="E1433" s="3">
        <v>-2059.032</v>
      </c>
      <c r="F1433" s="4" t="str">
        <f>HYPERLINK("http://141.218.60.56/~jnz1568/getInfo.php?workbook=14_04.xlsx&amp;sheet=A0&amp;row=1433&amp;col=6&amp;number=377300&amp;sourceID=14","377300")</f>
        <v>377300</v>
      </c>
      <c r="G1433" s="4" t="str">
        <f>HYPERLINK("http://141.218.60.56/~jnz1568/getInfo.php?workbook=14_04.xlsx&amp;sheet=A0&amp;row=1433&amp;col=7&amp;number=0&amp;sourceID=14","0")</f>
        <v>0</v>
      </c>
    </row>
    <row r="1434" spans="1:7">
      <c r="A1434" s="3">
        <v>14</v>
      </c>
      <c r="B1434" s="3">
        <v>4</v>
      </c>
      <c r="C1434" s="3">
        <v>32</v>
      </c>
      <c r="D1434" s="3">
        <v>24</v>
      </c>
      <c r="E1434" s="3">
        <v>-1949.824</v>
      </c>
      <c r="F1434" s="4" t="str">
        <f>HYPERLINK("http://141.218.60.56/~jnz1568/getInfo.php?workbook=14_04.xlsx&amp;sheet=A0&amp;row=1434&amp;col=6&amp;number=442800&amp;sourceID=14","442800")</f>
        <v>442800</v>
      </c>
      <c r="G1434" s="4" t="str">
        <f>HYPERLINK("http://141.218.60.56/~jnz1568/getInfo.php?workbook=14_04.xlsx&amp;sheet=A0&amp;row=1434&amp;col=7&amp;number=0&amp;sourceID=14","0")</f>
        <v>0</v>
      </c>
    </row>
    <row r="1435" spans="1:7">
      <c r="A1435" s="3">
        <v>14</v>
      </c>
      <c r="B1435" s="3">
        <v>4</v>
      </c>
      <c r="C1435" s="3">
        <v>33</v>
      </c>
      <c r="D1435" s="3">
        <v>24</v>
      </c>
      <c r="E1435" s="3">
        <v>-1793.289</v>
      </c>
      <c r="F1435" s="4" t="str">
        <f>HYPERLINK("http://141.218.60.56/~jnz1568/getInfo.php?workbook=14_04.xlsx&amp;sheet=A0&amp;row=1435&amp;col=6&amp;number=2.023&amp;sourceID=14","2.023")</f>
        <v>2.023</v>
      </c>
      <c r="G1435" s="4" t="str">
        <f>HYPERLINK("http://141.218.60.56/~jnz1568/getInfo.php?workbook=14_04.xlsx&amp;sheet=A0&amp;row=1435&amp;col=7&amp;number=0&amp;sourceID=14","0")</f>
        <v>0</v>
      </c>
    </row>
    <row r="1436" spans="1:7">
      <c r="A1436" s="3">
        <v>14</v>
      </c>
      <c r="B1436" s="3">
        <v>4</v>
      </c>
      <c r="C1436" s="3">
        <v>34</v>
      </c>
      <c r="D1436" s="3">
        <v>24</v>
      </c>
      <c r="E1436" s="3">
        <v>-1670.637</v>
      </c>
      <c r="F1436" s="4" t="str">
        <f>HYPERLINK("http://141.218.60.56/~jnz1568/getInfo.php?workbook=14_04.xlsx&amp;sheet=A0&amp;row=1436&amp;col=6&amp;number=0.028&amp;sourceID=14","0.028")</f>
        <v>0.028</v>
      </c>
      <c r="G1436" s="4" t="str">
        <f>HYPERLINK("http://141.218.60.56/~jnz1568/getInfo.php?workbook=14_04.xlsx&amp;sheet=A0&amp;row=1436&amp;col=7&amp;number=0&amp;sourceID=14","0")</f>
        <v>0</v>
      </c>
    </row>
    <row r="1437" spans="1:7">
      <c r="A1437" s="3">
        <v>14</v>
      </c>
      <c r="B1437" s="3">
        <v>4</v>
      </c>
      <c r="C1437" s="3">
        <v>35</v>
      </c>
      <c r="D1437" s="3">
        <v>24</v>
      </c>
      <c r="E1437" s="3">
        <v>-1602.027</v>
      </c>
      <c r="F1437" s="4" t="str">
        <f>HYPERLINK("http://141.218.60.56/~jnz1568/getInfo.php?workbook=14_04.xlsx&amp;sheet=A0&amp;row=1437&amp;col=6&amp;number=19.87&amp;sourceID=14","19.87")</f>
        <v>19.87</v>
      </c>
      <c r="G1437" s="4" t="str">
        <f>HYPERLINK("http://141.218.60.56/~jnz1568/getInfo.php?workbook=14_04.xlsx&amp;sheet=A0&amp;row=1437&amp;col=7&amp;number=0&amp;sourceID=14","0")</f>
        <v>0</v>
      </c>
    </row>
    <row r="1438" spans="1:7">
      <c r="A1438" s="3">
        <v>14</v>
      </c>
      <c r="B1438" s="3">
        <v>4</v>
      </c>
      <c r="C1438" s="3">
        <v>37</v>
      </c>
      <c r="D1438" s="3">
        <v>24</v>
      </c>
      <c r="E1438" s="3">
        <v>-1351.999</v>
      </c>
      <c r="F1438" s="4" t="str">
        <f>HYPERLINK("http://141.218.60.56/~jnz1568/getInfo.php?workbook=14_04.xlsx&amp;sheet=A0&amp;row=1438&amp;col=6&amp;number=402200000&amp;sourceID=14","402200000")</f>
        <v>402200000</v>
      </c>
      <c r="G1438" s="4" t="str">
        <f>HYPERLINK("http://141.218.60.56/~jnz1568/getInfo.php?workbook=14_04.xlsx&amp;sheet=A0&amp;row=1438&amp;col=7&amp;number=0&amp;sourceID=14","0")</f>
        <v>0</v>
      </c>
    </row>
    <row r="1439" spans="1:7">
      <c r="A1439" s="3">
        <v>14</v>
      </c>
      <c r="B1439" s="3">
        <v>4</v>
      </c>
      <c r="C1439" s="3">
        <v>38</v>
      </c>
      <c r="D1439" s="3">
        <v>24</v>
      </c>
      <c r="E1439" s="3">
        <v>-1196.374</v>
      </c>
      <c r="F1439" s="4" t="str">
        <f>HYPERLINK("http://141.218.60.56/~jnz1568/getInfo.php?workbook=14_04.xlsx&amp;sheet=A0&amp;row=1439&amp;col=6&amp;number=0.03377&amp;sourceID=14","0.03377")</f>
        <v>0.03377</v>
      </c>
      <c r="G1439" s="4" t="str">
        <f>HYPERLINK("http://141.218.60.56/~jnz1568/getInfo.php?workbook=14_04.xlsx&amp;sheet=A0&amp;row=1439&amp;col=7&amp;number=0&amp;sourceID=14","0")</f>
        <v>0</v>
      </c>
    </row>
    <row r="1440" spans="1:7">
      <c r="A1440" s="3">
        <v>14</v>
      </c>
      <c r="B1440" s="3">
        <v>4</v>
      </c>
      <c r="C1440" s="3">
        <v>39</v>
      </c>
      <c r="D1440" s="3">
        <v>24</v>
      </c>
      <c r="E1440" s="3">
        <v>-1179.999</v>
      </c>
      <c r="F1440" s="4" t="str">
        <f>HYPERLINK("http://141.218.60.56/~jnz1568/getInfo.php?workbook=14_04.xlsx&amp;sheet=A0&amp;row=1440&amp;col=6&amp;number=1.974&amp;sourceID=14","1.974")</f>
        <v>1.974</v>
      </c>
      <c r="G1440" s="4" t="str">
        <f>HYPERLINK("http://141.218.60.56/~jnz1568/getInfo.php?workbook=14_04.xlsx&amp;sheet=A0&amp;row=1440&amp;col=7&amp;number=0&amp;sourceID=14","0")</f>
        <v>0</v>
      </c>
    </row>
    <row r="1441" spans="1:7">
      <c r="A1441" s="3">
        <v>14</v>
      </c>
      <c r="B1441" s="3">
        <v>4</v>
      </c>
      <c r="C1441" s="3">
        <v>40</v>
      </c>
      <c r="D1441" s="3">
        <v>24</v>
      </c>
      <c r="E1441" s="3">
        <v>-1146.709</v>
      </c>
      <c r="F1441" s="4" t="str">
        <f>HYPERLINK("http://141.218.60.56/~jnz1568/getInfo.php?workbook=14_04.xlsx&amp;sheet=A0&amp;row=1441&amp;col=6&amp;number=0.003388&amp;sourceID=14","0.003388")</f>
        <v>0.003388</v>
      </c>
      <c r="G1441" s="4" t="str">
        <f>HYPERLINK("http://141.218.60.56/~jnz1568/getInfo.php?workbook=14_04.xlsx&amp;sheet=A0&amp;row=1441&amp;col=7&amp;number=0&amp;sourceID=14","0")</f>
        <v>0</v>
      </c>
    </row>
    <row r="1442" spans="1:7">
      <c r="A1442" s="3">
        <v>14</v>
      </c>
      <c r="B1442" s="3">
        <v>4</v>
      </c>
      <c r="C1442" s="3">
        <v>41</v>
      </c>
      <c r="D1442" s="3">
        <v>24</v>
      </c>
      <c r="E1442" s="3">
        <v>-1053.658</v>
      </c>
      <c r="F1442" s="4" t="str">
        <f>HYPERLINK("http://141.218.60.56/~jnz1568/getInfo.php?workbook=14_04.xlsx&amp;sheet=A0&amp;row=1442&amp;col=6&amp;number=2.801&amp;sourceID=14","2.801")</f>
        <v>2.801</v>
      </c>
      <c r="G1442" s="4" t="str">
        <f>HYPERLINK("http://141.218.60.56/~jnz1568/getInfo.php?workbook=14_04.xlsx&amp;sheet=A0&amp;row=1442&amp;col=7&amp;number=0&amp;sourceID=14","0")</f>
        <v>0</v>
      </c>
    </row>
    <row r="1443" spans="1:7">
      <c r="A1443" s="3">
        <v>14</v>
      </c>
      <c r="B1443" s="3">
        <v>4</v>
      </c>
      <c r="C1443" s="3">
        <v>42</v>
      </c>
      <c r="D1443" s="3">
        <v>24</v>
      </c>
      <c r="E1443" s="3">
        <v>-1037.695</v>
      </c>
      <c r="F1443" s="4" t="str">
        <f>HYPERLINK("http://141.218.60.56/~jnz1568/getInfo.php?workbook=14_04.xlsx&amp;sheet=A0&amp;row=1443&amp;col=6&amp;number=0.2829&amp;sourceID=14","0.2829")</f>
        <v>0.2829</v>
      </c>
      <c r="G1443" s="4" t="str">
        <f>HYPERLINK("http://141.218.60.56/~jnz1568/getInfo.php?workbook=14_04.xlsx&amp;sheet=A0&amp;row=1443&amp;col=7&amp;number=0&amp;sourceID=14","0")</f>
        <v>0</v>
      </c>
    </row>
    <row r="1444" spans="1:7">
      <c r="A1444" s="3">
        <v>14</v>
      </c>
      <c r="B1444" s="3">
        <v>4</v>
      </c>
      <c r="C1444" s="3">
        <v>43</v>
      </c>
      <c r="D1444" s="3">
        <v>24</v>
      </c>
      <c r="E1444" s="3">
        <v>-1029.451</v>
      </c>
      <c r="F1444" s="4" t="str">
        <f>HYPERLINK("http://141.218.60.56/~jnz1568/getInfo.php?workbook=14_04.xlsx&amp;sheet=A0&amp;row=1444&amp;col=6&amp;number=0.901&amp;sourceID=14","0.901")</f>
        <v>0.901</v>
      </c>
      <c r="G1444" s="4" t="str">
        <f>HYPERLINK("http://141.218.60.56/~jnz1568/getInfo.php?workbook=14_04.xlsx&amp;sheet=A0&amp;row=1444&amp;col=7&amp;number=0&amp;sourceID=14","0")</f>
        <v>0</v>
      </c>
    </row>
    <row r="1445" spans="1:7">
      <c r="A1445" s="3">
        <v>14</v>
      </c>
      <c r="B1445" s="3">
        <v>4</v>
      </c>
      <c r="C1445" s="3">
        <v>44</v>
      </c>
      <c r="D1445" s="3">
        <v>24</v>
      </c>
      <c r="E1445" s="3">
        <v>-880.372</v>
      </c>
      <c r="F1445" s="4" t="str">
        <f>HYPERLINK("http://141.218.60.56/~jnz1568/getInfo.php?workbook=14_04.xlsx&amp;sheet=A0&amp;row=1445&amp;col=6&amp;number=1984000000&amp;sourceID=14","1984000000")</f>
        <v>1984000000</v>
      </c>
      <c r="G1445" s="4" t="str">
        <f>HYPERLINK("http://141.218.60.56/~jnz1568/getInfo.php?workbook=14_04.xlsx&amp;sheet=A0&amp;row=1445&amp;col=7&amp;number=0&amp;sourceID=14","0")</f>
        <v>0</v>
      </c>
    </row>
    <row r="1446" spans="1:7">
      <c r="A1446" s="3">
        <v>14</v>
      </c>
      <c r="B1446" s="3">
        <v>4</v>
      </c>
      <c r="C1446" s="3">
        <v>45</v>
      </c>
      <c r="D1446" s="3">
        <v>24</v>
      </c>
      <c r="E1446" s="3">
        <v>-798.823</v>
      </c>
      <c r="F1446" s="4" t="str">
        <f>HYPERLINK("http://141.218.60.56/~jnz1568/getInfo.php?workbook=14_04.xlsx&amp;sheet=A0&amp;row=1446&amp;col=6&amp;number=790.3&amp;sourceID=14","790.3")</f>
        <v>790.3</v>
      </c>
      <c r="G1446" s="4" t="str">
        <f>HYPERLINK("http://141.218.60.56/~jnz1568/getInfo.php?workbook=14_04.xlsx&amp;sheet=A0&amp;row=1446&amp;col=7&amp;number=0&amp;sourceID=14","0")</f>
        <v>0</v>
      </c>
    </row>
    <row r="1447" spans="1:7">
      <c r="A1447" s="3">
        <v>14</v>
      </c>
      <c r="B1447" s="3">
        <v>4</v>
      </c>
      <c r="C1447" s="3">
        <v>46</v>
      </c>
      <c r="D1447" s="3">
        <v>24</v>
      </c>
      <c r="E1447" s="3">
        <v>-765.439</v>
      </c>
      <c r="F1447" s="4" t="str">
        <f>HYPERLINK("http://141.218.60.56/~jnz1568/getInfo.php?workbook=14_04.xlsx&amp;sheet=A0&amp;row=1447&amp;col=6&amp;number=1176&amp;sourceID=14","1176")</f>
        <v>1176</v>
      </c>
      <c r="G1447" s="4" t="str">
        <f>HYPERLINK("http://141.218.60.56/~jnz1568/getInfo.php?workbook=14_04.xlsx&amp;sheet=A0&amp;row=1447&amp;col=7&amp;number=0&amp;sourceID=14","0")</f>
        <v>0</v>
      </c>
    </row>
    <row r="1448" spans="1:7">
      <c r="A1448" s="3">
        <v>14</v>
      </c>
      <c r="B1448" s="3">
        <v>4</v>
      </c>
      <c r="C1448" s="3">
        <v>47</v>
      </c>
      <c r="D1448" s="3">
        <v>24</v>
      </c>
      <c r="E1448" s="3">
        <v>-205.303</v>
      </c>
      <c r="F1448" s="4" t="str">
        <f>HYPERLINK("http://141.218.60.56/~jnz1568/getInfo.php?workbook=14_04.xlsx&amp;sheet=A0&amp;row=1448&amp;col=6&amp;number=1188000&amp;sourceID=14","1188000")</f>
        <v>1188000</v>
      </c>
      <c r="G1448" s="4" t="str">
        <f>HYPERLINK("http://141.218.60.56/~jnz1568/getInfo.php?workbook=14_04.xlsx&amp;sheet=A0&amp;row=1448&amp;col=7&amp;number=0&amp;sourceID=14","0")</f>
        <v>0</v>
      </c>
    </row>
    <row r="1449" spans="1:7">
      <c r="A1449" s="3">
        <v>14</v>
      </c>
      <c r="B1449" s="3">
        <v>4</v>
      </c>
      <c r="C1449" s="3">
        <v>48</v>
      </c>
      <c r="D1449" s="3">
        <v>24</v>
      </c>
      <c r="E1449" s="3">
        <v>-200.502</v>
      </c>
      <c r="F1449" s="4" t="str">
        <f>HYPERLINK("http://141.218.60.56/~jnz1568/getInfo.php?workbook=14_04.xlsx&amp;sheet=A0&amp;row=1449&amp;col=6&amp;number=1797000000&amp;sourceID=14","1797000000")</f>
        <v>1797000000</v>
      </c>
      <c r="G1449" s="4" t="str">
        <f>HYPERLINK("http://141.218.60.56/~jnz1568/getInfo.php?workbook=14_04.xlsx&amp;sheet=A0&amp;row=1449&amp;col=7&amp;number=0&amp;sourceID=14","0")</f>
        <v>0</v>
      </c>
    </row>
    <row r="1450" spans="1:7">
      <c r="A1450" s="3">
        <v>14</v>
      </c>
      <c r="B1450" s="3">
        <v>4</v>
      </c>
      <c r="C1450" s="3">
        <v>49</v>
      </c>
      <c r="D1450" s="3">
        <v>24</v>
      </c>
      <c r="E1450" s="3">
        <v>-193.248</v>
      </c>
      <c r="F1450" s="4" t="str">
        <f>HYPERLINK("http://141.218.60.56/~jnz1568/getInfo.php?workbook=14_04.xlsx&amp;sheet=A0&amp;row=1450&amp;col=6&amp;number=1.101&amp;sourceID=14","1.101")</f>
        <v>1.101</v>
      </c>
      <c r="G1450" s="4" t="str">
        <f>HYPERLINK("http://141.218.60.56/~jnz1568/getInfo.php?workbook=14_04.xlsx&amp;sheet=A0&amp;row=1450&amp;col=7&amp;number=0&amp;sourceID=14","0")</f>
        <v>0</v>
      </c>
    </row>
    <row r="1451" spans="1:7">
      <c r="A1451" s="3">
        <v>14</v>
      </c>
      <c r="B1451" s="3">
        <v>4</v>
      </c>
      <c r="C1451" s="3">
        <v>50</v>
      </c>
      <c r="D1451" s="3">
        <v>24</v>
      </c>
      <c r="E1451" s="3">
        <v>-193.159</v>
      </c>
      <c r="F1451" s="4" t="str">
        <f>HYPERLINK("http://141.218.60.56/~jnz1568/getInfo.php?workbook=14_04.xlsx&amp;sheet=A0&amp;row=1451&amp;col=6&amp;number=2947&amp;sourceID=14","2947")</f>
        <v>2947</v>
      </c>
      <c r="G1451" s="4" t="str">
        <f>HYPERLINK("http://141.218.60.56/~jnz1568/getInfo.php?workbook=14_04.xlsx&amp;sheet=A0&amp;row=1451&amp;col=7&amp;number=0&amp;sourceID=14","0")</f>
        <v>0</v>
      </c>
    </row>
    <row r="1452" spans="1:7">
      <c r="A1452" s="3">
        <v>14</v>
      </c>
      <c r="B1452" s="3">
        <v>4</v>
      </c>
      <c r="C1452" s="3">
        <v>51</v>
      </c>
      <c r="D1452" s="3">
        <v>24</v>
      </c>
      <c r="E1452" s="3">
        <v>-192.93</v>
      </c>
      <c r="F1452" s="4" t="str">
        <f>HYPERLINK("http://141.218.60.56/~jnz1568/getInfo.php?workbook=14_04.xlsx&amp;sheet=A0&amp;row=1452&amp;col=6&amp;number=34.59&amp;sourceID=14","34.59")</f>
        <v>34.59</v>
      </c>
      <c r="G1452" s="4" t="str">
        <f>HYPERLINK("http://141.218.60.56/~jnz1568/getInfo.php?workbook=14_04.xlsx&amp;sheet=A0&amp;row=1452&amp;col=7&amp;number=0&amp;sourceID=14","0")</f>
        <v>0</v>
      </c>
    </row>
    <row r="1453" spans="1:7">
      <c r="A1453" s="3">
        <v>14</v>
      </c>
      <c r="B1453" s="3">
        <v>4</v>
      </c>
      <c r="C1453" s="3">
        <v>52</v>
      </c>
      <c r="D1453" s="3">
        <v>24</v>
      </c>
      <c r="E1453" s="3">
        <v>-191.878</v>
      </c>
      <c r="F1453" s="4" t="str">
        <f>HYPERLINK("http://141.218.60.56/~jnz1568/getInfo.php?workbook=14_04.xlsx&amp;sheet=A0&amp;row=1453&amp;col=6&amp;number=189200&amp;sourceID=14","189200")</f>
        <v>189200</v>
      </c>
      <c r="G1453" s="4" t="str">
        <f>HYPERLINK("http://141.218.60.56/~jnz1568/getInfo.php?workbook=14_04.xlsx&amp;sheet=A0&amp;row=1453&amp;col=7&amp;number=0&amp;sourceID=14","0")</f>
        <v>0</v>
      </c>
    </row>
    <row r="1454" spans="1:7">
      <c r="A1454" s="3">
        <v>14</v>
      </c>
      <c r="B1454" s="3">
        <v>4</v>
      </c>
      <c r="C1454" s="3">
        <v>53</v>
      </c>
      <c r="D1454" s="3">
        <v>24</v>
      </c>
      <c r="E1454" s="3">
        <v>-186.836</v>
      </c>
      <c r="F1454" s="4" t="str">
        <f>HYPERLINK("http://141.218.60.56/~jnz1568/getInfo.php?workbook=14_04.xlsx&amp;sheet=A0&amp;row=1454&amp;col=6&amp;number=58850&amp;sourceID=14","58850")</f>
        <v>58850</v>
      </c>
      <c r="G1454" s="4" t="str">
        <f>HYPERLINK("http://141.218.60.56/~jnz1568/getInfo.php?workbook=14_04.xlsx&amp;sheet=A0&amp;row=1454&amp;col=7&amp;number=0&amp;sourceID=14","0")</f>
        <v>0</v>
      </c>
    </row>
    <row r="1455" spans="1:7">
      <c r="A1455" s="3">
        <v>14</v>
      </c>
      <c r="B1455" s="3">
        <v>4</v>
      </c>
      <c r="C1455" s="3">
        <v>54</v>
      </c>
      <c r="D1455" s="3">
        <v>24</v>
      </c>
      <c r="E1455" s="3">
        <v>-186.798</v>
      </c>
      <c r="F1455" s="4" t="str">
        <f>HYPERLINK("http://141.218.60.56/~jnz1568/getInfo.php?workbook=14_04.xlsx&amp;sheet=A0&amp;row=1455&amp;col=6&amp;number=281000&amp;sourceID=14","281000")</f>
        <v>281000</v>
      </c>
      <c r="G1455" s="4" t="str">
        <f>HYPERLINK("http://141.218.60.56/~jnz1568/getInfo.php?workbook=14_04.xlsx&amp;sheet=A0&amp;row=1455&amp;col=7&amp;number=0&amp;sourceID=14","0")</f>
        <v>0</v>
      </c>
    </row>
    <row r="1456" spans="1:7">
      <c r="A1456" s="3">
        <v>14</v>
      </c>
      <c r="B1456" s="3">
        <v>4</v>
      </c>
      <c r="C1456" s="3">
        <v>56</v>
      </c>
      <c r="D1456" s="3">
        <v>24</v>
      </c>
      <c r="E1456" s="3">
        <v>-183.153</v>
      </c>
      <c r="F1456" s="4" t="str">
        <f>HYPERLINK("http://141.218.60.56/~jnz1568/getInfo.php?workbook=14_04.xlsx&amp;sheet=A0&amp;row=1456&amp;col=6&amp;number=7026000000&amp;sourceID=14","7026000000")</f>
        <v>7026000000</v>
      </c>
      <c r="G1456" s="4" t="str">
        <f>HYPERLINK("http://141.218.60.56/~jnz1568/getInfo.php?workbook=14_04.xlsx&amp;sheet=A0&amp;row=1456&amp;col=7&amp;number=0&amp;sourceID=14","0")</f>
        <v>0</v>
      </c>
    </row>
    <row r="1457" spans="1:7">
      <c r="A1457" s="3">
        <v>14</v>
      </c>
      <c r="B1457" s="3">
        <v>4</v>
      </c>
      <c r="C1457" s="3">
        <v>57</v>
      </c>
      <c r="D1457" s="3">
        <v>24</v>
      </c>
      <c r="E1457" s="3">
        <v>-145.618</v>
      </c>
      <c r="F1457" s="4" t="str">
        <f>HYPERLINK("http://141.218.60.56/~jnz1568/getInfo.php?workbook=14_04.xlsx&amp;sheet=A0&amp;row=1457&amp;col=6&amp;number=0.2708&amp;sourceID=14","0.2708")</f>
        <v>0.2708</v>
      </c>
      <c r="G1457" s="4" t="str">
        <f>HYPERLINK("http://141.218.60.56/~jnz1568/getInfo.php?workbook=14_04.xlsx&amp;sheet=A0&amp;row=1457&amp;col=7&amp;number=0&amp;sourceID=14","0")</f>
        <v>0</v>
      </c>
    </row>
    <row r="1458" spans="1:7">
      <c r="A1458" s="3">
        <v>14</v>
      </c>
      <c r="B1458" s="3">
        <v>4</v>
      </c>
      <c r="C1458" s="3">
        <v>58</v>
      </c>
      <c r="D1458" s="3">
        <v>24</v>
      </c>
      <c r="E1458" s="3">
        <v>-145.311</v>
      </c>
      <c r="F1458" s="4" t="str">
        <f>HYPERLINK("http://141.218.60.56/~jnz1568/getInfo.php?workbook=14_04.xlsx&amp;sheet=A0&amp;row=1458&amp;col=6&amp;number=189&amp;sourceID=14","189")</f>
        <v>189</v>
      </c>
      <c r="G1458" s="4" t="str">
        <f>HYPERLINK("http://141.218.60.56/~jnz1568/getInfo.php?workbook=14_04.xlsx&amp;sheet=A0&amp;row=1458&amp;col=7&amp;number=0&amp;sourceID=14","0")</f>
        <v>0</v>
      </c>
    </row>
    <row r="1459" spans="1:7">
      <c r="A1459" s="3">
        <v>14</v>
      </c>
      <c r="B1459" s="3">
        <v>4</v>
      </c>
      <c r="C1459" s="3">
        <v>59</v>
      </c>
      <c r="D1459" s="3">
        <v>24</v>
      </c>
      <c r="E1459" s="3">
        <v>-143.924</v>
      </c>
      <c r="F1459" s="4" t="str">
        <f>HYPERLINK("http://141.218.60.56/~jnz1568/getInfo.php?workbook=14_04.xlsx&amp;sheet=A0&amp;row=1459&amp;col=6&amp;number=28.49&amp;sourceID=14","28.49")</f>
        <v>28.49</v>
      </c>
      <c r="G1459" s="4" t="str">
        <f>HYPERLINK("http://141.218.60.56/~jnz1568/getInfo.php?workbook=14_04.xlsx&amp;sheet=A0&amp;row=1459&amp;col=7&amp;number=0&amp;sourceID=14","0")</f>
        <v>0</v>
      </c>
    </row>
    <row r="1460" spans="1:7">
      <c r="A1460" s="3">
        <v>14</v>
      </c>
      <c r="B1460" s="3">
        <v>4</v>
      </c>
      <c r="C1460" s="3">
        <v>60</v>
      </c>
      <c r="D1460" s="3">
        <v>24</v>
      </c>
      <c r="E1460" s="3">
        <v>-142.644</v>
      </c>
      <c r="F1460" s="4" t="str">
        <f>HYPERLINK("http://141.218.60.56/~jnz1568/getInfo.php?workbook=14_04.xlsx&amp;sheet=A0&amp;row=1460&amp;col=6&amp;number=9004&amp;sourceID=14","9004")</f>
        <v>9004</v>
      </c>
      <c r="G1460" s="4" t="str">
        <f>HYPERLINK("http://141.218.60.56/~jnz1568/getInfo.php?workbook=14_04.xlsx&amp;sheet=A0&amp;row=1460&amp;col=7&amp;number=0&amp;sourceID=14","0")</f>
        <v>0</v>
      </c>
    </row>
    <row r="1461" spans="1:7">
      <c r="A1461" s="3">
        <v>14</v>
      </c>
      <c r="B1461" s="3">
        <v>4</v>
      </c>
      <c r="C1461" s="3">
        <v>61</v>
      </c>
      <c r="D1461" s="3">
        <v>24</v>
      </c>
      <c r="E1461" s="3">
        <v>-140.257</v>
      </c>
      <c r="F1461" s="4" t="str">
        <f>HYPERLINK("http://141.218.60.56/~jnz1568/getInfo.php?workbook=14_04.xlsx&amp;sheet=A0&amp;row=1461&amp;col=6&amp;number=16180000000&amp;sourceID=14","16180000000")</f>
        <v>16180000000</v>
      </c>
      <c r="G1461" s="4" t="str">
        <f>HYPERLINK("http://141.218.60.56/~jnz1568/getInfo.php?workbook=14_04.xlsx&amp;sheet=A0&amp;row=1461&amp;col=7&amp;number=0&amp;sourceID=14","0")</f>
        <v>0</v>
      </c>
    </row>
    <row r="1462" spans="1:7">
      <c r="A1462" s="3">
        <v>14</v>
      </c>
      <c r="B1462" s="3">
        <v>4</v>
      </c>
      <c r="C1462" s="3">
        <v>62</v>
      </c>
      <c r="D1462" s="3">
        <v>24</v>
      </c>
      <c r="E1462" s="3">
        <v>-141.123</v>
      </c>
      <c r="F1462" s="4" t="str">
        <f>HYPERLINK("http://141.218.60.56/~jnz1568/getInfo.php?workbook=14_04.xlsx&amp;sheet=A0&amp;row=1462&amp;col=6&amp;number=16660000000&amp;sourceID=14","16660000000")</f>
        <v>16660000000</v>
      </c>
      <c r="G1462" s="4" t="str">
        <f>HYPERLINK("http://141.218.60.56/~jnz1568/getInfo.php?workbook=14_04.xlsx&amp;sheet=A0&amp;row=1462&amp;col=7&amp;number=0&amp;sourceID=14","0")</f>
        <v>0</v>
      </c>
    </row>
    <row r="1463" spans="1:7">
      <c r="A1463" s="3">
        <v>14</v>
      </c>
      <c r="B1463" s="3">
        <v>4</v>
      </c>
      <c r="C1463" s="3">
        <v>63</v>
      </c>
      <c r="D1463" s="3">
        <v>24</v>
      </c>
      <c r="E1463" s="3">
        <v>-140.206</v>
      </c>
      <c r="F1463" s="4" t="str">
        <f>HYPERLINK("http://141.218.60.56/~jnz1568/getInfo.php?workbook=14_04.xlsx&amp;sheet=A0&amp;row=1463&amp;col=6&amp;number=182900000&amp;sourceID=14","182900000")</f>
        <v>182900000</v>
      </c>
      <c r="G1463" s="4" t="str">
        <f>HYPERLINK("http://141.218.60.56/~jnz1568/getInfo.php?workbook=14_04.xlsx&amp;sheet=A0&amp;row=1463&amp;col=7&amp;number=0&amp;sourceID=14","0")</f>
        <v>0</v>
      </c>
    </row>
    <row r="1464" spans="1:7">
      <c r="A1464" s="3">
        <v>14</v>
      </c>
      <c r="B1464" s="3">
        <v>4</v>
      </c>
      <c r="C1464" s="3">
        <v>65</v>
      </c>
      <c r="D1464" s="3">
        <v>24</v>
      </c>
      <c r="E1464" s="3">
        <v>-138.805</v>
      </c>
      <c r="F1464" s="4" t="str">
        <f>HYPERLINK("http://141.218.60.56/~jnz1568/getInfo.php?workbook=14_04.xlsx&amp;sheet=A0&amp;row=1464&amp;col=6&amp;number=8717000000&amp;sourceID=14","8717000000")</f>
        <v>8717000000</v>
      </c>
      <c r="G1464" s="4" t="str">
        <f>HYPERLINK("http://141.218.60.56/~jnz1568/getInfo.php?workbook=14_04.xlsx&amp;sheet=A0&amp;row=1464&amp;col=7&amp;number=0&amp;sourceID=14","0")</f>
        <v>0</v>
      </c>
    </row>
    <row r="1465" spans="1:7">
      <c r="A1465" s="3">
        <v>14</v>
      </c>
      <c r="B1465" s="3">
        <v>4</v>
      </c>
      <c r="C1465" s="3">
        <v>66</v>
      </c>
      <c r="D1465" s="3">
        <v>24</v>
      </c>
      <c r="E1465" s="3">
        <v>-138.834</v>
      </c>
      <c r="F1465" s="4" t="str">
        <f>HYPERLINK("http://141.218.60.56/~jnz1568/getInfo.php?workbook=14_04.xlsx&amp;sheet=A0&amp;row=1465&amp;col=6&amp;number=21360000&amp;sourceID=14","21360000")</f>
        <v>21360000</v>
      </c>
      <c r="G1465" s="4" t="str">
        <f>HYPERLINK("http://141.218.60.56/~jnz1568/getInfo.php?workbook=14_04.xlsx&amp;sheet=A0&amp;row=1465&amp;col=7&amp;number=0&amp;sourceID=14","0")</f>
        <v>0</v>
      </c>
    </row>
    <row r="1466" spans="1:7">
      <c r="A1466" s="3">
        <v>14</v>
      </c>
      <c r="B1466" s="3">
        <v>4</v>
      </c>
      <c r="C1466" s="3">
        <v>67</v>
      </c>
      <c r="D1466" s="3">
        <v>24</v>
      </c>
      <c r="E1466" s="3">
        <v>-137.967</v>
      </c>
      <c r="F1466" s="4" t="str">
        <f>HYPERLINK("http://141.218.60.56/~jnz1568/getInfo.php?workbook=14_04.xlsx&amp;sheet=A0&amp;row=1466&amp;col=6&amp;number=34600000&amp;sourceID=14","34600000")</f>
        <v>34600000</v>
      </c>
      <c r="G1466" s="4" t="str">
        <f>HYPERLINK("http://141.218.60.56/~jnz1568/getInfo.php?workbook=14_04.xlsx&amp;sheet=A0&amp;row=1466&amp;col=7&amp;number=0&amp;sourceID=14","0")</f>
        <v>0</v>
      </c>
    </row>
    <row r="1467" spans="1:7">
      <c r="A1467" s="3">
        <v>14</v>
      </c>
      <c r="B1467" s="3">
        <v>4</v>
      </c>
      <c r="C1467" s="3">
        <v>68</v>
      </c>
      <c r="D1467" s="3">
        <v>24</v>
      </c>
      <c r="E1467" s="3">
        <v>-137.817</v>
      </c>
      <c r="F1467" s="4" t="str">
        <f>HYPERLINK("http://141.218.60.56/~jnz1568/getInfo.php?workbook=14_04.xlsx&amp;sheet=A0&amp;row=1467&amp;col=6&amp;number=1044000000&amp;sourceID=14","1044000000")</f>
        <v>1044000000</v>
      </c>
      <c r="G1467" s="4" t="str">
        <f>HYPERLINK("http://141.218.60.56/~jnz1568/getInfo.php?workbook=14_04.xlsx&amp;sheet=A0&amp;row=1467&amp;col=7&amp;number=0&amp;sourceID=14","0")</f>
        <v>0</v>
      </c>
    </row>
    <row r="1468" spans="1:7">
      <c r="A1468" s="3">
        <v>14</v>
      </c>
      <c r="B1468" s="3">
        <v>4</v>
      </c>
      <c r="C1468" s="3">
        <v>69</v>
      </c>
      <c r="D1468" s="3">
        <v>24</v>
      </c>
      <c r="E1468" s="3">
        <v>-137.663</v>
      </c>
      <c r="F1468" s="4" t="str">
        <f>HYPERLINK("http://141.218.60.56/~jnz1568/getInfo.php?workbook=14_04.xlsx&amp;sheet=A0&amp;row=1468&amp;col=6&amp;number=1488000&amp;sourceID=14","1488000")</f>
        <v>1488000</v>
      </c>
      <c r="G1468" s="4" t="str">
        <f>HYPERLINK("http://141.218.60.56/~jnz1568/getInfo.php?workbook=14_04.xlsx&amp;sheet=A0&amp;row=1468&amp;col=7&amp;number=0&amp;sourceID=14","0")</f>
        <v>0</v>
      </c>
    </row>
    <row r="1469" spans="1:7">
      <c r="A1469" s="3">
        <v>14</v>
      </c>
      <c r="B1469" s="3">
        <v>4</v>
      </c>
      <c r="C1469" s="3">
        <v>70</v>
      </c>
      <c r="D1469" s="3">
        <v>24</v>
      </c>
      <c r="E1469" s="3">
        <v>-137.015</v>
      </c>
      <c r="F1469" s="4" t="str">
        <f>HYPERLINK("http://141.218.60.56/~jnz1568/getInfo.php?workbook=14_04.xlsx&amp;sheet=A0&amp;row=1469&amp;col=6&amp;number=12800&amp;sourceID=14","12800")</f>
        <v>12800</v>
      </c>
      <c r="G1469" s="4" t="str">
        <f>HYPERLINK("http://141.218.60.56/~jnz1568/getInfo.php?workbook=14_04.xlsx&amp;sheet=A0&amp;row=1469&amp;col=7&amp;number=0&amp;sourceID=14","0")</f>
        <v>0</v>
      </c>
    </row>
    <row r="1470" spans="1:7">
      <c r="A1470" s="3">
        <v>14</v>
      </c>
      <c r="B1470" s="3">
        <v>4</v>
      </c>
      <c r="C1470" s="3">
        <v>71</v>
      </c>
      <c r="D1470" s="3">
        <v>24</v>
      </c>
      <c r="E1470" s="3">
        <v>-136.751</v>
      </c>
      <c r="F1470" s="4" t="str">
        <f>HYPERLINK("http://141.218.60.56/~jnz1568/getInfo.php?workbook=14_04.xlsx&amp;sheet=A0&amp;row=1470&amp;col=6&amp;number=4800000&amp;sourceID=14","4800000")</f>
        <v>4800000</v>
      </c>
      <c r="G1470" s="4" t="str">
        <f>HYPERLINK("http://141.218.60.56/~jnz1568/getInfo.php?workbook=14_04.xlsx&amp;sheet=A0&amp;row=1470&amp;col=7&amp;number=0&amp;sourceID=14","0")</f>
        <v>0</v>
      </c>
    </row>
    <row r="1471" spans="1:7">
      <c r="A1471" s="3">
        <v>14</v>
      </c>
      <c r="B1471" s="3">
        <v>4</v>
      </c>
      <c r="C1471" s="3">
        <v>72</v>
      </c>
      <c r="D1471" s="3">
        <v>24</v>
      </c>
      <c r="E1471" s="3">
        <v>-136.345</v>
      </c>
      <c r="F1471" s="4" t="str">
        <f>HYPERLINK("http://141.218.60.56/~jnz1568/getInfo.php?workbook=14_04.xlsx&amp;sheet=A0&amp;row=1471&amp;col=6&amp;number=34740000000&amp;sourceID=14","34740000000")</f>
        <v>34740000000</v>
      </c>
      <c r="G1471" s="4" t="str">
        <f>HYPERLINK("http://141.218.60.56/~jnz1568/getInfo.php?workbook=14_04.xlsx&amp;sheet=A0&amp;row=1471&amp;col=7&amp;number=0&amp;sourceID=14","0")</f>
        <v>0</v>
      </c>
    </row>
    <row r="1472" spans="1:7">
      <c r="A1472" s="3">
        <v>14</v>
      </c>
      <c r="B1472" s="3">
        <v>4</v>
      </c>
      <c r="C1472" s="3">
        <v>74</v>
      </c>
      <c r="D1472" s="3">
        <v>24</v>
      </c>
      <c r="E1472" s="3">
        <v>-135.821</v>
      </c>
      <c r="F1472" s="4" t="str">
        <f>HYPERLINK("http://141.218.60.56/~jnz1568/getInfo.php?workbook=14_04.xlsx&amp;sheet=A0&amp;row=1472&amp;col=6&amp;number=61250&amp;sourceID=14","61250")</f>
        <v>61250</v>
      </c>
      <c r="G1472" s="4" t="str">
        <f>HYPERLINK("http://141.218.60.56/~jnz1568/getInfo.php?workbook=14_04.xlsx&amp;sheet=A0&amp;row=1472&amp;col=7&amp;number=0&amp;sourceID=14","0")</f>
        <v>0</v>
      </c>
    </row>
    <row r="1473" spans="1:7">
      <c r="A1473" s="3">
        <v>14</v>
      </c>
      <c r="B1473" s="3">
        <v>4</v>
      </c>
      <c r="C1473" s="3">
        <v>75</v>
      </c>
      <c r="D1473" s="3">
        <v>24</v>
      </c>
      <c r="E1473" s="3">
        <v>-135.468</v>
      </c>
      <c r="F1473" s="4" t="str">
        <f>HYPERLINK("http://141.218.60.56/~jnz1568/getInfo.php?workbook=14_04.xlsx&amp;sheet=A0&amp;row=1473&amp;col=6&amp;number=1809000&amp;sourceID=14","1809000")</f>
        <v>1809000</v>
      </c>
      <c r="G1473" s="4" t="str">
        <f>HYPERLINK("http://141.218.60.56/~jnz1568/getInfo.php?workbook=14_04.xlsx&amp;sheet=A0&amp;row=1473&amp;col=7&amp;number=0&amp;sourceID=14","0")</f>
        <v>0</v>
      </c>
    </row>
    <row r="1474" spans="1:7">
      <c r="A1474" s="3">
        <v>14</v>
      </c>
      <c r="B1474" s="3">
        <v>4</v>
      </c>
      <c r="C1474" s="3">
        <v>76</v>
      </c>
      <c r="D1474" s="3">
        <v>24</v>
      </c>
      <c r="E1474" s="3">
        <v>-134.975</v>
      </c>
      <c r="F1474" s="4" t="str">
        <f>HYPERLINK("http://141.218.60.56/~jnz1568/getInfo.php?workbook=14_04.xlsx&amp;sheet=A0&amp;row=1474&amp;col=6&amp;number=29820&amp;sourceID=14","29820")</f>
        <v>29820</v>
      </c>
      <c r="G1474" s="4" t="str">
        <f>HYPERLINK("http://141.218.60.56/~jnz1568/getInfo.php?workbook=14_04.xlsx&amp;sheet=A0&amp;row=1474&amp;col=7&amp;number=0&amp;sourceID=14","0")</f>
        <v>0</v>
      </c>
    </row>
    <row r="1475" spans="1:7">
      <c r="A1475" s="3">
        <v>14</v>
      </c>
      <c r="B1475" s="3">
        <v>4</v>
      </c>
      <c r="C1475" s="3">
        <v>77</v>
      </c>
      <c r="D1475" s="3">
        <v>24</v>
      </c>
      <c r="E1475" s="3">
        <v>-134.531</v>
      </c>
      <c r="F1475" s="4" t="str">
        <f>HYPERLINK("http://141.218.60.56/~jnz1568/getInfo.php?workbook=14_04.xlsx&amp;sheet=A0&amp;row=1475&amp;col=6&amp;number=182900&amp;sourceID=14","182900")</f>
        <v>182900</v>
      </c>
      <c r="G1475" s="4" t="str">
        <f>HYPERLINK("http://141.218.60.56/~jnz1568/getInfo.php?workbook=14_04.xlsx&amp;sheet=A0&amp;row=1475&amp;col=7&amp;number=0&amp;sourceID=14","0")</f>
        <v>0</v>
      </c>
    </row>
    <row r="1476" spans="1:7">
      <c r="A1476" s="3">
        <v>14</v>
      </c>
      <c r="B1476" s="3">
        <v>4</v>
      </c>
      <c r="C1476" s="3">
        <v>78</v>
      </c>
      <c r="D1476" s="3">
        <v>24</v>
      </c>
      <c r="E1476" s="3">
        <v>-134.392</v>
      </c>
      <c r="F1476" s="4" t="str">
        <f>HYPERLINK("http://141.218.60.56/~jnz1568/getInfo.php?workbook=14_04.xlsx&amp;sheet=A0&amp;row=1476&amp;col=6&amp;number=14120&amp;sourceID=14","14120")</f>
        <v>14120</v>
      </c>
      <c r="G1476" s="4" t="str">
        <f>HYPERLINK("http://141.218.60.56/~jnz1568/getInfo.php?workbook=14_04.xlsx&amp;sheet=A0&amp;row=1476&amp;col=7&amp;number=0&amp;sourceID=14","0")</f>
        <v>0</v>
      </c>
    </row>
    <row r="1477" spans="1:7">
      <c r="A1477" s="3">
        <v>14</v>
      </c>
      <c r="B1477" s="3">
        <v>4</v>
      </c>
      <c r="C1477" s="3">
        <v>79</v>
      </c>
      <c r="D1477" s="3">
        <v>24</v>
      </c>
      <c r="E1477" s="3">
        <v>-134.313</v>
      </c>
      <c r="F1477" s="4" t="str">
        <f>HYPERLINK("http://141.218.60.56/~jnz1568/getInfo.php?workbook=14_04.xlsx&amp;sheet=A0&amp;row=1477&amp;col=6&amp;number=0.01648&amp;sourceID=14","0.01648")</f>
        <v>0.01648</v>
      </c>
      <c r="G1477" s="4" t="str">
        <f>HYPERLINK("http://141.218.60.56/~jnz1568/getInfo.php?workbook=14_04.xlsx&amp;sheet=A0&amp;row=1477&amp;col=7&amp;number=0&amp;sourceID=14","0")</f>
        <v>0</v>
      </c>
    </row>
    <row r="1478" spans="1:7">
      <c r="A1478" s="3">
        <v>14</v>
      </c>
      <c r="B1478" s="3">
        <v>4</v>
      </c>
      <c r="C1478" s="3">
        <v>80</v>
      </c>
      <c r="D1478" s="3">
        <v>24</v>
      </c>
      <c r="E1478" s="3">
        <v>-133.881</v>
      </c>
      <c r="F1478" s="4" t="str">
        <f>HYPERLINK("http://141.218.60.56/~jnz1568/getInfo.php?workbook=14_04.xlsx&amp;sheet=A0&amp;row=1478&amp;col=6&amp;number=20720000000&amp;sourceID=14","20720000000")</f>
        <v>20720000000</v>
      </c>
      <c r="G1478" s="4" t="str">
        <f>HYPERLINK("http://141.218.60.56/~jnz1568/getInfo.php?workbook=14_04.xlsx&amp;sheet=A0&amp;row=1478&amp;col=7&amp;number=0&amp;sourceID=14","0")</f>
        <v>0</v>
      </c>
    </row>
    <row r="1479" spans="1:7">
      <c r="A1479" s="3">
        <v>14</v>
      </c>
      <c r="B1479" s="3">
        <v>4</v>
      </c>
      <c r="C1479" s="3">
        <v>81</v>
      </c>
      <c r="D1479" s="3">
        <v>24</v>
      </c>
      <c r="E1479" s="3">
        <v>-132.513</v>
      </c>
      <c r="F1479" s="4" t="str">
        <f>HYPERLINK("http://141.218.60.56/~jnz1568/getInfo.php?workbook=14_04.xlsx&amp;sheet=A0&amp;row=1479&amp;col=6&amp;number=7703000&amp;sourceID=14","7703000")</f>
        <v>7703000</v>
      </c>
      <c r="G1479" s="4" t="str">
        <f>HYPERLINK("http://141.218.60.56/~jnz1568/getInfo.php?workbook=14_04.xlsx&amp;sheet=A0&amp;row=1479&amp;col=7&amp;number=0&amp;sourceID=14","0")</f>
        <v>0</v>
      </c>
    </row>
    <row r="1480" spans="1:7">
      <c r="A1480" s="3">
        <v>14</v>
      </c>
      <c r="B1480" s="3">
        <v>4</v>
      </c>
      <c r="C1480" s="3">
        <v>82</v>
      </c>
      <c r="D1480" s="3">
        <v>24</v>
      </c>
      <c r="E1480" s="3">
        <v>-132.209</v>
      </c>
      <c r="F1480" s="4" t="str">
        <f>HYPERLINK("http://141.218.60.56/~jnz1568/getInfo.php?workbook=14_04.xlsx&amp;sheet=A0&amp;row=1480&amp;col=6&amp;number=7766000&amp;sourceID=14","7766000")</f>
        <v>7766000</v>
      </c>
      <c r="G1480" s="4" t="str">
        <f>HYPERLINK("http://141.218.60.56/~jnz1568/getInfo.php?workbook=14_04.xlsx&amp;sheet=A0&amp;row=1480&amp;col=7&amp;number=0&amp;sourceID=14","0")</f>
        <v>0</v>
      </c>
    </row>
    <row r="1481" spans="1:7">
      <c r="A1481" s="3">
        <v>14</v>
      </c>
      <c r="B1481" s="3">
        <v>4</v>
      </c>
      <c r="C1481" s="3">
        <v>83</v>
      </c>
      <c r="D1481" s="3">
        <v>24</v>
      </c>
      <c r="E1481" s="3">
        <v>-122.355</v>
      </c>
      <c r="F1481" s="4" t="str">
        <f>HYPERLINK("http://141.218.60.56/~jnz1568/getInfo.php?workbook=14_04.xlsx&amp;sheet=A0&amp;row=1481&amp;col=6&amp;number=201100&amp;sourceID=14","201100")</f>
        <v>201100</v>
      </c>
      <c r="G1481" s="4" t="str">
        <f>HYPERLINK("http://141.218.60.56/~jnz1568/getInfo.php?workbook=14_04.xlsx&amp;sheet=A0&amp;row=1481&amp;col=7&amp;number=0&amp;sourceID=14","0")</f>
        <v>0</v>
      </c>
    </row>
    <row r="1482" spans="1:7">
      <c r="A1482" s="3">
        <v>14</v>
      </c>
      <c r="B1482" s="3">
        <v>4</v>
      </c>
      <c r="C1482" s="3">
        <v>84</v>
      </c>
      <c r="D1482" s="3">
        <v>24</v>
      </c>
      <c r="E1482" s="3">
        <v>-121.288</v>
      </c>
      <c r="F1482" s="4" t="str">
        <f>HYPERLINK("http://141.218.60.56/~jnz1568/getInfo.php?workbook=14_04.xlsx&amp;sheet=A0&amp;row=1482&amp;col=6&amp;number=5332000000&amp;sourceID=14","5332000000")</f>
        <v>5332000000</v>
      </c>
      <c r="G1482" s="4" t="str">
        <f>HYPERLINK("http://141.218.60.56/~jnz1568/getInfo.php?workbook=14_04.xlsx&amp;sheet=A0&amp;row=1482&amp;col=7&amp;number=0&amp;sourceID=14","0")</f>
        <v>0</v>
      </c>
    </row>
    <row r="1483" spans="1:7">
      <c r="A1483" s="3">
        <v>14</v>
      </c>
      <c r="B1483" s="3">
        <v>4</v>
      </c>
      <c r="C1483" s="3">
        <v>85</v>
      </c>
      <c r="D1483" s="3">
        <v>24</v>
      </c>
      <c r="E1483" s="3">
        <v>-120.219</v>
      </c>
      <c r="F1483" s="4" t="str">
        <f>HYPERLINK("http://141.218.60.56/~jnz1568/getInfo.php?workbook=14_04.xlsx&amp;sheet=A0&amp;row=1483&amp;col=6&amp;number=0.9565&amp;sourceID=14","0.9565")</f>
        <v>0.9565</v>
      </c>
      <c r="G1483" s="4" t="str">
        <f>HYPERLINK("http://141.218.60.56/~jnz1568/getInfo.php?workbook=14_04.xlsx&amp;sheet=A0&amp;row=1483&amp;col=7&amp;number=0&amp;sourceID=14","0")</f>
        <v>0</v>
      </c>
    </row>
    <row r="1484" spans="1:7">
      <c r="A1484" s="3">
        <v>14</v>
      </c>
      <c r="B1484" s="3">
        <v>4</v>
      </c>
      <c r="C1484" s="3">
        <v>86</v>
      </c>
      <c r="D1484" s="3">
        <v>24</v>
      </c>
      <c r="E1484" s="3">
        <v>-120.201</v>
      </c>
      <c r="F1484" s="4" t="str">
        <f>HYPERLINK("http://141.218.60.56/~jnz1568/getInfo.php?workbook=14_04.xlsx&amp;sheet=A0&amp;row=1484&amp;col=6&amp;number=2824&amp;sourceID=14","2824")</f>
        <v>2824</v>
      </c>
      <c r="G1484" s="4" t="str">
        <f>HYPERLINK("http://141.218.60.56/~jnz1568/getInfo.php?workbook=14_04.xlsx&amp;sheet=A0&amp;row=1484&amp;col=7&amp;number=0&amp;sourceID=14","0")</f>
        <v>0</v>
      </c>
    </row>
    <row r="1485" spans="1:7">
      <c r="A1485" s="3">
        <v>14</v>
      </c>
      <c r="B1485" s="3">
        <v>4</v>
      </c>
      <c r="C1485" s="3">
        <v>87</v>
      </c>
      <c r="D1485" s="3">
        <v>24</v>
      </c>
      <c r="E1485" s="3">
        <v>-120.16</v>
      </c>
      <c r="F1485" s="4" t="str">
        <f>HYPERLINK("http://141.218.60.56/~jnz1568/getInfo.php?workbook=14_04.xlsx&amp;sheet=A0&amp;row=1485&amp;col=6&amp;number=55.97&amp;sourceID=14","55.97")</f>
        <v>55.97</v>
      </c>
      <c r="G1485" s="4" t="str">
        <f>HYPERLINK("http://141.218.60.56/~jnz1568/getInfo.php?workbook=14_04.xlsx&amp;sheet=A0&amp;row=1485&amp;col=7&amp;number=0&amp;sourceID=14","0")</f>
        <v>0</v>
      </c>
    </row>
    <row r="1486" spans="1:7">
      <c r="A1486" s="3">
        <v>14</v>
      </c>
      <c r="B1486" s="3">
        <v>4</v>
      </c>
      <c r="C1486" s="3">
        <v>88</v>
      </c>
      <c r="D1486" s="3">
        <v>24</v>
      </c>
      <c r="E1486" s="3">
        <v>-119.791</v>
      </c>
      <c r="F1486" s="4" t="str">
        <f>HYPERLINK("http://141.218.60.56/~jnz1568/getInfo.php?workbook=14_04.xlsx&amp;sheet=A0&amp;row=1486&amp;col=6&amp;number=683300&amp;sourceID=14","683300")</f>
        <v>683300</v>
      </c>
      <c r="G1486" s="4" t="str">
        <f>HYPERLINK("http://141.218.60.56/~jnz1568/getInfo.php?workbook=14_04.xlsx&amp;sheet=A0&amp;row=1486&amp;col=7&amp;number=0&amp;sourceID=14","0")</f>
        <v>0</v>
      </c>
    </row>
    <row r="1487" spans="1:7">
      <c r="A1487" s="3">
        <v>14</v>
      </c>
      <c r="B1487" s="3">
        <v>4</v>
      </c>
      <c r="C1487" s="3">
        <v>89</v>
      </c>
      <c r="D1487" s="3">
        <v>24</v>
      </c>
      <c r="E1487" s="3">
        <v>-118.992</v>
      </c>
      <c r="F1487" s="4" t="str">
        <f>HYPERLINK("http://141.218.60.56/~jnz1568/getInfo.php?workbook=14_04.xlsx&amp;sheet=A0&amp;row=1487&amp;col=6&amp;number=1661&amp;sourceID=14","1661")</f>
        <v>1661</v>
      </c>
      <c r="G1487" s="4" t="str">
        <f>HYPERLINK("http://141.218.60.56/~jnz1568/getInfo.php?workbook=14_04.xlsx&amp;sheet=A0&amp;row=1487&amp;col=7&amp;number=0&amp;sourceID=14","0")</f>
        <v>0</v>
      </c>
    </row>
    <row r="1488" spans="1:7">
      <c r="A1488" s="3">
        <v>14</v>
      </c>
      <c r="B1488" s="3">
        <v>4</v>
      </c>
      <c r="C1488" s="3">
        <v>90</v>
      </c>
      <c r="D1488" s="3">
        <v>24</v>
      </c>
      <c r="E1488" s="3">
        <v>-118.984</v>
      </c>
      <c r="F1488" s="4" t="str">
        <f>HYPERLINK("http://141.218.60.56/~jnz1568/getInfo.php?workbook=14_04.xlsx&amp;sheet=A0&amp;row=1488&amp;col=6&amp;number=742000&amp;sourceID=14","742000")</f>
        <v>742000</v>
      </c>
      <c r="G1488" s="4" t="str">
        <f>HYPERLINK("http://141.218.60.56/~jnz1568/getInfo.php?workbook=14_04.xlsx&amp;sheet=A0&amp;row=1488&amp;col=7&amp;number=0&amp;sourceID=14","0")</f>
        <v>0</v>
      </c>
    </row>
    <row r="1489" spans="1:7">
      <c r="A1489" s="3">
        <v>14</v>
      </c>
      <c r="B1489" s="3">
        <v>4</v>
      </c>
      <c r="C1489" s="3">
        <v>92</v>
      </c>
      <c r="D1489" s="3">
        <v>24</v>
      </c>
      <c r="E1489" s="3">
        <v>-118.289</v>
      </c>
      <c r="F1489" s="4" t="str">
        <f>HYPERLINK("http://141.218.60.56/~jnz1568/getInfo.php?workbook=14_04.xlsx&amp;sheet=A0&amp;row=1489&amp;col=6&amp;number=4417000000&amp;sourceID=14","4417000000")</f>
        <v>4417000000</v>
      </c>
      <c r="G1489" s="4" t="str">
        <f>HYPERLINK("http://141.218.60.56/~jnz1568/getInfo.php?workbook=14_04.xlsx&amp;sheet=A0&amp;row=1489&amp;col=7&amp;number=0&amp;sourceID=14","0")</f>
        <v>0</v>
      </c>
    </row>
    <row r="1490" spans="1:7">
      <c r="A1490" s="3">
        <v>14</v>
      </c>
      <c r="B1490" s="3">
        <v>4</v>
      </c>
      <c r="C1490" s="3">
        <v>26</v>
      </c>
      <c r="D1490" s="3">
        <v>25</v>
      </c>
      <c r="E1490" s="3">
        <v>-11426.145</v>
      </c>
      <c r="F1490" s="4" t="str">
        <f>HYPERLINK("http://141.218.60.56/~jnz1568/getInfo.php?workbook=14_04.xlsx&amp;sheet=A0&amp;row=1490&amp;col=6&amp;number=1.138&amp;sourceID=14","1.138")</f>
        <v>1.138</v>
      </c>
      <c r="G1490" s="4" t="str">
        <f>HYPERLINK("http://141.218.60.56/~jnz1568/getInfo.php?workbook=14_04.xlsx&amp;sheet=A0&amp;row=1490&amp;col=7&amp;number=0&amp;sourceID=14","0")</f>
        <v>0</v>
      </c>
    </row>
    <row r="1491" spans="1:7">
      <c r="A1491" s="3">
        <v>14</v>
      </c>
      <c r="B1491" s="3">
        <v>4</v>
      </c>
      <c r="C1491" s="3">
        <v>27</v>
      </c>
      <c r="D1491" s="3">
        <v>25</v>
      </c>
      <c r="E1491" s="3">
        <v>-9290.629</v>
      </c>
      <c r="F1491" s="4" t="str">
        <f>HYPERLINK("http://141.218.60.56/~jnz1568/getInfo.php?workbook=14_04.xlsx&amp;sheet=A0&amp;row=1491&amp;col=6&amp;number=4.083&amp;sourceID=14","4.083")</f>
        <v>4.083</v>
      </c>
      <c r="G1491" s="4" t="str">
        <f>HYPERLINK("http://141.218.60.56/~jnz1568/getInfo.php?workbook=14_04.xlsx&amp;sheet=A0&amp;row=1491&amp;col=7&amp;number=0&amp;sourceID=14","0")</f>
        <v>0</v>
      </c>
    </row>
    <row r="1492" spans="1:7">
      <c r="A1492" s="3">
        <v>14</v>
      </c>
      <c r="B1492" s="3">
        <v>4</v>
      </c>
      <c r="C1492" s="3">
        <v>28</v>
      </c>
      <c r="D1492" s="3">
        <v>25</v>
      </c>
      <c r="E1492" s="3">
        <v>-6244.777</v>
      </c>
      <c r="F1492" s="4" t="str">
        <f>HYPERLINK("http://141.218.60.56/~jnz1568/getInfo.php?workbook=14_04.xlsx&amp;sheet=A0&amp;row=1492&amp;col=6&amp;number=2.509e-06&amp;sourceID=14","2.509e-06")</f>
        <v>2.509e-06</v>
      </c>
      <c r="G1492" s="4" t="str">
        <f>HYPERLINK("http://141.218.60.56/~jnz1568/getInfo.php?workbook=14_04.xlsx&amp;sheet=A0&amp;row=1492&amp;col=7&amp;number=0&amp;sourceID=14","0")</f>
        <v>0</v>
      </c>
    </row>
    <row r="1493" spans="1:7">
      <c r="A1493" s="3">
        <v>14</v>
      </c>
      <c r="B1493" s="3">
        <v>4</v>
      </c>
      <c r="C1493" s="3">
        <v>29</v>
      </c>
      <c r="D1493" s="3">
        <v>25</v>
      </c>
      <c r="E1493" s="3">
        <v>-3485.072</v>
      </c>
      <c r="F1493" s="4" t="str">
        <f>HYPERLINK("http://141.218.60.56/~jnz1568/getInfo.php?workbook=14_04.xlsx&amp;sheet=A0&amp;row=1493&amp;col=6&amp;number=9.248&amp;sourceID=14","9.248")</f>
        <v>9.248</v>
      </c>
      <c r="G1493" s="4" t="str">
        <f>HYPERLINK("http://141.218.60.56/~jnz1568/getInfo.php?workbook=14_04.xlsx&amp;sheet=A0&amp;row=1493&amp;col=7&amp;number=0&amp;sourceID=14","0")</f>
        <v>0</v>
      </c>
    </row>
    <row r="1494" spans="1:7">
      <c r="A1494" s="3">
        <v>14</v>
      </c>
      <c r="B1494" s="3">
        <v>4</v>
      </c>
      <c r="C1494" s="3">
        <v>30</v>
      </c>
      <c r="D1494" s="3">
        <v>25</v>
      </c>
      <c r="E1494" s="3">
        <v>-2756.357</v>
      </c>
      <c r="F1494" s="4" t="str">
        <f>HYPERLINK("http://141.218.60.56/~jnz1568/getInfo.php?workbook=14_04.xlsx&amp;sheet=A0&amp;row=1494&amp;col=6&amp;number=1.929&amp;sourceID=14","1.929")</f>
        <v>1.929</v>
      </c>
      <c r="G1494" s="4" t="str">
        <f>HYPERLINK("http://141.218.60.56/~jnz1568/getInfo.php?workbook=14_04.xlsx&amp;sheet=A0&amp;row=1494&amp;col=7&amp;number=0&amp;sourceID=14","0")</f>
        <v>0</v>
      </c>
    </row>
    <row r="1495" spans="1:7">
      <c r="A1495" s="3">
        <v>14</v>
      </c>
      <c r="B1495" s="3">
        <v>4</v>
      </c>
      <c r="C1495" s="3">
        <v>31</v>
      </c>
      <c r="D1495" s="3">
        <v>25</v>
      </c>
      <c r="E1495" s="3">
        <v>-2567.045</v>
      </c>
      <c r="F1495" s="4" t="str">
        <f>HYPERLINK("http://141.218.60.56/~jnz1568/getInfo.php?workbook=14_04.xlsx&amp;sheet=A0&amp;row=1495&amp;col=6&amp;number=0.7329&amp;sourceID=14","0.7329")</f>
        <v>0.7329</v>
      </c>
      <c r="G1495" s="4" t="str">
        <f>HYPERLINK("http://141.218.60.56/~jnz1568/getInfo.php?workbook=14_04.xlsx&amp;sheet=A0&amp;row=1495&amp;col=7&amp;number=0&amp;sourceID=14","0")</f>
        <v>0</v>
      </c>
    </row>
    <row r="1496" spans="1:7">
      <c r="A1496" s="3">
        <v>14</v>
      </c>
      <c r="B1496" s="3">
        <v>4</v>
      </c>
      <c r="C1496" s="3">
        <v>32</v>
      </c>
      <c r="D1496" s="3">
        <v>25</v>
      </c>
      <c r="E1496" s="3">
        <v>-2399.494</v>
      </c>
      <c r="F1496" s="4" t="str">
        <f>HYPERLINK("http://141.218.60.56/~jnz1568/getInfo.php?workbook=14_04.xlsx&amp;sheet=A0&amp;row=1496&amp;col=6&amp;number=3.59&amp;sourceID=14","3.59")</f>
        <v>3.59</v>
      </c>
      <c r="G1496" s="4" t="str">
        <f>HYPERLINK("http://141.218.60.56/~jnz1568/getInfo.php?workbook=14_04.xlsx&amp;sheet=A0&amp;row=1496&amp;col=7&amp;number=0&amp;sourceID=14","0")</f>
        <v>0</v>
      </c>
    </row>
    <row r="1497" spans="1:7">
      <c r="A1497" s="3">
        <v>14</v>
      </c>
      <c r="B1497" s="3">
        <v>4</v>
      </c>
      <c r="C1497" s="3">
        <v>33</v>
      </c>
      <c r="D1497" s="3">
        <v>25</v>
      </c>
      <c r="E1497" s="3">
        <v>-2166.742</v>
      </c>
      <c r="F1497" s="4" t="str">
        <f>HYPERLINK("http://141.218.60.56/~jnz1568/getInfo.php?workbook=14_04.xlsx&amp;sheet=A0&amp;row=1497&amp;col=6&amp;number=29620000&amp;sourceID=14","29620000")</f>
        <v>29620000</v>
      </c>
      <c r="G1497" s="4" t="str">
        <f>HYPERLINK("http://141.218.60.56/~jnz1568/getInfo.php?workbook=14_04.xlsx&amp;sheet=A0&amp;row=1497&amp;col=7&amp;number=0&amp;sourceID=14","0")</f>
        <v>0</v>
      </c>
    </row>
    <row r="1498" spans="1:7">
      <c r="A1498" s="3">
        <v>14</v>
      </c>
      <c r="B1498" s="3">
        <v>4</v>
      </c>
      <c r="C1498" s="3">
        <v>35</v>
      </c>
      <c r="D1498" s="3">
        <v>25</v>
      </c>
      <c r="E1498" s="3">
        <v>-1893.591</v>
      </c>
      <c r="F1498" s="4" t="str">
        <f>HYPERLINK("http://141.218.60.56/~jnz1568/getInfo.php?workbook=14_04.xlsx&amp;sheet=A0&amp;row=1498&amp;col=6&amp;number=30370000&amp;sourceID=14","30370000")</f>
        <v>30370000</v>
      </c>
      <c r="G1498" s="4" t="str">
        <f>HYPERLINK("http://141.218.60.56/~jnz1568/getInfo.php?workbook=14_04.xlsx&amp;sheet=A0&amp;row=1498&amp;col=7&amp;number=0&amp;sourceID=14","0")</f>
        <v>0</v>
      </c>
    </row>
    <row r="1499" spans="1:7">
      <c r="A1499" s="3">
        <v>14</v>
      </c>
      <c r="B1499" s="3">
        <v>4</v>
      </c>
      <c r="C1499" s="3">
        <v>37</v>
      </c>
      <c r="D1499" s="3">
        <v>25</v>
      </c>
      <c r="E1499" s="3">
        <v>-1553.92</v>
      </c>
      <c r="F1499" s="4" t="str">
        <f>HYPERLINK("http://141.218.60.56/~jnz1568/getInfo.php?workbook=14_04.xlsx&amp;sheet=A0&amp;row=1499&amp;col=6&amp;number=25.61&amp;sourceID=14","25.61")</f>
        <v>25.61</v>
      </c>
      <c r="G1499" s="4" t="str">
        <f>HYPERLINK("http://141.218.60.56/~jnz1568/getInfo.php?workbook=14_04.xlsx&amp;sheet=A0&amp;row=1499&amp;col=7&amp;number=0&amp;sourceID=14","0")</f>
        <v>0</v>
      </c>
    </row>
    <row r="1500" spans="1:7">
      <c r="A1500" s="3">
        <v>14</v>
      </c>
      <c r="B1500" s="3">
        <v>4</v>
      </c>
      <c r="C1500" s="3">
        <v>38</v>
      </c>
      <c r="D1500" s="3">
        <v>25</v>
      </c>
      <c r="E1500" s="3">
        <v>-1351.813</v>
      </c>
      <c r="F1500" s="4" t="str">
        <f>HYPERLINK("http://141.218.60.56/~jnz1568/getInfo.php?workbook=14_04.xlsx&amp;sheet=A0&amp;row=1500&amp;col=6&amp;number=15140000&amp;sourceID=14","15140000")</f>
        <v>15140000</v>
      </c>
      <c r="G1500" s="4" t="str">
        <f>HYPERLINK("http://141.218.60.56/~jnz1568/getInfo.php?workbook=14_04.xlsx&amp;sheet=A0&amp;row=1500&amp;col=7&amp;number=0&amp;sourceID=14","0")</f>
        <v>0</v>
      </c>
    </row>
    <row r="1501" spans="1:7">
      <c r="A1501" s="3">
        <v>14</v>
      </c>
      <c r="B1501" s="3">
        <v>4</v>
      </c>
      <c r="C1501" s="3">
        <v>39</v>
      </c>
      <c r="D1501" s="3">
        <v>25</v>
      </c>
      <c r="E1501" s="3">
        <v>-1330.945</v>
      </c>
      <c r="F1501" s="4" t="str">
        <f>HYPERLINK("http://141.218.60.56/~jnz1568/getInfo.php?workbook=14_04.xlsx&amp;sheet=A0&amp;row=1501&amp;col=6&amp;number=852400&amp;sourceID=14","852400")</f>
        <v>852400</v>
      </c>
      <c r="G1501" s="4" t="str">
        <f>HYPERLINK("http://141.218.60.56/~jnz1568/getInfo.php?workbook=14_04.xlsx&amp;sheet=A0&amp;row=1501&amp;col=7&amp;number=0&amp;sourceID=14","0")</f>
        <v>0</v>
      </c>
    </row>
    <row r="1502" spans="1:7">
      <c r="A1502" s="3">
        <v>14</v>
      </c>
      <c r="B1502" s="3">
        <v>4</v>
      </c>
      <c r="C1502" s="3">
        <v>41</v>
      </c>
      <c r="D1502" s="3">
        <v>25</v>
      </c>
      <c r="E1502" s="3">
        <v>-1172.385</v>
      </c>
      <c r="F1502" s="4" t="str">
        <f>HYPERLINK("http://141.218.60.56/~jnz1568/getInfo.php?workbook=14_04.xlsx&amp;sheet=A0&amp;row=1502&amp;col=6&amp;number=177800&amp;sourceID=14","177800")</f>
        <v>177800</v>
      </c>
      <c r="G1502" s="4" t="str">
        <f>HYPERLINK("http://141.218.60.56/~jnz1568/getInfo.php?workbook=14_04.xlsx&amp;sheet=A0&amp;row=1502&amp;col=7&amp;number=0&amp;sourceID=14","0")</f>
        <v>0</v>
      </c>
    </row>
    <row r="1503" spans="1:7">
      <c r="A1503" s="3">
        <v>14</v>
      </c>
      <c r="B1503" s="3">
        <v>4</v>
      </c>
      <c r="C1503" s="3">
        <v>42</v>
      </c>
      <c r="D1503" s="3">
        <v>25</v>
      </c>
      <c r="E1503" s="3">
        <v>-1152.655</v>
      </c>
      <c r="F1503" s="4" t="str">
        <f>HYPERLINK("http://141.218.60.56/~jnz1568/getInfo.php?workbook=14_04.xlsx&amp;sheet=A0&amp;row=1503&amp;col=6&amp;number=8744000&amp;sourceID=14","8744000")</f>
        <v>8744000</v>
      </c>
      <c r="G1503" s="4" t="str">
        <f>HYPERLINK("http://141.218.60.56/~jnz1568/getInfo.php?workbook=14_04.xlsx&amp;sheet=A0&amp;row=1503&amp;col=7&amp;number=0&amp;sourceID=14","0")</f>
        <v>0</v>
      </c>
    </row>
    <row r="1504" spans="1:7">
      <c r="A1504" s="3">
        <v>14</v>
      </c>
      <c r="B1504" s="3">
        <v>4</v>
      </c>
      <c r="C1504" s="3">
        <v>43</v>
      </c>
      <c r="D1504" s="3">
        <v>25</v>
      </c>
      <c r="E1504" s="3">
        <v>-1142.493</v>
      </c>
      <c r="F1504" s="4" t="str">
        <f>HYPERLINK("http://141.218.60.56/~jnz1568/getInfo.php?workbook=14_04.xlsx&amp;sheet=A0&amp;row=1504&amp;col=6&amp;number=4325000&amp;sourceID=14","4325000")</f>
        <v>4325000</v>
      </c>
      <c r="G1504" s="4" t="str">
        <f>HYPERLINK("http://141.218.60.56/~jnz1568/getInfo.php?workbook=14_04.xlsx&amp;sheet=A0&amp;row=1504&amp;col=7&amp;number=0&amp;sourceID=14","0")</f>
        <v>0</v>
      </c>
    </row>
    <row r="1505" spans="1:7">
      <c r="A1505" s="3">
        <v>14</v>
      </c>
      <c r="B1505" s="3">
        <v>4</v>
      </c>
      <c r="C1505" s="3">
        <v>44</v>
      </c>
      <c r="D1505" s="3">
        <v>25</v>
      </c>
      <c r="E1505" s="3">
        <v>-961.75</v>
      </c>
      <c r="F1505" s="4" t="str">
        <f>HYPERLINK("http://141.218.60.56/~jnz1568/getInfo.php?workbook=14_04.xlsx&amp;sheet=A0&amp;row=1505&amp;col=6&amp;number=0.2306&amp;sourceID=14","0.2306")</f>
        <v>0.2306</v>
      </c>
      <c r="G1505" s="4" t="str">
        <f>HYPERLINK("http://141.218.60.56/~jnz1568/getInfo.php?workbook=14_04.xlsx&amp;sheet=A0&amp;row=1505&amp;col=7&amp;number=0&amp;sourceID=14","0")</f>
        <v>0</v>
      </c>
    </row>
    <row r="1506" spans="1:7">
      <c r="A1506" s="3">
        <v>14</v>
      </c>
      <c r="B1506" s="3">
        <v>4</v>
      </c>
      <c r="C1506" s="3">
        <v>46</v>
      </c>
      <c r="D1506" s="3">
        <v>25</v>
      </c>
      <c r="E1506" s="3">
        <v>-826.222</v>
      </c>
      <c r="F1506" s="4" t="str">
        <f>HYPERLINK("http://141.218.60.56/~jnz1568/getInfo.php?workbook=14_04.xlsx&amp;sheet=A0&amp;row=1506&amp;col=6&amp;number=485100000&amp;sourceID=14","485100000")</f>
        <v>485100000</v>
      </c>
      <c r="G1506" s="4" t="str">
        <f>HYPERLINK("http://141.218.60.56/~jnz1568/getInfo.php?workbook=14_04.xlsx&amp;sheet=A0&amp;row=1506&amp;col=7&amp;number=0&amp;sourceID=14","0")</f>
        <v>0</v>
      </c>
    </row>
    <row r="1507" spans="1:7">
      <c r="A1507" s="3">
        <v>14</v>
      </c>
      <c r="B1507" s="3">
        <v>4</v>
      </c>
      <c r="C1507" s="3">
        <v>47</v>
      </c>
      <c r="D1507" s="3">
        <v>25</v>
      </c>
      <c r="E1507" s="3">
        <v>-209.436</v>
      </c>
      <c r="F1507" s="4" t="str">
        <f>HYPERLINK("http://141.218.60.56/~jnz1568/getInfo.php?workbook=14_04.xlsx&amp;sheet=A0&amp;row=1507&amp;col=6&amp;number=12.3&amp;sourceID=14","12.3")</f>
        <v>12.3</v>
      </c>
      <c r="G1507" s="4" t="str">
        <f>HYPERLINK("http://141.218.60.56/~jnz1568/getInfo.php?workbook=14_04.xlsx&amp;sheet=A0&amp;row=1507&amp;col=7&amp;number=0&amp;sourceID=14","0")</f>
        <v>0</v>
      </c>
    </row>
    <row r="1508" spans="1:7">
      <c r="A1508" s="3">
        <v>14</v>
      </c>
      <c r="B1508" s="3">
        <v>4</v>
      </c>
      <c r="C1508" s="3">
        <v>48</v>
      </c>
      <c r="D1508" s="3">
        <v>25</v>
      </c>
      <c r="E1508" s="3">
        <v>-204.442</v>
      </c>
      <c r="F1508" s="4" t="str">
        <f>HYPERLINK("http://141.218.60.56/~jnz1568/getInfo.php?workbook=14_04.xlsx&amp;sheet=A0&amp;row=1508&amp;col=6&amp;number=0.001197&amp;sourceID=14","0.001197")</f>
        <v>0.001197</v>
      </c>
      <c r="G1508" s="4" t="str">
        <f>HYPERLINK("http://141.218.60.56/~jnz1568/getInfo.php?workbook=14_04.xlsx&amp;sheet=A0&amp;row=1508&amp;col=7&amp;number=0&amp;sourceID=14","0")</f>
        <v>0</v>
      </c>
    </row>
    <row r="1509" spans="1:7">
      <c r="A1509" s="3">
        <v>14</v>
      </c>
      <c r="B1509" s="3">
        <v>4</v>
      </c>
      <c r="C1509" s="3">
        <v>49</v>
      </c>
      <c r="D1509" s="3">
        <v>25</v>
      </c>
      <c r="E1509" s="3">
        <v>-196.905</v>
      </c>
      <c r="F1509" s="4" t="str">
        <f>HYPERLINK("http://141.218.60.56/~jnz1568/getInfo.php?workbook=14_04.xlsx&amp;sheet=A0&amp;row=1509&amp;col=6&amp;number=4904000&amp;sourceID=14","4904000")</f>
        <v>4904000</v>
      </c>
      <c r="G1509" s="4" t="str">
        <f>HYPERLINK("http://141.218.60.56/~jnz1568/getInfo.php?workbook=14_04.xlsx&amp;sheet=A0&amp;row=1509&amp;col=7&amp;number=0&amp;sourceID=14","0")</f>
        <v>0</v>
      </c>
    </row>
    <row r="1510" spans="1:7">
      <c r="A1510" s="3">
        <v>14</v>
      </c>
      <c r="B1510" s="3">
        <v>4</v>
      </c>
      <c r="C1510" s="3">
        <v>50</v>
      </c>
      <c r="D1510" s="3">
        <v>25</v>
      </c>
      <c r="E1510" s="3">
        <v>-196.813</v>
      </c>
      <c r="F1510" s="4" t="str">
        <f>HYPERLINK("http://141.218.60.56/~jnz1568/getInfo.php?workbook=14_04.xlsx&amp;sheet=A0&amp;row=1510&amp;col=6&amp;number=4685000&amp;sourceID=14","4685000")</f>
        <v>4685000</v>
      </c>
      <c r="G1510" s="4" t="str">
        <f>HYPERLINK("http://141.218.60.56/~jnz1568/getInfo.php?workbook=14_04.xlsx&amp;sheet=A0&amp;row=1510&amp;col=7&amp;number=0&amp;sourceID=14","0")</f>
        <v>0</v>
      </c>
    </row>
    <row r="1511" spans="1:7">
      <c r="A1511" s="3">
        <v>14</v>
      </c>
      <c r="B1511" s="3">
        <v>4</v>
      </c>
      <c r="C1511" s="3">
        <v>51</v>
      </c>
      <c r="D1511" s="3">
        <v>25</v>
      </c>
      <c r="E1511" s="3">
        <v>-196.575</v>
      </c>
      <c r="F1511" s="4" t="str">
        <f>HYPERLINK("http://141.218.60.56/~jnz1568/getInfo.php?workbook=14_04.xlsx&amp;sheet=A0&amp;row=1511&amp;col=6&amp;number=2529000&amp;sourceID=14","2529000")</f>
        <v>2529000</v>
      </c>
      <c r="G1511" s="4" t="str">
        <f>HYPERLINK("http://141.218.60.56/~jnz1568/getInfo.php?workbook=14_04.xlsx&amp;sheet=A0&amp;row=1511&amp;col=7&amp;number=0&amp;sourceID=14","0")</f>
        <v>0</v>
      </c>
    </row>
    <row r="1512" spans="1:7">
      <c r="A1512" s="3">
        <v>14</v>
      </c>
      <c r="B1512" s="3">
        <v>4</v>
      </c>
      <c r="C1512" s="3">
        <v>52</v>
      </c>
      <c r="D1512" s="3">
        <v>25</v>
      </c>
      <c r="E1512" s="3">
        <v>-195.483</v>
      </c>
      <c r="F1512" s="4" t="str">
        <f>HYPERLINK("http://141.218.60.56/~jnz1568/getInfo.php?workbook=14_04.xlsx&amp;sheet=A0&amp;row=1512&amp;col=6&amp;number=30670000&amp;sourceID=14","30670000")</f>
        <v>30670000</v>
      </c>
      <c r="G1512" s="4" t="str">
        <f>HYPERLINK("http://141.218.60.56/~jnz1568/getInfo.php?workbook=14_04.xlsx&amp;sheet=A0&amp;row=1512&amp;col=7&amp;number=0&amp;sourceID=14","0")</f>
        <v>0</v>
      </c>
    </row>
    <row r="1513" spans="1:7">
      <c r="A1513" s="3">
        <v>14</v>
      </c>
      <c r="B1513" s="3">
        <v>4</v>
      </c>
      <c r="C1513" s="3">
        <v>53</v>
      </c>
      <c r="D1513" s="3">
        <v>25</v>
      </c>
      <c r="E1513" s="3">
        <v>-190.252</v>
      </c>
      <c r="F1513" s="4" t="str">
        <f>HYPERLINK("http://141.218.60.56/~jnz1568/getInfo.php?workbook=14_04.xlsx&amp;sheet=A0&amp;row=1513&amp;col=6&amp;number=33.06&amp;sourceID=14","33.06")</f>
        <v>33.06</v>
      </c>
      <c r="G1513" s="4" t="str">
        <f>HYPERLINK("http://141.218.60.56/~jnz1568/getInfo.php?workbook=14_04.xlsx&amp;sheet=A0&amp;row=1513&amp;col=7&amp;number=0&amp;sourceID=14","0")</f>
        <v>0</v>
      </c>
    </row>
    <row r="1514" spans="1:7">
      <c r="A1514" s="3">
        <v>14</v>
      </c>
      <c r="B1514" s="3">
        <v>4</v>
      </c>
      <c r="C1514" s="3">
        <v>54</v>
      </c>
      <c r="D1514" s="3">
        <v>25</v>
      </c>
      <c r="E1514" s="3">
        <v>-190.214</v>
      </c>
      <c r="F1514" s="4" t="str">
        <f>HYPERLINK("http://141.218.60.56/~jnz1568/getInfo.php?workbook=14_04.xlsx&amp;sheet=A0&amp;row=1514&amp;col=6&amp;number=1479&amp;sourceID=14","1479")</f>
        <v>1479</v>
      </c>
      <c r="G1514" s="4" t="str">
        <f>HYPERLINK("http://141.218.60.56/~jnz1568/getInfo.php?workbook=14_04.xlsx&amp;sheet=A0&amp;row=1514&amp;col=7&amp;number=0&amp;sourceID=14","0")</f>
        <v>0</v>
      </c>
    </row>
    <row r="1515" spans="1:7">
      <c r="A1515" s="3">
        <v>14</v>
      </c>
      <c r="B1515" s="3">
        <v>4</v>
      </c>
      <c r="C1515" s="3">
        <v>55</v>
      </c>
      <c r="D1515" s="3">
        <v>25</v>
      </c>
      <c r="E1515" s="3">
        <v>-190.154</v>
      </c>
      <c r="F1515" s="4" t="str">
        <f>HYPERLINK("http://141.218.60.56/~jnz1568/getInfo.php?workbook=14_04.xlsx&amp;sheet=A0&amp;row=1515&amp;col=6&amp;number=329.5&amp;sourceID=14","329.5")</f>
        <v>329.5</v>
      </c>
      <c r="G1515" s="4" t="str">
        <f>HYPERLINK("http://141.218.60.56/~jnz1568/getInfo.php?workbook=14_04.xlsx&amp;sheet=A0&amp;row=1515&amp;col=7&amp;number=0&amp;sourceID=14","0")</f>
        <v>0</v>
      </c>
    </row>
    <row r="1516" spans="1:7">
      <c r="A1516" s="3">
        <v>14</v>
      </c>
      <c r="B1516" s="3">
        <v>4</v>
      </c>
      <c r="C1516" s="3">
        <v>56</v>
      </c>
      <c r="D1516" s="3">
        <v>25</v>
      </c>
      <c r="E1516" s="3">
        <v>-186.434</v>
      </c>
      <c r="F1516" s="4" t="str">
        <f>HYPERLINK("http://141.218.60.56/~jnz1568/getInfo.php?workbook=14_04.xlsx&amp;sheet=A0&amp;row=1516&amp;col=6&amp;number=1158&amp;sourceID=14","1158")</f>
        <v>1158</v>
      </c>
      <c r="G1516" s="4" t="str">
        <f>HYPERLINK("http://141.218.60.56/~jnz1568/getInfo.php?workbook=14_04.xlsx&amp;sheet=A0&amp;row=1516&amp;col=7&amp;number=0&amp;sourceID=14","0")</f>
        <v>0</v>
      </c>
    </row>
    <row r="1517" spans="1:7">
      <c r="A1517" s="3">
        <v>14</v>
      </c>
      <c r="B1517" s="3">
        <v>4</v>
      </c>
      <c r="C1517" s="3">
        <v>57</v>
      </c>
      <c r="D1517" s="3">
        <v>25</v>
      </c>
      <c r="E1517" s="3">
        <v>-147.685</v>
      </c>
      <c r="F1517" s="4" t="str">
        <f>HYPERLINK("http://141.218.60.56/~jnz1568/getInfo.php?workbook=14_04.xlsx&amp;sheet=A0&amp;row=1517&amp;col=6&amp;number=1940000000&amp;sourceID=14","1940000000")</f>
        <v>1940000000</v>
      </c>
      <c r="G1517" s="4" t="str">
        <f>HYPERLINK("http://141.218.60.56/~jnz1568/getInfo.php?workbook=14_04.xlsx&amp;sheet=A0&amp;row=1517&amp;col=7&amp;number=0&amp;sourceID=14","0")</f>
        <v>0</v>
      </c>
    </row>
    <row r="1518" spans="1:7">
      <c r="A1518" s="3">
        <v>14</v>
      </c>
      <c r="B1518" s="3">
        <v>4</v>
      </c>
      <c r="C1518" s="3">
        <v>58</v>
      </c>
      <c r="D1518" s="3">
        <v>25</v>
      </c>
      <c r="E1518" s="3">
        <v>-147.369</v>
      </c>
      <c r="F1518" s="4" t="str">
        <f>HYPERLINK("http://141.218.60.56/~jnz1568/getInfo.php?workbook=14_04.xlsx&amp;sheet=A0&amp;row=1518&amp;col=6&amp;number=3772000000&amp;sourceID=14","3772000000")</f>
        <v>3772000000</v>
      </c>
      <c r="G1518" s="4" t="str">
        <f>HYPERLINK("http://141.218.60.56/~jnz1568/getInfo.php?workbook=14_04.xlsx&amp;sheet=A0&amp;row=1518&amp;col=7&amp;number=0&amp;sourceID=14","0")</f>
        <v>0</v>
      </c>
    </row>
    <row r="1519" spans="1:7">
      <c r="A1519" s="3">
        <v>14</v>
      </c>
      <c r="B1519" s="3">
        <v>4</v>
      </c>
      <c r="C1519" s="3">
        <v>59</v>
      </c>
      <c r="D1519" s="3">
        <v>25</v>
      </c>
      <c r="E1519" s="3">
        <v>-145.942</v>
      </c>
      <c r="F1519" s="4" t="str">
        <f>HYPERLINK("http://141.218.60.56/~jnz1568/getInfo.php?workbook=14_04.xlsx&amp;sheet=A0&amp;row=1519&amp;col=6&amp;number=24100000&amp;sourceID=14","24100000")</f>
        <v>24100000</v>
      </c>
      <c r="G1519" s="4" t="str">
        <f>HYPERLINK("http://141.218.60.56/~jnz1568/getInfo.php?workbook=14_04.xlsx&amp;sheet=A0&amp;row=1519&amp;col=7&amp;number=0&amp;sourceID=14","0")</f>
        <v>0</v>
      </c>
    </row>
    <row r="1520" spans="1:7">
      <c r="A1520" s="3">
        <v>14</v>
      </c>
      <c r="B1520" s="3">
        <v>4</v>
      </c>
      <c r="C1520" s="3">
        <v>60</v>
      </c>
      <c r="D1520" s="3">
        <v>25</v>
      </c>
      <c r="E1520" s="3">
        <v>-144.627</v>
      </c>
      <c r="F1520" s="4" t="str">
        <f>HYPERLINK("http://141.218.60.56/~jnz1568/getInfo.php?workbook=14_04.xlsx&amp;sheet=A0&amp;row=1520&amp;col=6&amp;number=6591000000&amp;sourceID=14","6591000000")</f>
        <v>6591000000</v>
      </c>
      <c r="G1520" s="4" t="str">
        <f>HYPERLINK("http://141.218.60.56/~jnz1568/getInfo.php?workbook=14_04.xlsx&amp;sheet=A0&amp;row=1520&amp;col=7&amp;number=0&amp;sourceID=14","0")</f>
        <v>0</v>
      </c>
    </row>
    <row r="1521" spans="1:7">
      <c r="A1521" s="3">
        <v>14</v>
      </c>
      <c r="B1521" s="3">
        <v>4</v>
      </c>
      <c r="C1521" s="3">
        <v>61</v>
      </c>
      <c r="D1521" s="3">
        <v>25</v>
      </c>
      <c r="E1521" s="3">
        <v>-142.173</v>
      </c>
      <c r="F1521" s="4" t="str">
        <f>HYPERLINK("http://141.218.60.56/~jnz1568/getInfo.php?workbook=14_04.xlsx&amp;sheet=A0&amp;row=1521&amp;col=6&amp;number=1022000&amp;sourceID=14","1022000")</f>
        <v>1022000</v>
      </c>
      <c r="G1521" s="4" t="str">
        <f>HYPERLINK("http://141.218.60.56/~jnz1568/getInfo.php?workbook=14_04.xlsx&amp;sheet=A0&amp;row=1521&amp;col=7&amp;number=0&amp;sourceID=14","0")</f>
        <v>0</v>
      </c>
    </row>
    <row r="1522" spans="1:7">
      <c r="A1522" s="3">
        <v>14</v>
      </c>
      <c r="B1522" s="3">
        <v>4</v>
      </c>
      <c r="C1522" s="3">
        <v>62</v>
      </c>
      <c r="D1522" s="3">
        <v>25</v>
      </c>
      <c r="E1522" s="3">
        <v>-143.063</v>
      </c>
      <c r="F1522" s="4" t="str">
        <f>HYPERLINK("http://141.218.60.56/~jnz1568/getInfo.php?workbook=14_04.xlsx&amp;sheet=A0&amp;row=1522&amp;col=6&amp;number=464500&amp;sourceID=14","464500")</f>
        <v>464500</v>
      </c>
      <c r="G1522" s="4" t="str">
        <f>HYPERLINK("http://141.218.60.56/~jnz1568/getInfo.php?workbook=14_04.xlsx&amp;sheet=A0&amp;row=1522&amp;col=7&amp;number=0&amp;sourceID=14","0")</f>
        <v>0</v>
      </c>
    </row>
    <row r="1523" spans="1:7">
      <c r="A1523" s="3">
        <v>14</v>
      </c>
      <c r="B1523" s="3">
        <v>4</v>
      </c>
      <c r="C1523" s="3">
        <v>63</v>
      </c>
      <c r="D1523" s="3">
        <v>25</v>
      </c>
      <c r="E1523" s="3">
        <v>-142.121</v>
      </c>
      <c r="F1523" s="4" t="str">
        <f>HYPERLINK("http://141.218.60.56/~jnz1568/getInfo.php?workbook=14_04.xlsx&amp;sheet=A0&amp;row=1523&amp;col=6&amp;number=421700&amp;sourceID=14","421700")</f>
        <v>421700</v>
      </c>
      <c r="G1523" s="4" t="str">
        <f>HYPERLINK("http://141.218.60.56/~jnz1568/getInfo.php?workbook=14_04.xlsx&amp;sheet=A0&amp;row=1523&amp;col=7&amp;number=0&amp;sourceID=14","0")</f>
        <v>0</v>
      </c>
    </row>
    <row r="1524" spans="1:7">
      <c r="A1524" s="3">
        <v>14</v>
      </c>
      <c r="B1524" s="3">
        <v>4</v>
      </c>
      <c r="C1524" s="3">
        <v>64</v>
      </c>
      <c r="D1524" s="3">
        <v>25</v>
      </c>
      <c r="E1524" s="3">
        <v>-141.034</v>
      </c>
      <c r="F1524" s="4" t="str">
        <f>HYPERLINK("http://141.218.60.56/~jnz1568/getInfo.php?workbook=14_04.xlsx&amp;sheet=A0&amp;row=1524&amp;col=6&amp;number=18.56&amp;sourceID=14","18.56")</f>
        <v>18.56</v>
      </c>
      <c r="G1524" s="4" t="str">
        <f>HYPERLINK("http://141.218.60.56/~jnz1568/getInfo.php?workbook=14_04.xlsx&amp;sheet=A0&amp;row=1524&amp;col=7&amp;number=0&amp;sourceID=14","0")</f>
        <v>0</v>
      </c>
    </row>
    <row r="1525" spans="1:7">
      <c r="A1525" s="3">
        <v>14</v>
      </c>
      <c r="B1525" s="3">
        <v>4</v>
      </c>
      <c r="C1525" s="3">
        <v>65</v>
      </c>
      <c r="D1525" s="3">
        <v>25</v>
      </c>
      <c r="E1525" s="3">
        <v>-140.682</v>
      </c>
      <c r="F1525" s="4" t="str">
        <f>HYPERLINK("http://141.218.60.56/~jnz1568/getInfo.php?workbook=14_04.xlsx&amp;sheet=A0&amp;row=1525&amp;col=6&amp;number=5185&amp;sourceID=14","5185")</f>
        <v>5185</v>
      </c>
      <c r="G1525" s="4" t="str">
        <f>HYPERLINK("http://141.218.60.56/~jnz1568/getInfo.php?workbook=14_04.xlsx&amp;sheet=A0&amp;row=1525&amp;col=7&amp;number=0&amp;sourceID=14","0")</f>
        <v>0</v>
      </c>
    </row>
    <row r="1526" spans="1:7">
      <c r="A1526" s="3">
        <v>14</v>
      </c>
      <c r="B1526" s="3">
        <v>4</v>
      </c>
      <c r="C1526" s="3">
        <v>66</v>
      </c>
      <c r="D1526" s="3">
        <v>25</v>
      </c>
      <c r="E1526" s="3">
        <v>-140.712</v>
      </c>
      <c r="F1526" s="4" t="str">
        <f>HYPERLINK("http://141.218.60.56/~jnz1568/getInfo.php?workbook=14_04.xlsx&amp;sheet=A0&amp;row=1526&amp;col=6&amp;number=1.551&amp;sourceID=14","1.551")</f>
        <v>1.551</v>
      </c>
      <c r="G1526" s="4" t="str">
        <f>HYPERLINK("http://141.218.60.56/~jnz1568/getInfo.php?workbook=14_04.xlsx&amp;sheet=A0&amp;row=1526&amp;col=7&amp;number=0&amp;sourceID=14","0")</f>
        <v>0</v>
      </c>
    </row>
    <row r="1527" spans="1:7">
      <c r="A1527" s="3">
        <v>14</v>
      </c>
      <c r="B1527" s="3">
        <v>4</v>
      </c>
      <c r="C1527" s="3">
        <v>67</v>
      </c>
      <c r="D1527" s="3">
        <v>25</v>
      </c>
      <c r="E1527" s="3">
        <v>-139.821</v>
      </c>
      <c r="F1527" s="4" t="str">
        <f>HYPERLINK("http://141.218.60.56/~jnz1568/getInfo.php?workbook=14_04.xlsx&amp;sheet=A0&amp;row=1527&amp;col=6&amp;number=15300&amp;sourceID=14","15300")</f>
        <v>15300</v>
      </c>
      <c r="G1527" s="4" t="str">
        <f>HYPERLINK("http://141.218.60.56/~jnz1568/getInfo.php?workbook=14_04.xlsx&amp;sheet=A0&amp;row=1527&amp;col=7&amp;number=0&amp;sourceID=14","0")</f>
        <v>0</v>
      </c>
    </row>
    <row r="1528" spans="1:7">
      <c r="A1528" s="3">
        <v>14</v>
      </c>
      <c r="B1528" s="3">
        <v>4</v>
      </c>
      <c r="C1528" s="3">
        <v>68</v>
      </c>
      <c r="D1528" s="3">
        <v>25</v>
      </c>
      <c r="E1528" s="3">
        <v>-139.667</v>
      </c>
      <c r="F1528" s="4" t="str">
        <f>HYPERLINK("http://141.218.60.56/~jnz1568/getInfo.php?workbook=14_04.xlsx&amp;sheet=A0&amp;row=1528&amp;col=6&amp;number=128800&amp;sourceID=14","128800")</f>
        <v>128800</v>
      </c>
      <c r="G1528" s="4" t="str">
        <f>HYPERLINK("http://141.218.60.56/~jnz1568/getInfo.php?workbook=14_04.xlsx&amp;sheet=A0&amp;row=1528&amp;col=7&amp;number=0&amp;sourceID=14","0")</f>
        <v>0</v>
      </c>
    </row>
    <row r="1529" spans="1:7">
      <c r="A1529" s="3">
        <v>14</v>
      </c>
      <c r="B1529" s="3">
        <v>4</v>
      </c>
      <c r="C1529" s="3">
        <v>69</v>
      </c>
      <c r="D1529" s="3">
        <v>25</v>
      </c>
      <c r="E1529" s="3">
        <v>-139.509</v>
      </c>
      <c r="F1529" s="4" t="str">
        <f>HYPERLINK("http://141.218.60.56/~jnz1568/getInfo.php?workbook=14_04.xlsx&amp;sheet=A0&amp;row=1529&amp;col=6&amp;number=50130000000&amp;sourceID=14","50130000000")</f>
        <v>50130000000</v>
      </c>
      <c r="G1529" s="4" t="str">
        <f>HYPERLINK("http://141.218.60.56/~jnz1568/getInfo.php?workbook=14_04.xlsx&amp;sheet=A0&amp;row=1529&amp;col=7&amp;number=0&amp;sourceID=14","0")</f>
        <v>0</v>
      </c>
    </row>
    <row r="1530" spans="1:7">
      <c r="A1530" s="3">
        <v>14</v>
      </c>
      <c r="B1530" s="3">
        <v>4</v>
      </c>
      <c r="C1530" s="3">
        <v>71</v>
      </c>
      <c r="D1530" s="3">
        <v>25</v>
      </c>
      <c r="E1530" s="3">
        <v>-138.572</v>
      </c>
      <c r="F1530" s="4" t="str">
        <f>HYPERLINK("http://141.218.60.56/~jnz1568/getInfo.php?workbook=14_04.xlsx&amp;sheet=A0&amp;row=1530&amp;col=6&amp;number=23650000000&amp;sourceID=14","23650000000")</f>
        <v>23650000000</v>
      </c>
      <c r="G1530" s="4" t="str">
        <f>HYPERLINK("http://141.218.60.56/~jnz1568/getInfo.php?workbook=14_04.xlsx&amp;sheet=A0&amp;row=1530&amp;col=7&amp;number=0&amp;sourceID=14","0")</f>
        <v>0</v>
      </c>
    </row>
    <row r="1531" spans="1:7">
      <c r="A1531" s="3">
        <v>14</v>
      </c>
      <c r="B1531" s="3">
        <v>4</v>
      </c>
      <c r="C1531" s="3">
        <v>72</v>
      </c>
      <c r="D1531" s="3">
        <v>25</v>
      </c>
      <c r="E1531" s="3">
        <v>-138.155</v>
      </c>
      <c r="F1531" s="4" t="str">
        <f>HYPERLINK("http://141.218.60.56/~jnz1568/getInfo.php?workbook=14_04.xlsx&amp;sheet=A0&amp;row=1531&amp;col=6&amp;number=662500&amp;sourceID=14","662500")</f>
        <v>662500</v>
      </c>
      <c r="G1531" s="4" t="str">
        <f>HYPERLINK("http://141.218.60.56/~jnz1568/getInfo.php?workbook=14_04.xlsx&amp;sheet=A0&amp;row=1531&amp;col=7&amp;number=0&amp;sourceID=14","0")</f>
        <v>0</v>
      </c>
    </row>
    <row r="1532" spans="1:7">
      <c r="A1532" s="3">
        <v>14</v>
      </c>
      <c r="B1532" s="3">
        <v>4</v>
      </c>
      <c r="C1532" s="3">
        <v>74</v>
      </c>
      <c r="D1532" s="3">
        <v>25</v>
      </c>
      <c r="E1532" s="3">
        <v>-137.618</v>
      </c>
      <c r="F1532" s="4" t="str">
        <f>HYPERLINK("http://141.218.60.56/~jnz1568/getInfo.php?workbook=14_04.xlsx&amp;sheet=A0&amp;row=1532&amp;col=6&amp;number=9510000000&amp;sourceID=14","9510000000")</f>
        <v>9510000000</v>
      </c>
      <c r="G1532" s="4" t="str">
        <f>HYPERLINK("http://141.218.60.56/~jnz1568/getInfo.php?workbook=14_04.xlsx&amp;sheet=A0&amp;row=1532&amp;col=7&amp;number=0&amp;sourceID=14","0")</f>
        <v>0</v>
      </c>
    </row>
    <row r="1533" spans="1:7">
      <c r="A1533" s="3">
        <v>14</v>
      </c>
      <c r="B1533" s="3">
        <v>4</v>
      </c>
      <c r="C1533" s="3">
        <v>75</v>
      </c>
      <c r="D1533" s="3">
        <v>25</v>
      </c>
      <c r="E1533" s="3">
        <v>-137.255</v>
      </c>
      <c r="F1533" s="4" t="str">
        <f>HYPERLINK("http://141.218.60.56/~jnz1568/getInfo.php?workbook=14_04.xlsx&amp;sheet=A0&amp;row=1533&amp;col=6&amp;number=5633000000&amp;sourceID=14","5633000000")</f>
        <v>5633000000</v>
      </c>
      <c r="G1533" s="4" t="str">
        <f>HYPERLINK("http://141.218.60.56/~jnz1568/getInfo.php?workbook=14_04.xlsx&amp;sheet=A0&amp;row=1533&amp;col=7&amp;number=0&amp;sourceID=14","0")</f>
        <v>0</v>
      </c>
    </row>
    <row r="1534" spans="1:7">
      <c r="A1534" s="3">
        <v>14</v>
      </c>
      <c r="B1534" s="3">
        <v>4</v>
      </c>
      <c r="C1534" s="3">
        <v>77</v>
      </c>
      <c r="D1534" s="3">
        <v>25</v>
      </c>
      <c r="E1534" s="3">
        <v>-136.294</v>
      </c>
      <c r="F1534" s="4" t="str">
        <f>HYPERLINK("http://141.218.60.56/~jnz1568/getInfo.php?workbook=14_04.xlsx&amp;sheet=A0&amp;row=1534&amp;col=6&amp;number=91930000&amp;sourceID=14","91930000")</f>
        <v>91930000</v>
      </c>
      <c r="G1534" s="4" t="str">
        <f>HYPERLINK("http://141.218.60.56/~jnz1568/getInfo.php?workbook=14_04.xlsx&amp;sheet=A0&amp;row=1534&amp;col=7&amp;number=0&amp;sourceID=14","0")</f>
        <v>0</v>
      </c>
    </row>
    <row r="1535" spans="1:7">
      <c r="A1535" s="3">
        <v>14</v>
      </c>
      <c r="B1535" s="3">
        <v>4</v>
      </c>
      <c r="C1535" s="3">
        <v>78</v>
      </c>
      <c r="D1535" s="3">
        <v>25</v>
      </c>
      <c r="E1535" s="3">
        <v>-136.151</v>
      </c>
      <c r="F1535" s="4" t="str">
        <f>HYPERLINK("http://141.218.60.56/~jnz1568/getInfo.php?workbook=14_04.xlsx&amp;sheet=A0&amp;row=1535&amp;col=6&amp;number=214000000&amp;sourceID=14","214000000")</f>
        <v>214000000</v>
      </c>
      <c r="G1535" s="4" t="str">
        <f>HYPERLINK("http://141.218.60.56/~jnz1568/getInfo.php?workbook=14_04.xlsx&amp;sheet=A0&amp;row=1535&amp;col=7&amp;number=0&amp;sourceID=14","0")</f>
        <v>0</v>
      </c>
    </row>
    <row r="1536" spans="1:7">
      <c r="A1536" s="3">
        <v>14</v>
      </c>
      <c r="B1536" s="3">
        <v>4</v>
      </c>
      <c r="C1536" s="3">
        <v>79</v>
      </c>
      <c r="D1536" s="3">
        <v>25</v>
      </c>
      <c r="E1536" s="3">
        <v>-136.069</v>
      </c>
      <c r="F1536" s="4" t="str">
        <f>HYPERLINK("http://141.218.60.56/~jnz1568/getInfo.php?workbook=14_04.xlsx&amp;sheet=A0&amp;row=1536&amp;col=6&amp;number=17860000&amp;sourceID=14","17860000")</f>
        <v>17860000</v>
      </c>
      <c r="G1536" s="4" t="str">
        <f>HYPERLINK("http://141.218.60.56/~jnz1568/getInfo.php?workbook=14_04.xlsx&amp;sheet=A0&amp;row=1536&amp;col=7&amp;number=0&amp;sourceID=14","0")</f>
        <v>0</v>
      </c>
    </row>
    <row r="1537" spans="1:7">
      <c r="A1537" s="3">
        <v>14</v>
      </c>
      <c r="B1537" s="3">
        <v>4</v>
      </c>
      <c r="C1537" s="3">
        <v>80</v>
      </c>
      <c r="D1537" s="3">
        <v>25</v>
      </c>
      <c r="E1537" s="3">
        <v>-135.627</v>
      </c>
      <c r="F1537" s="4" t="str">
        <f>HYPERLINK("http://141.218.60.56/~jnz1568/getInfo.php?workbook=14_04.xlsx&amp;sheet=A0&amp;row=1537&amp;col=6&amp;number=0.002795&amp;sourceID=14","0.002795")</f>
        <v>0.002795</v>
      </c>
      <c r="G1537" s="4" t="str">
        <f>HYPERLINK("http://141.218.60.56/~jnz1568/getInfo.php?workbook=14_04.xlsx&amp;sheet=A0&amp;row=1537&amp;col=7&amp;number=0&amp;sourceID=14","0")</f>
        <v>0</v>
      </c>
    </row>
    <row r="1538" spans="1:7">
      <c r="A1538" s="3">
        <v>14</v>
      </c>
      <c r="B1538" s="3">
        <v>4</v>
      </c>
      <c r="C1538" s="3">
        <v>82</v>
      </c>
      <c r="D1538" s="3">
        <v>25</v>
      </c>
      <c r="E1538" s="3">
        <v>-133.911</v>
      </c>
      <c r="F1538" s="4" t="str">
        <f>HYPERLINK("http://141.218.60.56/~jnz1568/getInfo.php?workbook=14_04.xlsx&amp;sheet=A0&amp;row=1538&amp;col=6&amp;number=27280000000&amp;sourceID=14","27280000000")</f>
        <v>27280000000</v>
      </c>
      <c r="G1538" s="4" t="str">
        <f>HYPERLINK("http://141.218.60.56/~jnz1568/getInfo.php?workbook=14_04.xlsx&amp;sheet=A0&amp;row=1538&amp;col=7&amp;number=0&amp;sourceID=14","0")</f>
        <v>0</v>
      </c>
    </row>
    <row r="1539" spans="1:7">
      <c r="A1539" s="3">
        <v>14</v>
      </c>
      <c r="B1539" s="3">
        <v>4</v>
      </c>
      <c r="C1539" s="3">
        <v>83</v>
      </c>
      <c r="D1539" s="3">
        <v>25</v>
      </c>
      <c r="E1539" s="3">
        <v>-123.811</v>
      </c>
      <c r="F1539" s="4" t="str">
        <f>HYPERLINK("http://141.218.60.56/~jnz1568/getInfo.php?workbook=14_04.xlsx&amp;sheet=A0&amp;row=1539&amp;col=6&amp;number=15.51&amp;sourceID=14","15.51")</f>
        <v>15.51</v>
      </c>
      <c r="G1539" s="4" t="str">
        <f>HYPERLINK("http://141.218.60.56/~jnz1568/getInfo.php?workbook=14_04.xlsx&amp;sheet=A0&amp;row=1539&amp;col=7&amp;number=0&amp;sourceID=14","0")</f>
        <v>0</v>
      </c>
    </row>
    <row r="1540" spans="1:7">
      <c r="A1540" s="3">
        <v>14</v>
      </c>
      <c r="B1540" s="3">
        <v>4</v>
      </c>
      <c r="C1540" s="3">
        <v>84</v>
      </c>
      <c r="D1540" s="3">
        <v>25</v>
      </c>
      <c r="E1540" s="3">
        <v>-122.719</v>
      </c>
      <c r="F1540" s="4" t="str">
        <f>HYPERLINK("http://141.218.60.56/~jnz1568/getInfo.php?workbook=14_04.xlsx&amp;sheet=A0&amp;row=1540&amp;col=6&amp;number=0.001288&amp;sourceID=14","0.001288")</f>
        <v>0.001288</v>
      </c>
      <c r="G1540" s="4" t="str">
        <f>HYPERLINK("http://141.218.60.56/~jnz1568/getInfo.php?workbook=14_04.xlsx&amp;sheet=A0&amp;row=1540&amp;col=7&amp;number=0&amp;sourceID=14","0")</f>
        <v>0</v>
      </c>
    </row>
    <row r="1541" spans="1:7">
      <c r="A1541" s="3">
        <v>14</v>
      </c>
      <c r="B1541" s="3">
        <v>4</v>
      </c>
      <c r="C1541" s="3">
        <v>85</v>
      </c>
      <c r="D1541" s="3">
        <v>25</v>
      </c>
      <c r="E1541" s="3">
        <v>-121.624</v>
      </c>
      <c r="F1541" s="4" t="str">
        <f>HYPERLINK("http://141.218.60.56/~jnz1568/getInfo.php?workbook=14_04.xlsx&amp;sheet=A0&amp;row=1541&amp;col=6&amp;number=10690000&amp;sourceID=14","10690000")</f>
        <v>10690000</v>
      </c>
      <c r="G1541" s="4" t="str">
        <f>HYPERLINK("http://141.218.60.56/~jnz1568/getInfo.php?workbook=14_04.xlsx&amp;sheet=A0&amp;row=1541&amp;col=7&amp;number=0&amp;sourceID=14","0")</f>
        <v>0</v>
      </c>
    </row>
    <row r="1542" spans="1:7">
      <c r="A1542" s="3">
        <v>14</v>
      </c>
      <c r="B1542" s="3">
        <v>4</v>
      </c>
      <c r="C1542" s="3">
        <v>86</v>
      </c>
      <c r="D1542" s="3">
        <v>25</v>
      </c>
      <c r="E1542" s="3">
        <v>-121.606</v>
      </c>
      <c r="F1542" s="4" t="str">
        <f>HYPERLINK("http://141.218.60.56/~jnz1568/getInfo.php?workbook=14_04.xlsx&amp;sheet=A0&amp;row=1542&amp;col=6&amp;number=10120000&amp;sourceID=14","10120000")</f>
        <v>10120000</v>
      </c>
      <c r="G1542" s="4" t="str">
        <f>HYPERLINK("http://141.218.60.56/~jnz1568/getInfo.php?workbook=14_04.xlsx&amp;sheet=A0&amp;row=1542&amp;col=7&amp;number=0&amp;sourceID=14","0")</f>
        <v>0</v>
      </c>
    </row>
    <row r="1543" spans="1:7">
      <c r="A1543" s="3">
        <v>14</v>
      </c>
      <c r="B1543" s="3">
        <v>4</v>
      </c>
      <c r="C1543" s="3">
        <v>87</v>
      </c>
      <c r="D1543" s="3">
        <v>25</v>
      </c>
      <c r="E1543" s="3">
        <v>-121.564</v>
      </c>
      <c r="F1543" s="4" t="str">
        <f>HYPERLINK("http://141.218.60.56/~jnz1568/getInfo.php?workbook=14_04.xlsx&amp;sheet=A0&amp;row=1543&amp;col=6&amp;number=9330000&amp;sourceID=14","9330000")</f>
        <v>9330000</v>
      </c>
      <c r="G1543" s="4" t="str">
        <f>HYPERLINK("http://141.218.60.56/~jnz1568/getInfo.php?workbook=14_04.xlsx&amp;sheet=A0&amp;row=1543&amp;col=7&amp;number=0&amp;sourceID=14","0")</f>
        <v>0</v>
      </c>
    </row>
    <row r="1544" spans="1:7">
      <c r="A1544" s="3">
        <v>14</v>
      </c>
      <c r="B1544" s="3">
        <v>4</v>
      </c>
      <c r="C1544" s="3">
        <v>88</v>
      </c>
      <c r="D1544" s="3">
        <v>25</v>
      </c>
      <c r="E1544" s="3">
        <v>-121.186</v>
      </c>
      <c r="F1544" s="4" t="str">
        <f>HYPERLINK("http://141.218.60.56/~jnz1568/getInfo.php?workbook=14_04.xlsx&amp;sheet=A0&amp;row=1544&amp;col=6&amp;number=41470000&amp;sourceID=14","41470000")</f>
        <v>41470000</v>
      </c>
      <c r="G1544" s="4" t="str">
        <f>HYPERLINK("http://141.218.60.56/~jnz1568/getInfo.php?workbook=14_04.xlsx&amp;sheet=A0&amp;row=1544&amp;col=7&amp;number=0&amp;sourceID=14","0")</f>
        <v>0</v>
      </c>
    </row>
    <row r="1545" spans="1:7">
      <c r="A1545" s="3">
        <v>14</v>
      </c>
      <c r="B1545" s="3">
        <v>4</v>
      </c>
      <c r="C1545" s="3">
        <v>89</v>
      </c>
      <c r="D1545" s="3">
        <v>25</v>
      </c>
      <c r="E1545" s="3">
        <v>-120.368</v>
      </c>
      <c r="F1545" s="4" t="str">
        <f>HYPERLINK("http://141.218.60.56/~jnz1568/getInfo.php?workbook=14_04.xlsx&amp;sheet=A0&amp;row=1545&amp;col=6&amp;number=459.4&amp;sourceID=14","459.4")</f>
        <v>459.4</v>
      </c>
      <c r="G1545" s="4" t="str">
        <f>HYPERLINK("http://141.218.60.56/~jnz1568/getInfo.php?workbook=14_04.xlsx&amp;sheet=A0&amp;row=1545&amp;col=7&amp;number=0&amp;sourceID=14","0")</f>
        <v>0</v>
      </c>
    </row>
    <row r="1546" spans="1:7">
      <c r="A1546" s="3">
        <v>14</v>
      </c>
      <c r="B1546" s="3">
        <v>4</v>
      </c>
      <c r="C1546" s="3">
        <v>90</v>
      </c>
      <c r="D1546" s="3">
        <v>25</v>
      </c>
      <c r="E1546" s="3">
        <v>-120.361</v>
      </c>
      <c r="F1546" s="4" t="str">
        <f>HYPERLINK("http://141.218.60.56/~jnz1568/getInfo.php?workbook=14_04.xlsx&amp;sheet=A0&amp;row=1546&amp;col=6&amp;number=621.5&amp;sourceID=14","621.5")</f>
        <v>621.5</v>
      </c>
      <c r="G1546" s="4" t="str">
        <f>HYPERLINK("http://141.218.60.56/~jnz1568/getInfo.php?workbook=14_04.xlsx&amp;sheet=A0&amp;row=1546&amp;col=7&amp;number=0&amp;sourceID=14","0")</f>
        <v>0</v>
      </c>
    </row>
    <row r="1547" spans="1:7">
      <c r="A1547" s="3">
        <v>14</v>
      </c>
      <c r="B1547" s="3">
        <v>4</v>
      </c>
      <c r="C1547" s="3">
        <v>91</v>
      </c>
      <c r="D1547" s="3">
        <v>25</v>
      </c>
      <c r="E1547" s="3">
        <v>-120.349</v>
      </c>
      <c r="F1547" s="4" t="str">
        <f>HYPERLINK("http://141.218.60.56/~jnz1568/getInfo.php?workbook=14_04.xlsx&amp;sheet=A0&amp;row=1547&amp;col=6&amp;number=564.6&amp;sourceID=14","564.6")</f>
        <v>564.6</v>
      </c>
      <c r="G1547" s="4" t="str">
        <f>HYPERLINK("http://141.218.60.56/~jnz1568/getInfo.php?workbook=14_04.xlsx&amp;sheet=A0&amp;row=1547&amp;col=7&amp;number=0&amp;sourceID=14","0")</f>
        <v>0</v>
      </c>
    </row>
    <row r="1548" spans="1:7">
      <c r="A1548" s="3">
        <v>14</v>
      </c>
      <c r="B1548" s="3">
        <v>4</v>
      </c>
      <c r="C1548" s="3">
        <v>92</v>
      </c>
      <c r="D1548" s="3">
        <v>25</v>
      </c>
      <c r="E1548" s="3">
        <v>-119.65</v>
      </c>
      <c r="F1548" s="4" t="str">
        <f>HYPERLINK("http://141.218.60.56/~jnz1568/getInfo.php?workbook=14_04.xlsx&amp;sheet=A0&amp;row=1548&amp;col=6&amp;number=3608&amp;sourceID=14","3608")</f>
        <v>3608</v>
      </c>
      <c r="G1548" s="4" t="str">
        <f>HYPERLINK("http://141.218.60.56/~jnz1568/getInfo.php?workbook=14_04.xlsx&amp;sheet=A0&amp;row=1548&amp;col=7&amp;number=0&amp;sourceID=14","0")</f>
        <v>0</v>
      </c>
    </row>
    <row r="1549" spans="1:7">
      <c r="A1549" s="3">
        <v>14</v>
      </c>
      <c r="B1549" s="3">
        <v>4</v>
      </c>
      <c r="C1549" s="3">
        <v>27</v>
      </c>
      <c r="D1549" s="3">
        <v>26</v>
      </c>
      <c r="E1549" s="3">
        <v>-49709.807</v>
      </c>
      <c r="F1549" s="4" t="str">
        <f>HYPERLINK("http://141.218.60.56/~jnz1568/getInfo.php?workbook=14_04.xlsx&amp;sheet=A0&amp;row=1549&amp;col=6&amp;number=0.1701&amp;sourceID=14","0.1701")</f>
        <v>0.1701</v>
      </c>
      <c r="G1549" s="4" t="str">
        <f>HYPERLINK("http://141.218.60.56/~jnz1568/getInfo.php?workbook=14_04.xlsx&amp;sheet=A0&amp;row=1549&amp;col=7&amp;number=0&amp;sourceID=14","0")</f>
        <v>0</v>
      </c>
    </row>
    <row r="1550" spans="1:7">
      <c r="A1550" s="3">
        <v>14</v>
      </c>
      <c r="B1550" s="3">
        <v>4</v>
      </c>
      <c r="C1550" s="3">
        <v>28</v>
      </c>
      <c r="D1550" s="3">
        <v>26</v>
      </c>
      <c r="E1550" s="3">
        <v>-13771.212</v>
      </c>
      <c r="F1550" s="4" t="str">
        <f>HYPERLINK("http://141.218.60.56/~jnz1568/getInfo.php?workbook=14_04.xlsx&amp;sheet=A0&amp;row=1550&amp;col=6&amp;number=2.108e-05&amp;sourceID=14","2.108e-05")</f>
        <v>2.108e-05</v>
      </c>
      <c r="G1550" s="4" t="str">
        <f>HYPERLINK("http://141.218.60.56/~jnz1568/getInfo.php?workbook=14_04.xlsx&amp;sheet=A0&amp;row=1550&amp;col=7&amp;number=0&amp;sourceID=14","0")</f>
        <v>0</v>
      </c>
    </row>
    <row r="1551" spans="1:7">
      <c r="A1551" s="3">
        <v>14</v>
      </c>
      <c r="B1551" s="3">
        <v>4</v>
      </c>
      <c r="C1551" s="3">
        <v>29</v>
      </c>
      <c r="D1551" s="3">
        <v>26</v>
      </c>
      <c r="E1551" s="3">
        <v>-5014.553</v>
      </c>
      <c r="F1551" s="4" t="str">
        <f>HYPERLINK("http://141.218.60.56/~jnz1568/getInfo.php?workbook=14_04.xlsx&amp;sheet=A0&amp;row=1551&amp;col=6&amp;number=2.518&amp;sourceID=14","2.518")</f>
        <v>2.518</v>
      </c>
      <c r="G1551" s="4" t="str">
        <f>HYPERLINK("http://141.218.60.56/~jnz1568/getInfo.php?workbook=14_04.xlsx&amp;sheet=A0&amp;row=1551&amp;col=7&amp;number=0&amp;sourceID=14","0")</f>
        <v>0</v>
      </c>
    </row>
    <row r="1552" spans="1:7">
      <c r="A1552" s="3">
        <v>14</v>
      </c>
      <c r="B1552" s="3">
        <v>4</v>
      </c>
      <c r="C1552" s="3">
        <v>30</v>
      </c>
      <c r="D1552" s="3">
        <v>26</v>
      </c>
      <c r="E1552" s="3">
        <v>-3632.677</v>
      </c>
      <c r="F1552" s="4" t="str">
        <f>HYPERLINK("http://141.218.60.56/~jnz1568/getInfo.php?workbook=14_04.xlsx&amp;sheet=A0&amp;row=1552&amp;col=6&amp;number=4.385&amp;sourceID=14","4.385")</f>
        <v>4.385</v>
      </c>
      <c r="G1552" s="4" t="str">
        <f>HYPERLINK("http://141.218.60.56/~jnz1568/getInfo.php?workbook=14_04.xlsx&amp;sheet=A0&amp;row=1552&amp;col=7&amp;number=0&amp;sourceID=14","0")</f>
        <v>0</v>
      </c>
    </row>
    <row r="1553" spans="1:7">
      <c r="A1553" s="3">
        <v>14</v>
      </c>
      <c r="B1553" s="3">
        <v>4</v>
      </c>
      <c r="C1553" s="3">
        <v>31</v>
      </c>
      <c r="D1553" s="3">
        <v>26</v>
      </c>
      <c r="E1553" s="3">
        <v>-3310.881</v>
      </c>
      <c r="F1553" s="4" t="str">
        <f>HYPERLINK("http://141.218.60.56/~jnz1568/getInfo.php?workbook=14_04.xlsx&amp;sheet=A0&amp;row=1553&amp;col=6&amp;number=2.406&amp;sourceID=14","2.406")</f>
        <v>2.406</v>
      </c>
      <c r="G1553" s="4" t="str">
        <f>HYPERLINK("http://141.218.60.56/~jnz1568/getInfo.php?workbook=14_04.xlsx&amp;sheet=A0&amp;row=1553&amp;col=7&amp;number=0&amp;sourceID=14","0")</f>
        <v>0</v>
      </c>
    </row>
    <row r="1554" spans="1:7">
      <c r="A1554" s="3">
        <v>14</v>
      </c>
      <c r="B1554" s="3">
        <v>4</v>
      </c>
      <c r="C1554" s="3">
        <v>32</v>
      </c>
      <c r="D1554" s="3">
        <v>26</v>
      </c>
      <c r="E1554" s="3">
        <v>-3037.334</v>
      </c>
      <c r="F1554" s="4" t="str">
        <f>HYPERLINK("http://141.218.60.56/~jnz1568/getInfo.php?workbook=14_04.xlsx&amp;sheet=A0&amp;row=1554&amp;col=6&amp;number=0.2132&amp;sourceID=14","0.2132")</f>
        <v>0.2132</v>
      </c>
      <c r="G1554" s="4" t="str">
        <f>HYPERLINK("http://141.218.60.56/~jnz1568/getInfo.php?workbook=14_04.xlsx&amp;sheet=A0&amp;row=1554&amp;col=7&amp;number=0&amp;sourceID=14","0")</f>
        <v>0</v>
      </c>
    </row>
    <row r="1555" spans="1:7">
      <c r="A1555" s="3">
        <v>14</v>
      </c>
      <c r="B1555" s="3">
        <v>4</v>
      </c>
      <c r="C1555" s="3">
        <v>33</v>
      </c>
      <c r="D1555" s="3">
        <v>26</v>
      </c>
      <c r="E1555" s="3">
        <v>-2673.769</v>
      </c>
      <c r="F1555" s="4" t="str">
        <f>HYPERLINK("http://141.218.60.56/~jnz1568/getInfo.php?workbook=14_04.xlsx&amp;sheet=A0&amp;row=1555&amp;col=6&amp;number=14920000&amp;sourceID=14","14920000")</f>
        <v>14920000</v>
      </c>
      <c r="G1555" s="4" t="str">
        <f>HYPERLINK("http://141.218.60.56/~jnz1568/getInfo.php?workbook=14_04.xlsx&amp;sheet=A0&amp;row=1555&amp;col=7&amp;number=0&amp;sourceID=14","0")</f>
        <v>0</v>
      </c>
    </row>
    <row r="1556" spans="1:7">
      <c r="A1556" s="3">
        <v>14</v>
      </c>
      <c r="B1556" s="3">
        <v>4</v>
      </c>
      <c r="C1556" s="3">
        <v>35</v>
      </c>
      <c r="D1556" s="3">
        <v>26</v>
      </c>
      <c r="E1556" s="3">
        <v>-2269.742</v>
      </c>
      <c r="F1556" s="4" t="str">
        <f>HYPERLINK("http://141.218.60.56/~jnz1568/getInfo.php?workbook=14_04.xlsx&amp;sheet=A0&amp;row=1556&amp;col=6&amp;number=27460000&amp;sourceID=14","27460000")</f>
        <v>27460000</v>
      </c>
      <c r="G1556" s="4" t="str">
        <f>HYPERLINK("http://141.218.60.56/~jnz1568/getInfo.php?workbook=14_04.xlsx&amp;sheet=A0&amp;row=1556&amp;col=7&amp;number=0&amp;sourceID=14","0")</f>
        <v>0</v>
      </c>
    </row>
    <row r="1557" spans="1:7">
      <c r="A1557" s="3">
        <v>14</v>
      </c>
      <c r="B1557" s="3">
        <v>4</v>
      </c>
      <c r="C1557" s="3">
        <v>37</v>
      </c>
      <c r="D1557" s="3">
        <v>26</v>
      </c>
      <c r="E1557" s="3">
        <v>-1798.513</v>
      </c>
      <c r="F1557" s="4" t="str">
        <f>HYPERLINK("http://141.218.60.56/~jnz1568/getInfo.php?workbook=14_04.xlsx&amp;sheet=A0&amp;row=1557&amp;col=6&amp;number=10.59&amp;sourceID=14","10.59")</f>
        <v>10.59</v>
      </c>
      <c r="G1557" s="4" t="str">
        <f>HYPERLINK("http://141.218.60.56/~jnz1568/getInfo.php?workbook=14_04.xlsx&amp;sheet=A0&amp;row=1557&amp;col=7&amp;number=0&amp;sourceID=14","0")</f>
        <v>0</v>
      </c>
    </row>
    <row r="1558" spans="1:7">
      <c r="A1558" s="3">
        <v>14</v>
      </c>
      <c r="B1558" s="3">
        <v>4</v>
      </c>
      <c r="C1558" s="3">
        <v>38</v>
      </c>
      <c r="D1558" s="3">
        <v>26</v>
      </c>
      <c r="E1558" s="3">
        <v>-1533.205</v>
      </c>
      <c r="F1558" s="4" t="str">
        <f>HYPERLINK("http://141.218.60.56/~jnz1568/getInfo.php?workbook=14_04.xlsx&amp;sheet=A0&amp;row=1558&amp;col=6&amp;number=20280000&amp;sourceID=14","20280000")</f>
        <v>20280000</v>
      </c>
      <c r="G1558" s="4" t="str">
        <f>HYPERLINK("http://141.218.60.56/~jnz1568/getInfo.php?workbook=14_04.xlsx&amp;sheet=A0&amp;row=1558&amp;col=7&amp;number=0&amp;sourceID=14","0")</f>
        <v>0</v>
      </c>
    </row>
    <row r="1559" spans="1:7">
      <c r="A1559" s="3">
        <v>14</v>
      </c>
      <c r="B1559" s="3">
        <v>4</v>
      </c>
      <c r="C1559" s="3">
        <v>39</v>
      </c>
      <c r="D1559" s="3">
        <v>26</v>
      </c>
      <c r="E1559" s="3">
        <v>-1506.416</v>
      </c>
      <c r="F1559" s="4" t="str">
        <f>HYPERLINK("http://141.218.60.56/~jnz1568/getInfo.php?workbook=14_04.xlsx&amp;sheet=A0&amp;row=1559&amp;col=6&amp;number=3608000&amp;sourceID=14","3608000")</f>
        <v>3608000</v>
      </c>
      <c r="G1559" s="4" t="str">
        <f>HYPERLINK("http://141.218.60.56/~jnz1568/getInfo.php?workbook=14_04.xlsx&amp;sheet=A0&amp;row=1559&amp;col=7&amp;number=0&amp;sourceID=14","0")</f>
        <v>0</v>
      </c>
    </row>
    <row r="1560" spans="1:7">
      <c r="A1560" s="3">
        <v>14</v>
      </c>
      <c r="B1560" s="3">
        <v>4</v>
      </c>
      <c r="C1560" s="3">
        <v>41</v>
      </c>
      <c r="D1560" s="3">
        <v>26</v>
      </c>
      <c r="E1560" s="3">
        <v>-1306.432</v>
      </c>
      <c r="F1560" s="4" t="str">
        <f>HYPERLINK("http://141.218.60.56/~jnz1568/getInfo.php?workbook=14_04.xlsx&amp;sheet=A0&amp;row=1560&amp;col=6&amp;number=258200&amp;sourceID=14","258200")</f>
        <v>258200</v>
      </c>
      <c r="G1560" s="4" t="str">
        <f>HYPERLINK("http://141.218.60.56/~jnz1568/getInfo.php?workbook=14_04.xlsx&amp;sheet=A0&amp;row=1560&amp;col=7&amp;number=0&amp;sourceID=14","0")</f>
        <v>0</v>
      </c>
    </row>
    <row r="1561" spans="1:7">
      <c r="A1561" s="3">
        <v>14</v>
      </c>
      <c r="B1561" s="3">
        <v>4</v>
      </c>
      <c r="C1561" s="3">
        <v>42</v>
      </c>
      <c r="D1561" s="3">
        <v>26</v>
      </c>
      <c r="E1561" s="3">
        <v>-1281.979</v>
      </c>
      <c r="F1561" s="4" t="str">
        <f>HYPERLINK("http://141.218.60.56/~jnz1568/getInfo.php?workbook=14_04.xlsx&amp;sheet=A0&amp;row=1561&amp;col=6&amp;number=2789000&amp;sourceID=14","2789000")</f>
        <v>2789000</v>
      </c>
      <c r="G1561" s="4" t="str">
        <f>HYPERLINK("http://141.218.60.56/~jnz1568/getInfo.php?workbook=14_04.xlsx&amp;sheet=A0&amp;row=1561&amp;col=7&amp;number=0&amp;sourceID=14","0")</f>
        <v>0</v>
      </c>
    </row>
    <row r="1562" spans="1:7">
      <c r="A1562" s="3">
        <v>14</v>
      </c>
      <c r="B1562" s="3">
        <v>4</v>
      </c>
      <c r="C1562" s="3">
        <v>43</v>
      </c>
      <c r="D1562" s="3">
        <v>26</v>
      </c>
      <c r="E1562" s="3">
        <v>-1269.421</v>
      </c>
      <c r="F1562" s="4" t="str">
        <f>HYPERLINK("http://141.218.60.56/~jnz1568/getInfo.php?workbook=14_04.xlsx&amp;sheet=A0&amp;row=1562&amp;col=6&amp;number=55050000&amp;sourceID=14","55050000")</f>
        <v>55050000</v>
      </c>
      <c r="G1562" s="4" t="str">
        <f>HYPERLINK("http://141.218.60.56/~jnz1568/getInfo.php?workbook=14_04.xlsx&amp;sheet=A0&amp;row=1562&amp;col=7&amp;number=0&amp;sourceID=14","0")</f>
        <v>0</v>
      </c>
    </row>
    <row r="1563" spans="1:7">
      <c r="A1563" s="3">
        <v>14</v>
      </c>
      <c r="B1563" s="3">
        <v>4</v>
      </c>
      <c r="C1563" s="3">
        <v>44</v>
      </c>
      <c r="D1563" s="3">
        <v>26</v>
      </c>
      <c r="E1563" s="3">
        <v>-1050.141</v>
      </c>
      <c r="F1563" s="4" t="str">
        <f>HYPERLINK("http://141.218.60.56/~jnz1568/getInfo.php?workbook=14_04.xlsx&amp;sheet=A0&amp;row=1563&amp;col=6&amp;number=0.922&amp;sourceID=14","0.922")</f>
        <v>0.922</v>
      </c>
      <c r="G1563" s="4" t="str">
        <f>HYPERLINK("http://141.218.60.56/~jnz1568/getInfo.php?workbook=14_04.xlsx&amp;sheet=A0&amp;row=1563&amp;col=7&amp;number=0&amp;sourceID=14","0")</f>
        <v>0</v>
      </c>
    </row>
    <row r="1564" spans="1:7">
      <c r="A1564" s="3">
        <v>14</v>
      </c>
      <c r="B1564" s="3">
        <v>4</v>
      </c>
      <c r="C1564" s="3">
        <v>46</v>
      </c>
      <c r="D1564" s="3">
        <v>26</v>
      </c>
      <c r="E1564" s="3">
        <v>-890.623</v>
      </c>
      <c r="F1564" s="4" t="str">
        <f>HYPERLINK("http://141.218.60.56/~jnz1568/getInfo.php?workbook=14_04.xlsx&amp;sheet=A0&amp;row=1564&amp;col=6&amp;number=80510000&amp;sourceID=14","80510000")</f>
        <v>80510000</v>
      </c>
      <c r="G1564" s="4" t="str">
        <f>HYPERLINK("http://141.218.60.56/~jnz1568/getInfo.php?workbook=14_04.xlsx&amp;sheet=A0&amp;row=1564&amp;col=7&amp;number=0&amp;sourceID=14","0")</f>
        <v>0</v>
      </c>
    </row>
    <row r="1565" spans="1:7">
      <c r="A1565" s="3">
        <v>14</v>
      </c>
      <c r="B1565" s="3">
        <v>4</v>
      </c>
      <c r="C1565" s="3">
        <v>47</v>
      </c>
      <c r="D1565" s="3">
        <v>26</v>
      </c>
      <c r="E1565" s="3">
        <v>-213.346</v>
      </c>
      <c r="F1565" s="4" t="str">
        <f>HYPERLINK("http://141.218.60.56/~jnz1568/getInfo.php?workbook=14_04.xlsx&amp;sheet=A0&amp;row=1565&amp;col=6&amp;number=117&amp;sourceID=14","117")</f>
        <v>117</v>
      </c>
      <c r="G1565" s="4" t="str">
        <f>HYPERLINK("http://141.218.60.56/~jnz1568/getInfo.php?workbook=14_04.xlsx&amp;sheet=A0&amp;row=1565&amp;col=7&amp;number=0&amp;sourceID=14","0")</f>
        <v>0</v>
      </c>
    </row>
    <row r="1566" spans="1:7">
      <c r="A1566" s="3">
        <v>14</v>
      </c>
      <c r="B1566" s="3">
        <v>4</v>
      </c>
      <c r="C1566" s="3">
        <v>48</v>
      </c>
      <c r="D1566" s="3">
        <v>26</v>
      </c>
      <c r="E1566" s="3">
        <v>-208.166</v>
      </c>
      <c r="F1566" s="4" t="str">
        <f>HYPERLINK("http://141.218.60.56/~jnz1568/getInfo.php?workbook=14_04.xlsx&amp;sheet=A0&amp;row=1566&amp;col=6&amp;number=0.006001&amp;sourceID=14","0.006001")</f>
        <v>0.006001</v>
      </c>
      <c r="G1566" s="4" t="str">
        <f>HYPERLINK("http://141.218.60.56/~jnz1568/getInfo.php?workbook=14_04.xlsx&amp;sheet=A0&amp;row=1566&amp;col=7&amp;number=0&amp;sourceID=14","0")</f>
        <v>0</v>
      </c>
    </row>
    <row r="1567" spans="1:7">
      <c r="A1567" s="3">
        <v>14</v>
      </c>
      <c r="B1567" s="3">
        <v>4</v>
      </c>
      <c r="C1567" s="3">
        <v>49</v>
      </c>
      <c r="D1567" s="3">
        <v>26</v>
      </c>
      <c r="E1567" s="3">
        <v>-200.358</v>
      </c>
      <c r="F1567" s="4" t="str">
        <f>HYPERLINK("http://141.218.60.56/~jnz1568/getInfo.php?workbook=14_04.xlsx&amp;sheet=A0&amp;row=1567&amp;col=6&amp;number=11340&amp;sourceID=14","11340")</f>
        <v>11340</v>
      </c>
      <c r="G1567" s="4" t="str">
        <f>HYPERLINK("http://141.218.60.56/~jnz1568/getInfo.php?workbook=14_04.xlsx&amp;sheet=A0&amp;row=1567&amp;col=7&amp;number=0&amp;sourceID=14","0")</f>
        <v>0</v>
      </c>
    </row>
    <row r="1568" spans="1:7">
      <c r="A1568" s="3">
        <v>14</v>
      </c>
      <c r="B1568" s="3">
        <v>4</v>
      </c>
      <c r="C1568" s="3">
        <v>50</v>
      </c>
      <c r="D1568" s="3">
        <v>26</v>
      </c>
      <c r="E1568" s="3">
        <v>-200.262</v>
      </c>
      <c r="F1568" s="4" t="str">
        <f>HYPERLINK("http://141.218.60.56/~jnz1568/getInfo.php?workbook=14_04.xlsx&amp;sheet=A0&amp;row=1568&amp;col=6&amp;number=4383000&amp;sourceID=14","4383000")</f>
        <v>4383000</v>
      </c>
      <c r="G1568" s="4" t="str">
        <f>HYPERLINK("http://141.218.60.56/~jnz1568/getInfo.php?workbook=14_04.xlsx&amp;sheet=A0&amp;row=1568&amp;col=7&amp;number=0&amp;sourceID=14","0")</f>
        <v>0</v>
      </c>
    </row>
    <row r="1569" spans="1:7">
      <c r="A1569" s="3">
        <v>14</v>
      </c>
      <c r="B1569" s="3">
        <v>4</v>
      </c>
      <c r="C1569" s="3">
        <v>51</v>
      </c>
      <c r="D1569" s="3">
        <v>26</v>
      </c>
      <c r="E1569" s="3">
        <v>-200.016</v>
      </c>
      <c r="F1569" s="4" t="str">
        <f>HYPERLINK("http://141.218.60.56/~jnz1568/getInfo.php?workbook=14_04.xlsx&amp;sheet=A0&amp;row=1569&amp;col=6&amp;number=424500&amp;sourceID=14","424500")</f>
        <v>424500</v>
      </c>
      <c r="G1569" s="4" t="str">
        <f>HYPERLINK("http://141.218.60.56/~jnz1568/getInfo.php?workbook=14_04.xlsx&amp;sheet=A0&amp;row=1569&amp;col=7&amp;number=0&amp;sourceID=14","0")</f>
        <v>0</v>
      </c>
    </row>
    <row r="1570" spans="1:7">
      <c r="A1570" s="3">
        <v>14</v>
      </c>
      <c r="B1570" s="3">
        <v>4</v>
      </c>
      <c r="C1570" s="3">
        <v>52</v>
      </c>
      <c r="D1570" s="3">
        <v>26</v>
      </c>
      <c r="E1570" s="3">
        <v>-198.886</v>
      </c>
      <c r="F1570" s="4" t="str">
        <f>HYPERLINK("http://141.218.60.56/~jnz1568/getInfo.php?workbook=14_04.xlsx&amp;sheet=A0&amp;row=1570&amp;col=6&amp;number=3735000&amp;sourceID=14","3735000")</f>
        <v>3735000</v>
      </c>
      <c r="G1570" s="4" t="str">
        <f>HYPERLINK("http://141.218.60.56/~jnz1568/getInfo.php?workbook=14_04.xlsx&amp;sheet=A0&amp;row=1570&amp;col=7&amp;number=0&amp;sourceID=14","0")</f>
        <v>0</v>
      </c>
    </row>
    <row r="1571" spans="1:7">
      <c r="A1571" s="3">
        <v>14</v>
      </c>
      <c r="B1571" s="3">
        <v>4</v>
      </c>
      <c r="C1571" s="3">
        <v>53</v>
      </c>
      <c r="D1571" s="3">
        <v>26</v>
      </c>
      <c r="E1571" s="3">
        <v>-193.474</v>
      </c>
      <c r="F1571" s="4" t="str">
        <f>HYPERLINK("http://141.218.60.56/~jnz1568/getInfo.php?workbook=14_04.xlsx&amp;sheet=A0&amp;row=1571&amp;col=6&amp;number=2192&amp;sourceID=14","2192")</f>
        <v>2192</v>
      </c>
      <c r="G1571" s="4" t="str">
        <f>HYPERLINK("http://141.218.60.56/~jnz1568/getInfo.php?workbook=14_04.xlsx&amp;sheet=A0&amp;row=1571&amp;col=7&amp;number=0&amp;sourceID=14","0")</f>
        <v>0</v>
      </c>
    </row>
    <row r="1572" spans="1:7">
      <c r="A1572" s="3">
        <v>14</v>
      </c>
      <c r="B1572" s="3">
        <v>4</v>
      </c>
      <c r="C1572" s="3">
        <v>54</v>
      </c>
      <c r="D1572" s="3">
        <v>26</v>
      </c>
      <c r="E1572" s="3">
        <v>-193.434</v>
      </c>
      <c r="F1572" s="4" t="str">
        <f>HYPERLINK("http://141.218.60.56/~jnz1568/getInfo.php?workbook=14_04.xlsx&amp;sheet=A0&amp;row=1572&amp;col=6&amp;number=475.3&amp;sourceID=14","475.3")</f>
        <v>475.3</v>
      </c>
      <c r="G1572" s="4" t="str">
        <f>HYPERLINK("http://141.218.60.56/~jnz1568/getInfo.php?workbook=14_04.xlsx&amp;sheet=A0&amp;row=1572&amp;col=7&amp;number=0&amp;sourceID=14","0")</f>
        <v>0</v>
      </c>
    </row>
    <row r="1573" spans="1:7">
      <c r="A1573" s="3">
        <v>14</v>
      </c>
      <c r="B1573" s="3">
        <v>4</v>
      </c>
      <c r="C1573" s="3">
        <v>55</v>
      </c>
      <c r="D1573" s="3">
        <v>26</v>
      </c>
      <c r="E1573" s="3">
        <v>-193.372</v>
      </c>
      <c r="F1573" s="4" t="str">
        <f>HYPERLINK("http://141.218.60.56/~jnz1568/getInfo.php?workbook=14_04.xlsx&amp;sheet=A0&amp;row=1573&amp;col=6&amp;number=576.1&amp;sourceID=14","576.1")</f>
        <v>576.1</v>
      </c>
      <c r="G1573" s="4" t="str">
        <f>HYPERLINK("http://141.218.60.56/~jnz1568/getInfo.php?workbook=14_04.xlsx&amp;sheet=A0&amp;row=1573&amp;col=7&amp;number=0&amp;sourceID=14","0")</f>
        <v>0</v>
      </c>
    </row>
    <row r="1574" spans="1:7">
      <c r="A1574" s="3">
        <v>14</v>
      </c>
      <c r="B1574" s="3">
        <v>4</v>
      </c>
      <c r="C1574" s="3">
        <v>56</v>
      </c>
      <c r="D1574" s="3">
        <v>26</v>
      </c>
      <c r="E1574" s="3">
        <v>-189.527</v>
      </c>
      <c r="F1574" s="4" t="str">
        <f>HYPERLINK("http://141.218.60.56/~jnz1568/getInfo.php?workbook=14_04.xlsx&amp;sheet=A0&amp;row=1574&amp;col=6&amp;number=164.5&amp;sourceID=14","164.5")</f>
        <v>164.5</v>
      </c>
      <c r="G1574" s="4" t="str">
        <f>HYPERLINK("http://141.218.60.56/~jnz1568/getInfo.php?workbook=14_04.xlsx&amp;sheet=A0&amp;row=1574&amp;col=7&amp;number=0&amp;sourceID=14","0")</f>
        <v>0</v>
      </c>
    </row>
    <row r="1575" spans="1:7">
      <c r="A1575" s="3">
        <v>14</v>
      </c>
      <c r="B1575" s="3">
        <v>4</v>
      </c>
      <c r="C1575" s="3">
        <v>57</v>
      </c>
      <c r="D1575" s="3">
        <v>26</v>
      </c>
      <c r="E1575" s="3">
        <v>-149.619</v>
      </c>
      <c r="F1575" s="4" t="str">
        <f>HYPERLINK("http://141.218.60.56/~jnz1568/getInfo.php?workbook=14_04.xlsx&amp;sheet=A0&amp;row=1575&amp;col=6&amp;number=21580000000&amp;sourceID=14","21580000000")</f>
        <v>21580000000</v>
      </c>
      <c r="G1575" s="4" t="str">
        <f>HYPERLINK("http://141.218.60.56/~jnz1568/getInfo.php?workbook=14_04.xlsx&amp;sheet=A0&amp;row=1575&amp;col=7&amp;number=0&amp;sourceID=14","0")</f>
        <v>0</v>
      </c>
    </row>
    <row r="1576" spans="1:7">
      <c r="A1576" s="3">
        <v>14</v>
      </c>
      <c r="B1576" s="3">
        <v>4</v>
      </c>
      <c r="C1576" s="3">
        <v>58</v>
      </c>
      <c r="D1576" s="3">
        <v>26</v>
      </c>
      <c r="E1576" s="3">
        <v>-149.294</v>
      </c>
      <c r="F1576" s="4" t="str">
        <f>HYPERLINK("http://141.218.60.56/~jnz1568/getInfo.php?workbook=14_04.xlsx&amp;sheet=A0&amp;row=1576&amp;col=6&amp;number=1925000000&amp;sourceID=14","1925000000")</f>
        <v>1925000000</v>
      </c>
      <c r="G1576" s="4" t="str">
        <f>HYPERLINK("http://141.218.60.56/~jnz1568/getInfo.php?workbook=14_04.xlsx&amp;sheet=A0&amp;row=1576&amp;col=7&amp;number=0&amp;sourceID=14","0")</f>
        <v>0</v>
      </c>
    </row>
    <row r="1577" spans="1:7">
      <c r="A1577" s="3">
        <v>14</v>
      </c>
      <c r="B1577" s="3">
        <v>4</v>
      </c>
      <c r="C1577" s="3">
        <v>59</v>
      </c>
      <c r="D1577" s="3">
        <v>26</v>
      </c>
      <c r="E1577" s="3">
        <v>-147.831</v>
      </c>
      <c r="F1577" s="4" t="str">
        <f>HYPERLINK("http://141.218.60.56/~jnz1568/getInfo.php?workbook=14_04.xlsx&amp;sheet=A0&amp;row=1577&amp;col=6&amp;number=99270000&amp;sourceID=14","99270000")</f>
        <v>99270000</v>
      </c>
      <c r="G1577" s="4" t="str">
        <f>HYPERLINK("http://141.218.60.56/~jnz1568/getInfo.php?workbook=14_04.xlsx&amp;sheet=A0&amp;row=1577&amp;col=7&amp;number=0&amp;sourceID=14","0")</f>
        <v>0</v>
      </c>
    </row>
    <row r="1578" spans="1:7">
      <c r="A1578" s="3">
        <v>14</v>
      </c>
      <c r="B1578" s="3">
        <v>4</v>
      </c>
      <c r="C1578" s="3">
        <v>60</v>
      </c>
      <c r="D1578" s="3">
        <v>26</v>
      </c>
      <c r="E1578" s="3">
        <v>-146.481</v>
      </c>
      <c r="F1578" s="4" t="str">
        <f>HYPERLINK("http://141.218.60.56/~jnz1568/getInfo.php?workbook=14_04.xlsx&amp;sheet=A0&amp;row=1578&amp;col=6&amp;number=3009000000&amp;sourceID=14","3009000000")</f>
        <v>3009000000</v>
      </c>
      <c r="G1578" s="4" t="str">
        <f>HYPERLINK("http://141.218.60.56/~jnz1568/getInfo.php?workbook=14_04.xlsx&amp;sheet=A0&amp;row=1578&amp;col=7&amp;number=0&amp;sourceID=14","0")</f>
        <v>0</v>
      </c>
    </row>
    <row r="1579" spans="1:7">
      <c r="A1579" s="3">
        <v>14</v>
      </c>
      <c r="B1579" s="3">
        <v>4</v>
      </c>
      <c r="C1579" s="3">
        <v>61</v>
      </c>
      <c r="D1579" s="3">
        <v>26</v>
      </c>
      <c r="E1579" s="3">
        <v>-143.964</v>
      </c>
      <c r="F1579" s="4" t="str">
        <f>HYPERLINK("http://141.218.60.56/~jnz1568/getInfo.php?workbook=14_04.xlsx&amp;sheet=A0&amp;row=1579&amp;col=6&amp;number=957400&amp;sourceID=14","957400")</f>
        <v>957400</v>
      </c>
      <c r="G1579" s="4" t="str">
        <f>HYPERLINK("http://141.218.60.56/~jnz1568/getInfo.php?workbook=14_04.xlsx&amp;sheet=A0&amp;row=1579&amp;col=7&amp;number=0&amp;sourceID=14","0")</f>
        <v>0</v>
      </c>
    </row>
    <row r="1580" spans="1:7">
      <c r="A1580" s="3">
        <v>14</v>
      </c>
      <c r="B1580" s="3">
        <v>4</v>
      </c>
      <c r="C1580" s="3">
        <v>62</v>
      </c>
      <c r="D1580" s="3">
        <v>26</v>
      </c>
      <c r="E1580" s="3">
        <v>-144.877</v>
      </c>
      <c r="F1580" s="4" t="str">
        <f>HYPERLINK("http://141.218.60.56/~jnz1568/getInfo.php?workbook=14_04.xlsx&amp;sheet=A0&amp;row=1580&amp;col=6&amp;number=545100&amp;sourceID=14","545100")</f>
        <v>545100</v>
      </c>
      <c r="G1580" s="4" t="str">
        <f>HYPERLINK("http://141.218.60.56/~jnz1568/getInfo.php?workbook=14_04.xlsx&amp;sheet=A0&amp;row=1580&amp;col=7&amp;number=0&amp;sourceID=14","0")</f>
        <v>0</v>
      </c>
    </row>
    <row r="1581" spans="1:7">
      <c r="A1581" s="3">
        <v>14</v>
      </c>
      <c r="B1581" s="3">
        <v>4</v>
      </c>
      <c r="C1581" s="3">
        <v>63</v>
      </c>
      <c r="D1581" s="3">
        <v>26</v>
      </c>
      <c r="E1581" s="3">
        <v>-143.912</v>
      </c>
      <c r="F1581" s="4" t="str">
        <f>HYPERLINK("http://141.218.60.56/~jnz1568/getInfo.php?workbook=14_04.xlsx&amp;sheet=A0&amp;row=1581&amp;col=6&amp;number=413600&amp;sourceID=14","413600")</f>
        <v>413600</v>
      </c>
      <c r="G1581" s="4" t="str">
        <f>HYPERLINK("http://141.218.60.56/~jnz1568/getInfo.php?workbook=14_04.xlsx&amp;sheet=A0&amp;row=1581&amp;col=7&amp;number=0&amp;sourceID=14","0")</f>
        <v>0</v>
      </c>
    </row>
    <row r="1582" spans="1:7">
      <c r="A1582" s="3">
        <v>14</v>
      </c>
      <c r="B1582" s="3">
        <v>4</v>
      </c>
      <c r="C1582" s="3">
        <v>64</v>
      </c>
      <c r="D1582" s="3">
        <v>26</v>
      </c>
      <c r="E1582" s="3">
        <v>-142.796</v>
      </c>
      <c r="F1582" s="4" t="str">
        <f>HYPERLINK("http://141.218.60.56/~jnz1568/getInfo.php?workbook=14_04.xlsx&amp;sheet=A0&amp;row=1582&amp;col=6&amp;number=51130&amp;sourceID=14","51130")</f>
        <v>51130</v>
      </c>
      <c r="G1582" s="4" t="str">
        <f>HYPERLINK("http://141.218.60.56/~jnz1568/getInfo.php?workbook=14_04.xlsx&amp;sheet=A0&amp;row=1582&amp;col=7&amp;number=0&amp;sourceID=14","0")</f>
        <v>0</v>
      </c>
    </row>
    <row r="1583" spans="1:7">
      <c r="A1583" s="3">
        <v>14</v>
      </c>
      <c r="B1583" s="3">
        <v>4</v>
      </c>
      <c r="C1583" s="3">
        <v>65</v>
      </c>
      <c r="D1583" s="3">
        <v>26</v>
      </c>
      <c r="E1583" s="3">
        <v>-142.435</v>
      </c>
      <c r="F1583" s="4" t="str">
        <f>HYPERLINK("http://141.218.60.56/~jnz1568/getInfo.php?workbook=14_04.xlsx&amp;sheet=A0&amp;row=1583&amp;col=6&amp;number=1720000&amp;sourceID=14","1720000")</f>
        <v>1720000</v>
      </c>
      <c r="G1583" s="4" t="str">
        <f>HYPERLINK("http://141.218.60.56/~jnz1568/getInfo.php?workbook=14_04.xlsx&amp;sheet=A0&amp;row=1583&amp;col=7&amp;number=0&amp;sourceID=14","0")</f>
        <v>0</v>
      </c>
    </row>
    <row r="1584" spans="1:7">
      <c r="A1584" s="3">
        <v>14</v>
      </c>
      <c r="B1584" s="3">
        <v>4</v>
      </c>
      <c r="C1584" s="3">
        <v>66</v>
      </c>
      <c r="D1584" s="3">
        <v>26</v>
      </c>
      <c r="E1584" s="3">
        <v>-142.466</v>
      </c>
      <c r="F1584" s="4" t="str">
        <f>HYPERLINK("http://141.218.60.56/~jnz1568/getInfo.php?workbook=14_04.xlsx&amp;sheet=A0&amp;row=1584&amp;col=6&amp;number=5.148&amp;sourceID=14","5.148")</f>
        <v>5.148</v>
      </c>
      <c r="G1584" s="4" t="str">
        <f>HYPERLINK("http://141.218.60.56/~jnz1568/getInfo.php?workbook=14_04.xlsx&amp;sheet=A0&amp;row=1584&amp;col=7&amp;number=0&amp;sourceID=14","0")</f>
        <v>0</v>
      </c>
    </row>
    <row r="1585" spans="1:7">
      <c r="A1585" s="3">
        <v>14</v>
      </c>
      <c r="B1585" s="3">
        <v>4</v>
      </c>
      <c r="C1585" s="3">
        <v>67</v>
      </c>
      <c r="D1585" s="3">
        <v>26</v>
      </c>
      <c r="E1585" s="3">
        <v>-141.554</v>
      </c>
      <c r="F1585" s="4" t="str">
        <f>HYPERLINK("http://141.218.60.56/~jnz1568/getInfo.php?workbook=14_04.xlsx&amp;sheet=A0&amp;row=1585&amp;col=6&amp;number=136600&amp;sourceID=14","136600")</f>
        <v>136600</v>
      </c>
      <c r="G1585" s="4" t="str">
        <f>HYPERLINK("http://141.218.60.56/~jnz1568/getInfo.php?workbook=14_04.xlsx&amp;sheet=A0&amp;row=1585&amp;col=7&amp;number=0&amp;sourceID=14","0")</f>
        <v>0</v>
      </c>
    </row>
    <row r="1586" spans="1:7">
      <c r="A1586" s="3">
        <v>14</v>
      </c>
      <c r="B1586" s="3">
        <v>4</v>
      </c>
      <c r="C1586" s="3">
        <v>68</v>
      </c>
      <c r="D1586" s="3">
        <v>26</v>
      </c>
      <c r="E1586" s="3">
        <v>-141.395</v>
      </c>
      <c r="F1586" s="4" t="str">
        <f>HYPERLINK("http://141.218.60.56/~jnz1568/getInfo.php?workbook=14_04.xlsx&amp;sheet=A0&amp;row=1586&amp;col=6&amp;number=51010&amp;sourceID=14","51010")</f>
        <v>51010</v>
      </c>
      <c r="G1586" s="4" t="str">
        <f>HYPERLINK("http://141.218.60.56/~jnz1568/getInfo.php?workbook=14_04.xlsx&amp;sheet=A0&amp;row=1586&amp;col=7&amp;number=0&amp;sourceID=14","0")</f>
        <v>0</v>
      </c>
    </row>
    <row r="1587" spans="1:7">
      <c r="A1587" s="3">
        <v>14</v>
      </c>
      <c r="B1587" s="3">
        <v>4</v>
      </c>
      <c r="C1587" s="3">
        <v>69</v>
      </c>
      <c r="D1587" s="3">
        <v>26</v>
      </c>
      <c r="E1587" s="3">
        <v>-141.233</v>
      </c>
      <c r="F1587" s="4" t="str">
        <f>HYPERLINK("http://141.218.60.56/~jnz1568/getInfo.php?workbook=14_04.xlsx&amp;sheet=A0&amp;row=1587&amp;col=6&amp;number=36430000000&amp;sourceID=14","36430000000")</f>
        <v>36430000000</v>
      </c>
      <c r="G1587" s="4" t="str">
        <f>HYPERLINK("http://141.218.60.56/~jnz1568/getInfo.php?workbook=14_04.xlsx&amp;sheet=A0&amp;row=1587&amp;col=7&amp;number=0&amp;sourceID=14","0")</f>
        <v>0</v>
      </c>
    </row>
    <row r="1588" spans="1:7">
      <c r="A1588" s="3">
        <v>14</v>
      </c>
      <c r="B1588" s="3">
        <v>4</v>
      </c>
      <c r="C1588" s="3">
        <v>71</v>
      </c>
      <c r="D1588" s="3">
        <v>26</v>
      </c>
      <c r="E1588" s="3">
        <v>-140.273</v>
      </c>
      <c r="F1588" s="4" t="str">
        <f>HYPERLINK("http://141.218.60.56/~jnz1568/getInfo.php?workbook=14_04.xlsx&amp;sheet=A0&amp;row=1588&amp;col=6&amp;number=52140000000&amp;sourceID=14","52140000000")</f>
        <v>52140000000</v>
      </c>
      <c r="G1588" s="4" t="str">
        <f>HYPERLINK("http://141.218.60.56/~jnz1568/getInfo.php?workbook=14_04.xlsx&amp;sheet=A0&amp;row=1588&amp;col=7&amp;number=0&amp;sourceID=14","0")</f>
        <v>0</v>
      </c>
    </row>
    <row r="1589" spans="1:7">
      <c r="A1589" s="3">
        <v>14</v>
      </c>
      <c r="B1589" s="3">
        <v>4</v>
      </c>
      <c r="C1589" s="3">
        <v>72</v>
      </c>
      <c r="D1589" s="3">
        <v>26</v>
      </c>
      <c r="E1589" s="3">
        <v>-139.846</v>
      </c>
      <c r="F1589" s="4" t="str">
        <f>HYPERLINK("http://141.218.60.56/~jnz1568/getInfo.php?workbook=14_04.xlsx&amp;sheet=A0&amp;row=1589&amp;col=6&amp;number=494000&amp;sourceID=14","494000")</f>
        <v>494000</v>
      </c>
      <c r="G1589" s="4" t="str">
        <f>HYPERLINK("http://141.218.60.56/~jnz1568/getInfo.php?workbook=14_04.xlsx&amp;sheet=A0&amp;row=1589&amp;col=7&amp;number=0&amp;sourceID=14","0")</f>
        <v>0</v>
      </c>
    </row>
    <row r="1590" spans="1:7">
      <c r="A1590" s="3">
        <v>14</v>
      </c>
      <c r="B1590" s="3">
        <v>4</v>
      </c>
      <c r="C1590" s="3">
        <v>74</v>
      </c>
      <c r="D1590" s="3">
        <v>26</v>
      </c>
      <c r="E1590" s="3">
        <v>-139.295</v>
      </c>
      <c r="F1590" s="4" t="str">
        <f>HYPERLINK("http://141.218.60.56/~jnz1568/getInfo.php?workbook=14_04.xlsx&amp;sheet=A0&amp;row=1590&amp;col=6&amp;number=9790000000&amp;sourceID=14","9790000000")</f>
        <v>9790000000</v>
      </c>
      <c r="G1590" s="4" t="str">
        <f>HYPERLINK("http://141.218.60.56/~jnz1568/getInfo.php?workbook=14_04.xlsx&amp;sheet=A0&amp;row=1590&amp;col=7&amp;number=0&amp;sourceID=14","0")</f>
        <v>0</v>
      </c>
    </row>
    <row r="1591" spans="1:7">
      <c r="A1591" s="3">
        <v>14</v>
      </c>
      <c r="B1591" s="3">
        <v>4</v>
      </c>
      <c r="C1591" s="3">
        <v>75</v>
      </c>
      <c r="D1591" s="3">
        <v>26</v>
      </c>
      <c r="E1591" s="3">
        <v>-138.924</v>
      </c>
      <c r="F1591" s="4" t="str">
        <f>HYPERLINK("http://141.218.60.56/~jnz1568/getInfo.php?workbook=14_04.xlsx&amp;sheet=A0&amp;row=1591&amp;col=6&amp;number=2129000000&amp;sourceID=14","2129000000")</f>
        <v>2129000000</v>
      </c>
      <c r="G1591" s="4" t="str">
        <f>HYPERLINK("http://141.218.60.56/~jnz1568/getInfo.php?workbook=14_04.xlsx&amp;sheet=A0&amp;row=1591&amp;col=7&amp;number=0&amp;sourceID=14","0")</f>
        <v>0</v>
      </c>
    </row>
    <row r="1592" spans="1:7">
      <c r="A1592" s="3">
        <v>14</v>
      </c>
      <c r="B1592" s="3">
        <v>4</v>
      </c>
      <c r="C1592" s="3">
        <v>77</v>
      </c>
      <c r="D1592" s="3">
        <v>26</v>
      </c>
      <c r="E1592" s="3">
        <v>-137.939</v>
      </c>
      <c r="F1592" s="4" t="str">
        <f>HYPERLINK("http://141.218.60.56/~jnz1568/getInfo.php?workbook=14_04.xlsx&amp;sheet=A0&amp;row=1592&amp;col=6&amp;number=284400000&amp;sourceID=14","284400000")</f>
        <v>284400000</v>
      </c>
      <c r="G1592" s="4" t="str">
        <f>HYPERLINK("http://141.218.60.56/~jnz1568/getInfo.php?workbook=14_04.xlsx&amp;sheet=A0&amp;row=1592&amp;col=7&amp;number=0&amp;sourceID=14","0")</f>
        <v>0</v>
      </c>
    </row>
    <row r="1593" spans="1:7">
      <c r="A1593" s="3">
        <v>14</v>
      </c>
      <c r="B1593" s="3">
        <v>4</v>
      </c>
      <c r="C1593" s="3">
        <v>78</v>
      </c>
      <c r="D1593" s="3">
        <v>26</v>
      </c>
      <c r="E1593" s="3">
        <v>-137.792</v>
      </c>
      <c r="F1593" s="4" t="str">
        <f>HYPERLINK("http://141.218.60.56/~jnz1568/getInfo.php?workbook=14_04.xlsx&amp;sheet=A0&amp;row=1593&amp;col=6&amp;number=920300000&amp;sourceID=14","920300000")</f>
        <v>920300000</v>
      </c>
      <c r="G1593" s="4" t="str">
        <f>HYPERLINK("http://141.218.60.56/~jnz1568/getInfo.php?workbook=14_04.xlsx&amp;sheet=A0&amp;row=1593&amp;col=7&amp;number=0&amp;sourceID=14","0")</f>
        <v>0</v>
      </c>
    </row>
    <row r="1594" spans="1:7">
      <c r="A1594" s="3">
        <v>14</v>
      </c>
      <c r="B1594" s="3">
        <v>4</v>
      </c>
      <c r="C1594" s="3">
        <v>79</v>
      </c>
      <c r="D1594" s="3">
        <v>26</v>
      </c>
      <c r="E1594" s="3">
        <v>-137.709</v>
      </c>
      <c r="F1594" s="4" t="str">
        <f>HYPERLINK("http://141.218.60.56/~jnz1568/getInfo.php?workbook=14_04.xlsx&amp;sheet=A0&amp;row=1594&amp;col=6&amp;number=2584000000&amp;sourceID=14","2584000000")</f>
        <v>2584000000</v>
      </c>
      <c r="G1594" s="4" t="str">
        <f>HYPERLINK("http://141.218.60.56/~jnz1568/getInfo.php?workbook=14_04.xlsx&amp;sheet=A0&amp;row=1594&amp;col=7&amp;number=0&amp;sourceID=14","0")</f>
        <v>0</v>
      </c>
    </row>
    <row r="1595" spans="1:7">
      <c r="A1595" s="3">
        <v>14</v>
      </c>
      <c r="B1595" s="3">
        <v>4</v>
      </c>
      <c r="C1595" s="3">
        <v>80</v>
      </c>
      <c r="D1595" s="3">
        <v>26</v>
      </c>
      <c r="E1595" s="3">
        <v>-137.256</v>
      </c>
      <c r="F1595" s="4" t="str">
        <f>HYPERLINK("http://141.218.60.56/~jnz1568/getInfo.php?workbook=14_04.xlsx&amp;sheet=A0&amp;row=1595&amp;col=6&amp;number=0.000907&amp;sourceID=14","0.000907")</f>
        <v>0.000907</v>
      </c>
      <c r="G1595" s="4" t="str">
        <f>HYPERLINK("http://141.218.60.56/~jnz1568/getInfo.php?workbook=14_04.xlsx&amp;sheet=A0&amp;row=1595&amp;col=7&amp;number=0&amp;sourceID=14","0")</f>
        <v>0</v>
      </c>
    </row>
    <row r="1596" spans="1:7">
      <c r="A1596" s="3">
        <v>14</v>
      </c>
      <c r="B1596" s="3">
        <v>4</v>
      </c>
      <c r="C1596" s="3">
        <v>82</v>
      </c>
      <c r="D1596" s="3">
        <v>26</v>
      </c>
      <c r="E1596" s="3">
        <v>-135.499</v>
      </c>
      <c r="F1596" s="4" t="str">
        <f>HYPERLINK("http://141.218.60.56/~jnz1568/getInfo.php?workbook=14_04.xlsx&amp;sheet=A0&amp;row=1596&amp;col=6&amp;number=8383000000&amp;sourceID=14","8383000000")</f>
        <v>8383000000</v>
      </c>
      <c r="G1596" s="4" t="str">
        <f>HYPERLINK("http://141.218.60.56/~jnz1568/getInfo.php?workbook=14_04.xlsx&amp;sheet=A0&amp;row=1596&amp;col=7&amp;number=0&amp;sourceID=14","0")</f>
        <v>0</v>
      </c>
    </row>
    <row r="1597" spans="1:7">
      <c r="A1597" s="3">
        <v>14</v>
      </c>
      <c r="B1597" s="3">
        <v>4</v>
      </c>
      <c r="C1597" s="3">
        <v>83</v>
      </c>
      <c r="D1597" s="3">
        <v>26</v>
      </c>
      <c r="E1597" s="3">
        <v>-125.167</v>
      </c>
      <c r="F1597" s="4" t="str">
        <f>HYPERLINK("http://141.218.60.56/~jnz1568/getInfo.php?workbook=14_04.xlsx&amp;sheet=A0&amp;row=1597&amp;col=6&amp;number=237.1&amp;sourceID=14","237.1")</f>
        <v>237.1</v>
      </c>
      <c r="G1597" s="4" t="str">
        <f>HYPERLINK("http://141.218.60.56/~jnz1568/getInfo.php?workbook=14_04.xlsx&amp;sheet=A0&amp;row=1597&amp;col=7&amp;number=0&amp;sourceID=14","0")</f>
        <v>0</v>
      </c>
    </row>
    <row r="1598" spans="1:7">
      <c r="A1598" s="3">
        <v>14</v>
      </c>
      <c r="B1598" s="3">
        <v>4</v>
      </c>
      <c r="C1598" s="3">
        <v>84</v>
      </c>
      <c r="D1598" s="3">
        <v>26</v>
      </c>
      <c r="E1598" s="3">
        <v>-124.051</v>
      </c>
      <c r="F1598" s="4" t="str">
        <f>HYPERLINK("http://141.218.60.56/~jnz1568/getInfo.php?workbook=14_04.xlsx&amp;sheet=A0&amp;row=1598&amp;col=6&amp;number=0.00736&amp;sourceID=14","0.00736")</f>
        <v>0.00736</v>
      </c>
      <c r="G1598" s="4" t="str">
        <f>HYPERLINK("http://141.218.60.56/~jnz1568/getInfo.php?workbook=14_04.xlsx&amp;sheet=A0&amp;row=1598&amp;col=7&amp;number=0&amp;sourceID=14","0")</f>
        <v>0</v>
      </c>
    </row>
    <row r="1599" spans="1:7">
      <c r="A1599" s="3">
        <v>14</v>
      </c>
      <c r="B1599" s="3">
        <v>4</v>
      </c>
      <c r="C1599" s="3">
        <v>85</v>
      </c>
      <c r="D1599" s="3">
        <v>26</v>
      </c>
      <c r="E1599" s="3">
        <v>-122.933</v>
      </c>
      <c r="F1599" s="4" t="str">
        <f>HYPERLINK("http://141.218.60.56/~jnz1568/getInfo.php?workbook=14_04.xlsx&amp;sheet=A0&amp;row=1599&amp;col=6&amp;number=476900&amp;sourceID=14","476900")</f>
        <v>476900</v>
      </c>
      <c r="G1599" s="4" t="str">
        <f>HYPERLINK("http://141.218.60.56/~jnz1568/getInfo.php?workbook=14_04.xlsx&amp;sheet=A0&amp;row=1599&amp;col=7&amp;number=0&amp;sourceID=14","0")</f>
        <v>0</v>
      </c>
    </row>
    <row r="1600" spans="1:7">
      <c r="A1600" s="3">
        <v>14</v>
      </c>
      <c r="B1600" s="3">
        <v>4</v>
      </c>
      <c r="C1600" s="3">
        <v>86</v>
      </c>
      <c r="D1600" s="3">
        <v>26</v>
      </c>
      <c r="E1600" s="3">
        <v>-122.914</v>
      </c>
      <c r="F1600" s="4" t="str">
        <f>HYPERLINK("http://141.218.60.56/~jnz1568/getInfo.php?workbook=14_04.xlsx&amp;sheet=A0&amp;row=1600&amp;col=6&amp;number=5757000&amp;sourceID=14","5757000")</f>
        <v>5757000</v>
      </c>
      <c r="G1600" s="4" t="str">
        <f>HYPERLINK("http://141.218.60.56/~jnz1568/getInfo.php?workbook=14_04.xlsx&amp;sheet=A0&amp;row=1600&amp;col=7&amp;number=0&amp;sourceID=14","0")</f>
        <v>0</v>
      </c>
    </row>
    <row r="1601" spans="1:7">
      <c r="A1601" s="3">
        <v>14</v>
      </c>
      <c r="B1601" s="3">
        <v>4</v>
      </c>
      <c r="C1601" s="3">
        <v>87</v>
      </c>
      <c r="D1601" s="3">
        <v>26</v>
      </c>
      <c r="E1601" s="3">
        <v>-122.871</v>
      </c>
      <c r="F1601" s="4" t="str">
        <f>HYPERLINK("http://141.218.60.56/~jnz1568/getInfo.php?workbook=14_04.xlsx&amp;sheet=A0&amp;row=1601&amp;col=6&amp;number=3684000&amp;sourceID=14","3684000")</f>
        <v>3684000</v>
      </c>
      <c r="G1601" s="4" t="str">
        <f>HYPERLINK("http://141.218.60.56/~jnz1568/getInfo.php?workbook=14_04.xlsx&amp;sheet=A0&amp;row=1601&amp;col=7&amp;number=0&amp;sourceID=14","0")</f>
        <v>0</v>
      </c>
    </row>
    <row r="1602" spans="1:7">
      <c r="A1602" s="3">
        <v>14</v>
      </c>
      <c r="B1602" s="3">
        <v>4</v>
      </c>
      <c r="C1602" s="3">
        <v>88</v>
      </c>
      <c r="D1602" s="3">
        <v>26</v>
      </c>
      <c r="E1602" s="3">
        <v>-122.485</v>
      </c>
      <c r="F1602" s="4" t="str">
        <f>HYPERLINK("http://141.218.60.56/~jnz1568/getInfo.php?workbook=14_04.xlsx&amp;sheet=A0&amp;row=1602&amp;col=6&amp;number=6974000&amp;sourceID=14","6974000")</f>
        <v>6974000</v>
      </c>
      <c r="G1602" s="4" t="str">
        <f>HYPERLINK("http://141.218.60.56/~jnz1568/getInfo.php?workbook=14_04.xlsx&amp;sheet=A0&amp;row=1602&amp;col=7&amp;number=0&amp;sourceID=14","0")</f>
        <v>0</v>
      </c>
    </row>
    <row r="1603" spans="1:7">
      <c r="A1603" s="3">
        <v>14</v>
      </c>
      <c r="B1603" s="3">
        <v>4</v>
      </c>
      <c r="C1603" s="3">
        <v>89</v>
      </c>
      <c r="D1603" s="3">
        <v>26</v>
      </c>
      <c r="E1603" s="3">
        <v>-121.65</v>
      </c>
      <c r="F1603" s="4" t="str">
        <f>HYPERLINK("http://141.218.60.56/~jnz1568/getInfo.php?workbook=14_04.xlsx&amp;sheet=A0&amp;row=1603&amp;col=6&amp;number=277&amp;sourceID=14","277")</f>
        <v>277</v>
      </c>
      <c r="G1603" s="4" t="str">
        <f>HYPERLINK("http://141.218.60.56/~jnz1568/getInfo.php?workbook=14_04.xlsx&amp;sheet=A0&amp;row=1603&amp;col=7&amp;number=0&amp;sourceID=14","0")</f>
        <v>0</v>
      </c>
    </row>
    <row r="1604" spans="1:7">
      <c r="A1604" s="3">
        <v>14</v>
      </c>
      <c r="B1604" s="3">
        <v>4</v>
      </c>
      <c r="C1604" s="3">
        <v>90</v>
      </c>
      <c r="D1604" s="3">
        <v>26</v>
      </c>
      <c r="E1604" s="3">
        <v>-121.642</v>
      </c>
      <c r="F1604" s="4" t="str">
        <f>HYPERLINK("http://141.218.60.56/~jnz1568/getInfo.php?workbook=14_04.xlsx&amp;sheet=A0&amp;row=1604&amp;col=6&amp;number=107.6&amp;sourceID=14","107.6")</f>
        <v>107.6</v>
      </c>
      <c r="G1604" s="4" t="str">
        <f>HYPERLINK("http://141.218.60.56/~jnz1568/getInfo.php?workbook=14_04.xlsx&amp;sheet=A0&amp;row=1604&amp;col=7&amp;number=0&amp;sourceID=14","0")</f>
        <v>0</v>
      </c>
    </row>
    <row r="1605" spans="1:7">
      <c r="A1605" s="3">
        <v>14</v>
      </c>
      <c r="B1605" s="3">
        <v>4</v>
      </c>
      <c r="C1605" s="3">
        <v>91</v>
      </c>
      <c r="D1605" s="3">
        <v>26</v>
      </c>
      <c r="E1605" s="3">
        <v>-121.63</v>
      </c>
      <c r="F1605" s="4" t="str">
        <f>HYPERLINK("http://141.218.60.56/~jnz1568/getInfo.php?workbook=14_04.xlsx&amp;sheet=A0&amp;row=1605&amp;col=6&amp;number=269.5&amp;sourceID=14","269.5")</f>
        <v>269.5</v>
      </c>
      <c r="G1605" s="4" t="str">
        <f>HYPERLINK("http://141.218.60.56/~jnz1568/getInfo.php?workbook=14_04.xlsx&amp;sheet=A0&amp;row=1605&amp;col=7&amp;number=0&amp;sourceID=14","0")</f>
        <v>0</v>
      </c>
    </row>
    <row r="1606" spans="1:7">
      <c r="A1606" s="3">
        <v>14</v>
      </c>
      <c r="B1606" s="3">
        <v>4</v>
      </c>
      <c r="C1606" s="3">
        <v>92</v>
      </c>
      <c r="D1606" s="3">
        <v>26</v>
      </c>
      <c r="E1606" s="3">
        <v>-120.916</v>
      </c>
      <c r="F1606" s="4" t="str">
        <f>HYPERLINK("http://141.218.60.56/~jnz1568/getInfo.php?workbook=14_04.xlsx&amp;sheet=A0&amp;row=1606&amp;col=6&amp;number=613.2&amp;sourceID=14","613.2")</f>
        <v>613.2</v>
      </c>
      <c r="G1606" s="4" t="str">
        <f>HYPERLINK("http://141.218.60.56/~jnz1568/getInfo.php?workbook=14_04.xlsx&amp;sheet=A0&amp;row=1606&amp;col=7&amp;number=0&amp;sourceID=14","0")</f>
        <v>0</v>
      </c>
    </row>
    <row r="1607" spans="1:7">
      <c r="A1607" s="3">
        <v>14</v>
      </c>
      <c r="B1607" s="3">
        <v>4</v>
      </c>
      <c r="C1607" s="3">
        <v>28</v>
      </c>
      <c r="D1607" s="3">
        <v>27</v>
      </c>
      <c r="E1607" s="3">
        <v>33568.373</v>
      </c>
      <c r="F1607" s="4" t="str">
        <f>HYPERLINK("http://141.218.60.56/~jnz1568/getInfo.php?workbook=14_04.xlsx&amp;sheet=A0&amp;row=1607&amp;col=6&amp;number=0.4725&amp;sourceID=14","0.4725")</f>
        <v>0.4725</v>
      </c>
      <c r="G1607" s="4" t="str">
        <f>HYPERLINK("http://141.218.60.56/~jnz1568/getInfo.php?workbook=14_04.xlsx&amp;sheet=A0&amp;row=1607&amp;col=7&amp;number=0&amp;sourceID=14","0")</f>
        <v>0</v>
      </c>
    </row>
    <row r="1608" spans="1:7">
      <c r="A1608" s="3">
        <v>14</v>
      </c>
      <c r="B1608" s="3">
        <v>4</v>
      </c>
      <c r="C1608" s="3">
        <v>29</v>
      </c>
      <c r="D1608" s="3">
        <v>27</v>
      </c>
      <c r="E1608" s="3">
        <v>5505.102</v>
      </c>
      <c r="F1608" s="4" t="str">
        <f>HYPERLINK("http://141.218.60.56/~jnz1568/getInfo.php?workbook=14_04.xlsx&amp;sheet=A0&amp;row=1608&amp;col=6&amp;number=0.1759&amp;sourceID=14","0.1759")</f>
        <v>0.1759</v>
      </c>
      <c r="G1608" s="4" t="str">
        <f>HYPERLINK("http://141.218.60.56/~jnz1568/getInfo.php?workbook=14_04.xlsx&amp;sheet=A0&amp;row=1608&amp;col=7&amp;number=0&amp;sourceID=14","0")</f>
        <v>0</v>
      </c>
    </row>
    <row r="1609" spans="1:7">
      <c r="A1609" s="3">
        <v>14</v>
      </c>
      <c r="B1609" s="3">
        <v>4</v>
      </c>
      <c r="C1609" s="3">
        <v>30</v>
      </c>
      <c r="D1609" s="3">
        <v>27</v>
      </c>
      <c r="E1609" s="3">
        <v>-3919.073</v>
      </c>
      <c r="F1609" s="4" t="str">
        <f>HYPERLINK("http://141.218.60.56/~jnz1568/getInfo.php?workbook=14_04.xlsx&amp;sheet=A0&amp;row=1609&amp;col=6&amp;number=0.5405&amp;sourceID=14","0.5405")</f>
        <v>0.5405</v>
      </c>
      <c r="G1609" s="4" t="str">
        <f>HYPERLINK("http://141.218.60.56/~jnz1568/getInfo.php?workbook=14_04.xlsx&amp;sheet=A0&amp;row=1609&amp;col=7&amp;number=0&amp;sourceID=14","0")</f>
        <v>0</v>
      </c>
    </row>
    <row r="1610" spans="1:7">
      <c r="A1610" s="3">
        <v>14</v>
      </c>
      <c r="B1610" s="3">
        <v>4</v>
      </c>
      <c r="C1610" s="3">
        <v>31</v>
      </c>
      <c r="D1610" s="3">
        <v>27</v>
      </c>
      <c r="E1610" s="3">
        <v>3323.811</v>
      </c>
      <c r="F1610" s="4" t="str">
        <f>HYPERLINK("http://141.218.60.56/~jnz1568/getInfo.php?workbook=14_04.xlsx&amp;sheet=A0&amp;row=1610&amp;col=6&amp;number=0.029&amp;sourceID=14","0.029")</f>
        <v>0.029</v>
      </c>
      <c r="G1610" s="4" t="str">
        <f>HYPERLINK("http://141.218.60.56/~jnz1568/getInfo.php?workbook=14_04.xlsx&amp;sheet=A0&amp;row=1610&amp;col=7&amp;number=0&amp;sourceID=14","0")</f>
        <v>0</v>
      </c>
    </row>
    <row r="1611" spans="1:7">
      <c r="A1611" s="3">
        <v>14</v>
      </c>
      <c r="B1611" s="3">
        <v>4</v>
      </c>
      <c r="C1611" s="3">
        <v>32</v>
      </c>
      <c r="D1611" s="3">
        <v>27</v>
      </c>
      <c r="E1611" s="3">
        <v>3317.196</v>
      </c>
      <c r="F1611" s="4" t="str">
        <f>HYPERLINK("http://141.218.60.56/~jnz1568/getInfo.php?workbook=14_04.xlsx&amp;sheet=A0&amp;row=1611&amp;col=6&amp;number=1.904&amp;sourceID=14","1.904")</f>
        <v>1.904</v>
      </c>
      <c r="G1611" s="4" t="str">
        <f>HYPERLINK("http://141.218.60.56/~jnz1568/getInfo.php?workbook=14_04.xlsx&amp;sheet=A0&amp;row=1611&amp;col=7&amp;number=0&amp;sourceID=14","0")</f>
        <v>0</v>
      </c>
    </row>
    <row r="1612" spans="1:7">
      <c r="A1612" s="3">
        <v>14</v>
      </c>
      <c r="B1612" s="3">
        <v>4</v>
      </c>
      <c r="C1612" s="3">
        <v>33</v>
      </c>
      <c r="D1612" s="3">
        <v>27</v>
      </c>
      <c r="E1612" s="3">
        <v>-2825.76</v>
      </c>
      <c r="F1612" s="4" t="str">
        <f>HYPERLINK("http://141.218.60.56/~jnz1568/getInfo.php?workbook=14_04.xlsx&amp;sheet=A0&amp;row=1612&amp;col=6&amp;number=3895000&amp;sourceID=14","3895000")</f>
        <v>3895000</v>
      </c>
      <c r="G1612" s="4" t="str">
        <f>HYPERLINK("http://141.218.60.56/~jnz1568/getInfo.php?workbook=14_04.xlsx&amp;sheet=A0&amp;row=1612&amp;col=7&amp;number=0&amp;sourceID=14","0")</f>
        <v>0</v>
      </c>
    </row>
    <row r="1613" spans="1:7">
      <c r="A1613" s="3">
        <v>14</v>
      </c>
      <c r="B1613" s="3">
        <v>4</v>
      </c>
      <c r="C1613" s="3">
        <v>34</v>
      </c>
      <c r="D1613" s="3">
        <v>27</v>
      </c>
      <c r="E1613" s="3">
        <v>-2532.756</v>
      </c>
      <c r="F1613" s="4" t="str">
        <f>HYPERLINK("http://141.218.60.56/~jnz1568/getInfo.php?workbook=14_04.xlsx&amp;sheet=A0&amp;row=1613&amp;col=6&amp;number=40140000&amp;sourceID=14","40140000")</f>
        <v>40140000</v>
      </c>
      <c r="G1613" s="4" t="str">
        <f>HYPERLINK("http://141.218.60.56/~jnz1568/getInfo.php?workbook=14_04.xlsx&amp;sheet=A0&amp;row=1613&amp;col=7&amp;number=0&amp;sourceID=14","0")</f>
        <v>0</v>
      </c>
    </row>
    <row r="1614" spans="1:7">
      <c r="A1614" s="3">
        <v>14</v>
      </c>
      <c r="B1614" s="3">
        <v>4</v>
      </c>
      <c r="C1614" s="3">
        <v>35</v>
      </c>
      <c r="D1614" s="3">
        <v>27</v>
      </c>
      <c r="E1614" s="3">
        <v>2337.163</v>
      </c>
      <c r="F1614" s="4" t="str">
        <f>HYPERLINK("http://141.218.60.56/~jnz1568/getInfo.php?workbook=14_04.xlsx&amp;sheet=A0&amp;row=1614&amp;col=6&amp;number=678200&amp;sourceID=14","678200")</f>
        <v>678200</v>
      </c>
      <c r="G1614" s="4" t="str">
        <f>HYPERLINK("http://141.218.60.56/~jnz1568/getInfo.php?workbook=14_04.xlsx&amp;sheet=A0&amp;row=1614&amp;col=7&amp;number=0&amp;sourceID=14","0")</f>
        <v>0</v>
      </c>
    </row>
    <row r="1615" spans="1:7">
      <c r="A1615" s="3">
        <v>14</v>
      </c>
      <c r="B1615" s="3">
        <v>4</v>
      </c>
      <c r="C1615" s="3">
        <v>37</v>
      </c>
      <c r="D1615" s="3">
        <v>27</v>
      </c>
      <c r="E1615" s="3">
        <v>1993.346</v>
      </c>
      <c r="F1615" s="4" t="str">
        <f>HYPERLINK("http://141.218.60.56/~jnz1568/getInfo.php?workbook=14_04.xlsx&amp;sheet=A0&amp;row=1615&amp;col=6&amp;number=2.083&amp;sourceID=14","2.083")</f>
        <v>2.083</v>
      </c>
      <c r="G1615" s="4" t="str">
        <f>HYPERLINK("http://141.218.60.56/~jnz1568/getInfo.php?workbook=14_04.xlsx&amp;sheet=A0&amp;row=1615&amp;col=7&amp;number=0&amp;sourceID=14","0")</f>
        <v>0</v>
      </c>
    </row>
    <row r="1616" spans="1:7">
      <c r="A1616" s="3">
        <v>14</v>
      </c>
      <c r="B1616" s="3">
        <v>4</v>
      </c>
      <c r="C1616" s="3">
        <v>38</v>
      </c>
      <c r="D1616" s="3">
        <v>27</v>
      </c>
      <c r="E1616" s="3">
        <v>-1581.998</v>
      </c>
      <c r="F1616" s="4" t="str">
        <f>HYPERLINK("http://141.218.60.56/~jnz1568/getInfo.php?workbook=14_04.xlsx&amp;sheet=A0&amp;row=1616&amp;col=6&amp;number=3394000&amp;sourceID=14","3394000")</f>
        <v>3394000</v>
      </c>
      <c r="G1616" s="4" t="str">
        <f>HYPERLINK("http://141.218.60.56/~jnz1568/getInfo.php?workbook=14_04.xlsx&amp;sheet=A0&amp;row=1616&amp;col=7&amp;number=0&amp;sourceID=14","0")</f>
        <v>0</v>
      </c>
    </row>
    <row r="1617" spans="1:7">
      <c r="A1617" s="3">
        <v>14</v>
      </c>
      <c r="B1617" s="3">
        <v>4</v>
      </c>
      <c r="C1617" s="3">
        <v>39</v>
      </c>
      <c r="D1617" s="3">
        <v>27</v>
      </c>
      <c r="E1617" s="3">
        <v>1650.658</v>
      </c>
      <c r="F1617" s="4" t="str">
        <f>HYPERLINK("http://141.218.60.56/~jnz1568/getInfo.php?workbook=14_04.xlsx&amp;sheet=A0&amp;row=1617&amp;col=6&amp;number=26220000&amp;sourceID=14","26220000")</f>
        <v>26220000</v>
      </c>
      <c r="G1617" s="4" t="str">
        <f>HYPERLINK("http://141.218.60.56/~jnz1568/getInfo.php?workbook=14_04.xlsx&amp;sheet=A0&amp;row=1617&amp;col=7&amp;number=0&amp;sourceID=14","0")</f>
        <v>0</v>
      </c>
    </row>
    <row r="1618" spans="1:7">
      <c r="A1618" s="3">
        <v>14</v>
      </c>
      <c r="B1618" s="3">
        <v>4</v>
      </c>
      <c r="C1618" s="3">
        <v>40</v>
      </c>
      <c r="D1618" s="3">
        <v>27</v>
      </c>
      <c r="E1618" s="3">
        <v>1572.355</v>
      </c>
      <c r="F1618" s="4" t="str">
        <f>HYPERLINK("http://141.218.60.56/~jnz1568/getInfo.php?workbook=14_04.xlsx&amp;sheet=A0&amp;row=1618&amp;col=6&amp;number=2041000&amp;sourceID=14","2041000")</f>
        <v>2041000</v>
      </c>
      <c r="G1618" s="4" t="str">
        <f>HYPERLINK("http://141.218.60.56/~jnz1568/getInfo.php?workbook=14_04.xlsx&amp;sheet=A0&amp;row=1618&amp;col=7&amp;number=0&amp;sourceID=14","0")</f>
        <v>0</v>
      </c>
    </row>
    <row r="1619" spans="1:7">
      <c r="A1619" s="3">
        <v>14</v>
      </c>
      <c r="B1619" s="3">
        <v>4</v>
      </c>
      <c r="C1619" s="3">
        <v>41</v>
      </c>
      <c r="D1619" s="3">
        <v>27</v>
      </c>
      <c r="E1619" s="3">
        <v>1341.978</v>
      </c>
      <c r="F1619" s="4" t="str">
        <f>HYPERLINK("http://141.218.60.56/~jnz1568/getInfo.php?workbook=14_04.xlsx&amp;sheet=A0&amp;row=1619&amp;col=6&amp;number=1799000&amp;sourceID=14","1799000")</f>
        <v>1799000</v>
      </c>
      <c r="G1619" s="4" t="str">
        <f>HYPERLINK("http://141.218.60.56/~jnz1568/getInfo.php?workbook=14_04.xlsx&amp;sheet=A0&amp;row=1619&amp;col=7&amp;number=0&amp;sourceID=14","0")</f>
        <v>0</v>
      </c>
    </row>
    <row r="1620" spans="1:7">
      <c r="A1620" s="3">
        <v>14</v>
      </c>
      <c r="B1620" s="3">
        <v>4</v>
      </c>
      <c r="C1620" s="3">
        <v>42</v>
      </c>
      <c r="D1620" s="3">
        <v>27</v>
      </c>
      <c r="E1620" s="3">
        <v>1397.002</v>
      </c>
      <c r="F1620" s="4" t="str">
        <f>HYPERLINK("http://141.218.60.56/~jnz1568/getInfo.php?workbook=14_04.xlsx&amp;sheet=A0&amp;row=1620&amp;col=6&amp;number=36330000&amp;sourceID=14","36330000")</f>
        <v>36330000</v>
      </c>
      <c r="G1620" s="4" t="str">
        <f>HYPERLINK("http://141.218.60.56/~jnz1568/getInfo.php?workbook=14_04.xlsx&amp;sheet=A0&amp;row=1620&amp;col=7&amp;number=0&amp;sourceID=14","0")</f>
        <v>0</v>
      </c>
    </row>
    <row r="1621" spans="1:7">
      <c r="A1621" s="3">
        <v>14</v>
      </c>
      <c r="B1621" s="3">
        <v>4</v>
      </c>
      <c r="C1621" s="3">
        <v>44</v>
      </c>
      <c r="D1621" s="3">
        <v>27</v>
      </c>
      <c r="E1621" s="3">
        <v>-1072.804</v>
      </c>
      <c r="F1621" s="4" t="str">
        <f>HYPERLINK("http://141.218.60.56/~jnz1568/getInfo.php?workbook=14_04.xlsx&amp;sheet=A0&amp;row=1621&amp;col=6&amp;number=0.003729&amp;sourceID=14","0.003729")</f>
        <v>0.003729</v>
      </c>
      <c r="G1621" s="4" t="str">
        <f>HYPERLINK("http://141.218.60.56/~jnz1568/getInfo.php?workbook=14_04.xlsx&amp;sheet=A0&amp;row=1621&amp;col=7&amp;number=0&amp;sourceID=14","0")</f>
        <v>0</v>
      </c>
    </row>
    <row r="1622" spans="1:7">
      <c r="A1622" s="3">
        <v>14</v>
      </c>
      <c r="B1622" s="3">
        <v>4</v>
      </c>
      <c r="C1622" s="3">
        <v>45</v>
      </c>
      <c r="D1622" s="3">
        <v>27</v>
      </c>
      <c r="E1622" s="3">
        <v>993.277</v>
      </c>
      <c r="F1622" s="4" t="str">
        <f>HYPERLINK("http://141.218.60.56/~jnz1568/getInfo.php?workbook=14_04.xlsx&amp;sheet=A0&amp;row=1622&amp;col=6&amp;number=51.87&amp;sourceID=14","51.87")</f>
        <v>51.87</v>
      </c>
      <c r="G1622" s="4" t="str">
        <f>HYPERLINK("http://141.218.60.56/~jnz1568/getInfo.php?workbook=14_04.xlsx&amp;sheet=A0&amp;row=1622&amp;col=7&amp;number=0&amp;sourceID=14","0")</f>
        <v>0</v>
      </c>
    </row>
    <row r="1623" spans="1:7">
      <c r="A1623" s="3">
        <v>14</v>
      </c>
      <c r="B1623" s="3">
        <v>4</v>
      </c>
      <c r="C1623" s="3">
        <v>46</v>
      </c>
      <c r="D1623" s="3">
        <v>27</v>
      </c>
      <c r="E1623" s="3">
        <v>984.486</v>
      </c>
      <c r="F1623" s="4" t="str">
        <f>HYPERLINK("http://141.218.60.56/~jnz1568/getInfo.php?workbook=14_04.xlsx&amp;sheet=A0&amp;row=1623&amp;col=6&amp;number=188000&amp;sourceID=14","188000")</f>
        <v>188000</v>
      </c>
      <c r="G1623" s="4" t="str">
        <f>HYPERLINK("http://141.218.60.56/~jnz1568/getInfo.php?workbook=14_04.xlsx&amp;sheet=A0&amp;row=1623&amp;col=7&amp;number=0&amp;sourceID=14","0")</f>
        <v>0</v>
      </c>
    </row>
    <row r="1624" spans="1:7">
      <c r="A1624" s="3">
        <v>14</v>
      </c>
      <c r="B1624" s="3">
        <v>4</v>
      </c>
      <c r="C1624" s="3">
        <v>47</v>
      </c>
      <c r="D1624" s="3">
        <v>27</v>
      </c>
      <c r="E1624" s="3">
        <v>219.979</v>
      </c>
      <c r="F1624" s="4" t="str">
        <f>HYPERLINK("http://141.218.60.56/~jnz1568/getInfo.php?workbook=14_04.xlsx&amp;sheet=A0&amp;row=1624&amp;col=6&amp;number=211.2&amp;sourceID=14","211.2")</f>
        <v>211.2</v>
      </c>
      <c r="G1624" s="4" t="str">
        <f>HYPERLINK("http://141.218.60.56/~jnz1568/getInfo.php?workbook=14_04.xlsx&amp;sheet=A0&amp;row=1624&amp;col=7&amp;number=0&amp;sourceID=14","0")</f>
        <v>0</v>
      </c>
    </row>
    <row r="1625" spans="1:7">
      <c r="A1625" s="3">
        <v>14</v>
      </c>
      <c r="B1625" s="3">
        <v>4</v>
      </c>
      <c r="C1625" s="3">
        <v>48</v>
      </c>
      <c r="D1625" s="3">
        <v>27</v>
      </c>
      <c r="E1625" s="3">
        <v>219.328</v>
      </c>
      <c r="F1625" s="4" t="str">
        <f>HYPERLINK("http://141.218.60.56/~jnz1568/getInfo.php?workbook=14_04.xlsx&amp;sheet=A0&amp;row=1625&amp;col=6&amp;number=28.16&amp;sourceID=14","28.16")</f>
        <v>28.16</v>
      </c>
      <c r="G1625" s="4" t="str">
        <f>HYPERLINK("http://141.218.60.56/~jnz1568/getInfo.php?workbook=14_04.xlsx&amp;sheet=A0&amp;row=1625&amp;col=7&amp;number=0&amp;sourceID=14","0")</f>
        <v>0</v>
      </c>
    </row>
    <row r="1626" spans="1:7">
      <c r="A1626" s="3">
        <v>14</v>
      </c>
      <c r="B1626" s="3">
        <v>4</v>
      </c>
      <c r="C1626" s="3">
        <v>50</v>
      </c>
      <c r="D1626" s="3">
        <v>27</v>
      </c>
      <c r="E1626" s="3">
        <v>198.554</v>
      </c>
      <c r="F1626" s="4" t="str">
        <f>HYPERLINK("http://141.218.60.56/~jnz1568/getInfo.php?workbook=14_04.xlsx&amp;sheet=A0&amp;row=1626&amp;col=6&amp;number=819400&amp;sourceID=14","819400")</f>
        <v>819400</v>
      </c>
      <c r="G1626" s="4" t="str">
        <f>HYPERLINK("http://141.218.60.56/~jnz1568/getInfo.php?workbook=14_04.xlsx&amp;sheet=A0&amp;row=1626&amp;col=7&amp;number=0&amp;sourceID=14","0")</f>
        <v>0</v>
      </c>
    </row>
    <row r="1627" spans="1:7">
      <c r="A1627" s="3">
        <v>14</v>
      </c>
      <c r="B1627" s="3">
        <v>4</v>
      </c>
      <c r="C1627" s="3">
        <v>51</v>
      </c>
      <c r="D1627" s="3">
        <v>27</v>
      </c>
      <c r="E1627" s="3">
        <v>198.273</v>
      </c>
      <c r="F1627" s="4" t="str">
        <f>HYPERLINK("http://141.218.60.56/~jnz1568/getInfo.php?workbook=14_04.xlsx&amp;sheet=A0&amp;row=1627&amp;col=6&amp;number=912100&amp;sourceID=14","912100")</f>
        <v>912100</v>
      </c>
      <c r="G1627" s="4" t="str">
        <f>HYPERLINK("http://141.218.60.56/~jnz1568/getInfo.php?workbook=14_04.xlsx&amp;sheet=A0&amp;row=1627&amp;col=7&amp;number=0&amp;sourceID=14","0")</f>
        <v>0</v>
      </c>
    </row>
    <row r="1628" spans="1:7">
      <c r="A1628" s="3">
        <v>14</v>
      </c>
      <c r="B1628" s="3">
        <v>4</v>
      </c>
      <c r="C1628" s="3">
        <v>52</v>
      </c>
      <c r="D1628" s="3">
        <v>27</v>
      </c>
      <c r="E1628" s="3">
        <v>199.94</v>
      </c>
      <c r="F1628" s="4" t="str">
        <f>HYPERLINK("http://141.218.60.56/~jnz1568/getInfo.php?workbook=14_04.xlsx&amp;sheet=A0&amp;row=1628&amp;col=6&amp;number=2107000&amp;sourceID=14","2107000")</f>
        <v>2107000</v>
      </c>
      <c r="G1628" s="4" t="str">
        <f>HYPERLINK("http://141.218.60.56/~jnz1568/getInfo.php?workbook=14_04.xlsx&amp;sheet=A0&amp;row=1628&amp;col=7&amp;number=0&amp;sourceID=14","0")</f>
        <v>0</v>
      </c>
    </row>
    <row r="1629" spans="1:7">
      <c r="A1629" s="3">
        <v>14</v>
      </c>
      <c r="B1629" s="3">
        <v>4</v>
      </c>
      <c r="C1629" s="3">
        <v>53</v>
      </c>
      <c r="D1629" s="3">
        <v>27</v>
      </c>
      <c r="E1629" s="3">
        <v>193.745</v>
      </c>
      <c r="F1629" s="4" t="str">
        <f>HYPERLINK("http://141.218.60.56/~jnz1568/getInfo.php?workbook=14_04.xlsx&amp;sheet=A0&amp;row=1629&amp;col=6&amp;number=2172&amp;sourceID=14","2172")</f>
        <v>2172</v>
      </c>
      <c r="G1629" s="4" t="str">
        <f>HYPERLINK("http://141.218.60.56/~jnz1568/getInfo.php?workbook=14_04.xlsx&amp;sheet=A0&amp;row=1629&amp;col=7&amp;number=0&amp;sourceID=14","0")</f>
        <v>0</v>
      </c>
    </row>
    <row r="1630" spans="1:7">
      <c r="A1630" s="3">
        <v>14</v>
      </c>
      <c r="B1630" s="3">
        <v>4</v>
      </c>
      <c r="C1630" s="3">
        <v>54</v>
      </c>
      <c r="D1630" s="3">
        <v>27</v>
      </c>
      <c r="E1630" s="3">
        <v>193.755</v>
      </c>
      <c r="F1630" s="4" t="str">
        <f>HYPERLINK("http://141.218.60.56/~jnz1568/getInfo.php?workbook=14_04.xlsx&amp;sheet=A0&amp;row=1630&amp;col=6&amp;number=905.4&amp;sourceID=14","905.4")</f>
        <v>905.4</v>
      </c>
      <c r="G1630" s="4" t="str">
        <f>HYPERLINK("http://141.218.60.56/~jnz1568/getInfo.php?workbook=14_04.xlsx&amp;sheet=A0&amp;row=1630&amp;col=7&amp;number=0&amp;sourceID=14","0")</f>
        <v>0</v>
      </c>
    </row>
    <row r="1631" spans="1:7">
      <c r="A1631" s="3">
        <v>14</v>
      </c>
      <c r="B1631" s="3">
        <v>4</v>
      </c>
      <c r="C1631" s="3">
        <v>55</v>
      </c>
      <c r="D1631" s="3">
        <v>27</v>
      </c>
      <c r="E1631" s="3">
        <v>193.446</v>
      </c>
      <c r="F1631" s="4" t="str">
        <f>HYPERLINK("http://141.218.60.56/~jnz1568/getInfo.php?workbook=14_04.xlsx&amp;sheet=A0&amp;row=1631&amp;col=6&amp;number=1183&amp;sourceID=14","1183")</f>
        <v>1183</v>
      </c>
      <c r="G1631" s="4" t="str">
        <f>HYPERLINK("http://141.218.60.56/~jnz1568/getInfo.php?workbook=14_04.xlsx&amp;sheet=A0&amp;row=1631&amp;col=7&amp;number=0&amp;sourceID=14","0")</f>
        <v>0</v>
      </c>
    </row>
    <row r="1632" spans="1:7">
      <c r="A1632" s="3">
        <v>14</v>
      </c>
      <c r="B1632" s="3">
        <v>4</v>
      </c>
      <c r="C1632" s="3">
        <v>56</v>
      </c>
      <c r="D1632" s="3">
        <v>27</v>
      </c>
      <c r="E1632" s="3">
        <v>189.512</v>
      </c>
      <c r="F1632" s="4" t="str">
        <f>HYPERLINK("http://141.218.60.56/~jnz1568/getInfo.php?workbook=14_04.xlsx&amp;sheet=A0&amp;row=1632&amp;col=6&amp;number=18.02&amp;sourceID=14","18.02")</f>
        <v>18.02</v>
      </c>
      <c r="G1632" s="4" t="str">
        <f>HYPERLINK("http://141.218.60.56/~jnz1568/getInfo.php?workbook=14_04.xlsx&amp;sheet=A0&amp;row=1632&amp;col=7&amp;number=0&amp;sourceID=14","0")</f>
        <v>0</v>
      </c>
    </row>
    <row r="1633" spans="1:7">
      <c r="A1633" s="3">
        <v>14</v>
      </c>
      <c r="B1633" s="3">
        <v>4</v>
      </c>
      <c r="C1633" s="3">
        <v>58</v>
      </c>
      <c r="D1633" s="3">
        <v>27</v>
      </c>
      <c r="E1633" s="3">
        <v>-149.744</v>
      </c>
      <c r="F1633" s="4" t="str">
        <f>HYPERLINK("http://141.218.60.56/~jnz1568/getInfo.php?workbook=14_04.xlsx&amp;sheet=A0&amp;row=1633&amp;col=6&amp;number=16220000000&amp;sourceID=14","16220000000")</f>
        <v>16220000000</v>
      </c>
      <c r="G1633" s="4" t="str">
        <f>HYPERLINK("http://141.218.60.56/~jnz1568/getInfo.php?workbook=14_04.xlsx&amp;sheet=A0&amp;row=1633&amp;col=7&amp;number=0&amp;sourceID=14","0")</f>
        <v>0</v>
      </c>
    </row>
    <row r="1634" spans="1:7">
      <c r="A1634" s="3">
        <v>14</v>
      </c>
      <c r="B1634" s="3">
        <v>4</v>
      </c>
      <c r="C1634" s="3">
        <v>59</v>
      </c>
      <c r="D1634" s="3">
        <v>27</v>
      </c>
      <c r="E1634" s="3">
        <v>149.919</v>
      </c>
      <c r="F1634" s="4" t="str">
        <f>HYPERLINK("http://141.218.60.56/~jnz1568/getInfo.php?workbook=14_04.xlsx&amp;sheet=A0&amp;row=1634&amp;col=6&amp;number=2095000000&amp;sourceID=14","2095000000")</f>
        <v>2095000000</v>
      </c>
      <c r="G1634" s="4" t="str">
        <f>HYPERLINK("http://141.218.60.56/~jnz1568/getInfo.php?workbook=14_04.xlsx&amp;sheet=A0&amp;row=1634&amp;col=7&amp;number=0&amp;sourceID=14","0")</f>
        <v>0</v>
      </c>
    </row>
    <row r="1635" spans="1:7">
      <c r="A1635" s="3">
        <v>14</v>
      </c>
      <c r="B1635" s="3">
        <v>4</v>
      </c>
      <c r="C1635" s="3">
        <v>60</v>
      </c>
      <c r="D1635" s="3">
        <v>27</v>
      </c>
      <c r="E1635" s="3">
        <v>-146.914</v>
      </c>
      <c r="F1635" s="4" t="str">
        <f>HYPERLINK("http://141.218.60.56/~jnz1568/getInfo.php?workbook=14_04.xlsx&amp;sheet=A0&amp;row=1635&amp;col=6&amp;number=1062000000&amp;sourceID=14","1062000000")</f>
        <v>1062000000</v>
      </c>
      <c r="G1635" s="4" t="str">
        <f>HYPERLINK("http://141.218.60.56/~jnz1568/getInfo.php?workbook=14_04.xlsx&amp;sheet=A0&amp;row=1635&amp;col=7&amp;number=0&amp;sourceID=14","0")</f>
        <v>0</v>
      </c>
    </row>
    <row r="1636" spans="1:7">
      <c r="A1636" s="3">
        <v>14</v>
      </c>
      <c r="B1636" s="3">
        <v>4</v>
      </c>
      <c r="C1636" s="3">
        <v>61</v>
      </c>
      <c r="D1636" s="3">
        <v>27</v>
      </c>
      <c r="E1636" s="3">
        <v>-144.383</v>
      </c>
      <c r="F1636" s="4" t="str">
        <f>HYPERLINK("http://141.218.60.56/~jnz1568/getInfo.php?workbook=14_04.xlsx&amp;sheet=A0&amp;row=1636&amp;col=6&amp;number=9719&amp;sourceID=14","9719")</f>
        <v>9719</v>
      </c>
      <c r="G1636" s="4" t="str">
        <f>HYPERLINK("http://141.218.60.56/~jnz1568/getInfo.php?workbook=14_04.xlsx&amp;sheet=A0&amp;row=1636&amp;col=7&amp;number=0&amp;sourceID=14","0")</f>
        <v>0</v>
      </c>
    </row>
    <row r="1637" spans="1:7">
      <c r="A1637" s="3">
        <v>14</v>
      </c>
      <c r="B1637" s="3">
        <v>4</v>
      </c>
      <c r="C1637" s="3">
        <v>62</v>
      </c>
      <c r="D1637" s="3">
        <v>27</v>
      </c>
      <c r="E1637" s="3">
        <v>-145.301</v>
      </c>
      <c r="F1637" s="4" t="str">
        <f>HYPERLINK("http://141.218.60.56/~jnz1568/getInfo.php?workbook=14_04.xlsx&amp;sheet=A0&amp;row=1637&amp;col=6&amp;number=1048000&amp;sourceID=14","1048000")</f>
        <v>1048000</v>
      </c>
      <c r="G1637" s="4" t="str">
        <f>HYPERLINK("http://141.218.60.56/~jnz1568/getInfo.php?workbook=14_04.xlsx&amp;sheet=A0&amp;row=1637&amp;col=7&amp;number=0&amp;sourceID=14","0")</f>
        <v>0</v>
      </c>
    </row>
    <row r="1638" spans="1:7">
      <c r="A1638" s="3">
        <v>14</v>
      </c>
      <c r="B1638" s="3">
        <v>4</v>
      </c>
      <c r="C1638" s="3">
        <v>63</v>
      </c>
      <c r="D1638" s="3">
        <v>27</v>
      </c>
      <c r="E1638" s="3">
        <v>-144.329</v>
      </c>
      <c r="F1638" s="4" t="str">
        <f>HYPERLINK("http://141.218.60.56/~jnz1568/getInfo.php?workbook=14_04.xlsx&amp;sheet=A0&amp;row=1638&amp;col=6&amp;number=885700&amp;sourceID=14","885700")</f>
        <v>885700</v>
      </c>
      <c r="G1638" s="4" t="str">
        <f>HYPERLINK("http://141.218.60.56/~jnz1568/getInfo.php?workbook=14_04.xlsx&amp;sheet=A0&amp;row=1638&amp;col=7&amp;number=0&amp;sourceID=14","0")</f>
        <v>0</v>
      </c>
    </row>
    <row r="1639" spans="1:7">
      <c r="A1639" s="3">
        <v>14</v>
      </c>
      <c r="B1639" s="3">
        <v>4</v>
      </c>
      <c r="C1639" s="3">
        <v>64</v>
      </c>
      <c r="D1639" s="3">
        <v>27</v>
      </c>
      <c r="E1639" s="3">
        <v>-143.208</v>
      </c>
      <c r="F1639" s="4" t="str">
        <f>HYPERLINK("http://141.218.60.56/~jnz1568/getInfo.php?workbook=14_04.xlsx&amp;sheet=A0&amp;row=1639&amp;col=6&amp;number=428600&amp;sourceID=14","428600")</f>
        <v>428600</v>
      </c>
      <c r="G1639" s="4" t="str">
        <f>HYPERLINK("http://141.218.60.56/~jnz1568/getInfo.php?workbook=14_04.xlsx&amp;sheet=A0&amp;row=1639&amp;col=7&amp;number=0&amp;sourceID=14","0")</f>
        <v>0</v>
      </c>
    </row>
    <row r="1640" spans="1:7">
      <c r="A1640" s="3">
        <v>14</v>
      </c>
      <c r="B1640" s="3">
        <v>4</v>
      </c>
      <c r="C1640" s="3">
        <v>65</v>
      </c>
      <c r="D1640" s="3">
        <v>27</v>
      </c>
      <c r="E1640" s="3">
        <v>-142.845</v>
      </c>
      <c r="F1640" s="4" t="str">
        <f>HYPERLINK("http://141.218.60.56/~jnz1568/getInfo.php?workbook=14_04.xlsx&amp;sheet=A0&amp;row=1640&amp;col=6&amp;number=2084000&amp;sourceID=14","2084000")</f>
        <v>2084000</v>
      </c>
      <c r="G1640" s="4" t="str">
        <f>HYPERLINK("http://141.218.60.56/~jnz1568/getInfo.php?workbook=14_04.xlsx&amp;sheet=A0&amp;row=1640&amp;col=7&amp;number=0&amp;sourceID=14","0")</f>
        <v>0</v>
      </c>
    </row>
    <row r="1641" spans="1:7">
      <c r="A1641" s="3">
        <v>14</v>
      </c>
      <c r="B1641" s="3">
        <v>4</v>
      </c>
      <c r="C1641" s="3">
        <v>66</v>
      </c>
      <c r="D1641" s="3">
        <v>27</v>
      </c>
      <c r="E1641" s="3">
        <v>-142.876</v>
      </c>
      <c r="F1641" s="4" t="str">
        <f>HYPERLINK("http://141.218.60.56/~jnz1568/getInfo.php?workbook=14_04.xlsx&amp;sheet=A0&amp;row=1641&amp;col=6&amp;number=4035000&amp;sourceID=14","4035000")</f>
        <v>4035000</v>
      </c>
      <c r="G1641" s="4" t="str">
        <f>HYPERLINK("http://141.218.60.56/~jnz1568/getInfo.php?workbook=14_04.xlsx&amp;sheet=A0&amp;row=1641&amp;col=7&amp;number=0&amp;sourceID=14","0")</f>
        <v>0</v>
      </c>
    </row>
    <row r="1642" spans="1:7">
      <c r="A1642" s="3">
        <v>14</v>
      </c>
      <c r="B1642" s="3">
        <v>4</v>
      </c>
      <c r="C1642" s="3">
        <v>67</v>
      </c>
      <c r="D1642" s="3">
        <v>27</v>
      </c>
      <c r="E1642" s="3">
        <v>-141.958</v>
      </c>
      <c r="F1642" s="4" t="str">
        <f>HYPERLINK("http://141.218.60.56/~jnz1568/getInfo.php?workbook=14_04.xlsx&amp;sheet=A0&amp;row=1642&amp;col=6&amp;number=28330&amp;sourceID=14","28330")</f>
        <v>28330</v>
      </c>
      <c r="G1642" s="4" t="str">
        <f>HYPERLINK("http://141.218.60.56/~jnz1568/getInfo.php?workbook=14_04.xlsx&amp;sheet=A0&amp;row=1642&amp;col=7&amp;number=0&amp;sourceID=14","0")</f>
        <v>0</v>
      </c>
    </row>
    <row r="1643" spans="1:7">
      <c r="A1643" s="3">
        <v>14</v>
      </c>
      <c r="B1643" s="3">
        <v>4</v>
      </c>
      <c r="C1643" s="3">
        <v>68</v>
      </c>
      <c r="D1643" s="3">
        <v>27</v>
      </c>
      <c r="E1643" s="3">
        <v>-141.799</v>
      </c>
      <c r="F1643" s="4" t="str">
        <f>HYPERLINK("http://141.218.60.56/~jnz1568/getInfo.php?workbook=14_04.xlsx&amp;sheet=A0&amp;row=1643&amp;col=6&amp;number=836300&amp;sourceID=14","836300")</f>
        <v>836300</v>
      </c>
      <c r="G1643" s="4" t="str">
        <f>HYPERLINK("http://141.218.60.56/~jnz1568/getInfo.php?workbook=14_04.xlsx&amp;sheet=A0&amp;row=1643&amp;col=7&amp;number=0&amp;sourceID=14","0")</f>
        <v>0</v>
      </c>
    </row>
    <row r="1644" spans="1:7">
      <c r="A1644" s="3">
        <v>14</v>
      </c>
      <c r="B1644" s="3">
        <v>4</v>
      </c>
      <c r="C1644" s="3">
        <v>69</v>
      </c>
      <c r="D1644" s="3">
        <v>27</v>
      </c>
      <c r="E1644" s="3">
        <v>-141.636</v>
      </c>
      <c r="F1644" s="4" t="str">
        <f>HYPERLINK("http://141.218.60.56/~jnz1568/getInfo.php?workbook=14_04.xlsx&amp;sheet=A0&amp;row=1644&amp;col=6&amp;number=10940000000&amp;sourceID=14","10940000000")</f>
        <v>10940000000</v>
      </c>
      <c r="G1644" s="4" t="str">
        <f>HYPERLINK("http://141.218.60.56/~jnz1568/getInfo.php?workbook=14_04.xlsx&amp;sheet=A0&amp;row=1644&amp;col=7&amp;number=0&amp;sourceID=14","0")</f>
        <v>0</v>
      </c>
    </row>
    <row r="1645" spans="1:7">
      <c r="A1645" s="3">
        <v>14</v>
      </c>
      <c r="B1645" s="3">
        <v>4</v>
      </c>
      <c r="C1645" s="3">
        <v>70</v>
      </c>
      <c r="D1645" s="3">
        <v>27</v>
      </c>
      <c r="E1645" s="3">
        <v>-140.95</v>
      </c>
      <c r="F1645" s="4" t="str">
        <f>HYPERLINK("http://141.218.60.56/~jnz1568/getInfo.php?workbook=14_04.xlsx&amp;sheet=A0&amp;row=1645&amp;col=6&amp;number=95410000000&amp;sourceID=14","95410000000")</f>
        <v>95410000000</v>
      </c>
      <c r="G1645" s="4" t="str">
        <f>HYPERLINK("http://141.218.60.56/~jnz1568/getInfo.php?workbook=14_04.xlsx&amp;sheet=A0&amp;row=1645&amp;col=7&amp;number=0&amp;sourceID=14","0")</f>
        <v>0</v>
      </c>
    </row>
    <row r="1646" spans="1:7">
      <c r="A1646" s="3">
        <v>14</v>
      </c>
      <c r="B1646" s="3">
        <v>4</v>
      </c>
      <c r="C1646" s="3">
        <v>71</v>
      </c>
      <c r="D1646" s="3">
        <v>27</v>
      </c>
      <c r="E1646" s="3">
        <v>-140.67</v>
      </c>
      <c r="F1646" s="4" t="str">
        <f>HYPERLINK("http://141.218.60.56/~jnz1568/getInfo.php?workbook=14_04.xlsx&amp;sheet=A0&amp;row=1646&amp;col=6&amp;number=42710000&amp;sourceID=14","42710000")</f>
        <v>42710000</v>
      </c>
      <c r="G1646" s="4" t="str">
        <f>HYPERLINK("http://141.218.60.56/~jnz1568/getInfo.php?workbook=14_04.xlsx&amp;sheet=A0&amp;row=1646&amp;col=7&amp;number=0&amp;sourceID=14","0")</f>
        <v>0</v>
      </c>
    </row>
    <row r="1647" spans="1:7">
      <c r="A1647" s="3">
        <v>14</v>
      </c>
      <c r="B1647" s="3">
        <v>4</v>
      </c>
      <c r="C1647" s="3">
        <v>72</v>
      </c>
      <c r="D1647" s="3">
        <v>27</v>
      </c>
      <c r="E1647" s="3">
        <v>-140.241</v>
      </c>
      <c r="F1647" s="4" t="str">
        <f>HYPERLINK("http://141.218.60.56/~jnz1568/getInfo.php?workbook=14_04.xlsx&amp;sheet=A0&amp;row=1647&amp;col=6&amp;number=34780&amp;sourceID=14","34780")</f>
        <v>34780</v>
      </c>
      <c r="G1647" s="4" t="str">
        <f>HYPERLINK("http://141.218.60.56/~jnz1568/getInfo.php?workbook=14_04.xlsx&amp;sheet=A0&amp;row=1647&amp;col=7&amp;number=0&amp;sourceID=14","0")</f>
        <v>0</v>
      </c>
    </row>
    <row r="1648" spans="1:7">
      <c r="A1648" s="3">
        <v>14</v>
      </c>
      <c r="B1648" s="3">
        <v>4</v>
      </c>
      <c r="C1648" s="3">
        <v>74</v>
      </c>
      <c r="D1648" s="3">
        <v>27</v>
      </c>
      <c r="E1648" s="3">
        <v>-139.687</v>
      </c>
      <c r="F1648" s="4" t="str">
        <f>HYPERLINK("http://141.218.60.56/~jnz1568/getInfo.php?workbook=14_04.xlsx&amp;sheet=A0&amp;row=1648&amp;col=6&amp;number=3097000000&amp;sourceID=14","3097000000")</f>
        <v>3097000000</v>
      </c>
      <c r="G1648" s="4" t="str">
        <f>HYPERLINK("http://141.218.60.56/~jnz1568/getInfo.php?workbook=14_04.xlsx&amp;sheet=A0&amp;row=1648&amp;col=7&amp;number=0&amp;sourceID=14","0")</f>
        <v>0</v>
      </c>
    </row>
    <row r="1649" spans="1:7">
      <c r="A1649" s="3">
        <v>14</v>
      </c>
      <c r="B1649" s="3">
        <v>4</v>
      </c>
      <c r="C1649" s="3">
        <v>75</v>
      </c>
      <c r="D1649" s="3">
        <v>27</v>
      </c>
      <c r="E1649" s="3">
        <v>-139.314</v>
      </c>
      <c r="F1649" s="4" t="str">
        <f>HYPERLINK("http://141.218.60.56/~jnz1568/getInfo.php?workbook=14_04.xlsx&amp;sheet=A0&amp;row=1649&amp;col=6&amp;number=18800000000&amp;sourceID=14","18800000000")</f>
        <v>18800000000</v>
      </c>
      <c r="G1649" s="4" t="str">
        <f>HYPERLINK("http://141.218.60.56/~jnz1568/getInfo.php?workbook=14_04.xlsx&amp;sheet=A0&amp;row=1649&amp;col=7&amp;number=0&amp;sourceID=14","0")</f>
        <v>0</v>
      </c>
    </row>
    <row r="1650" spans="1:7">
      <c r="A1650" s="3">
        <v>14</v>
      </c>
      <c r="B1650" s="3">
        <v>4</v>
      </c>
      <c r="C1650" s="3">
        <v>76</v>
      </c>
      <c r="D1650" s="3">
        <v>27</v>
      </c>
      <c r="E1650" s="3">
        <v>138.467</v>
      </c>
      <c r="F1650" s="4" t="str">
        <f>HYPERLINK("http://141.218.60.56/~jnz1568/getInfo.php?workbook=14_04.xlsx&amp;sheet=A0&amp;row=1650&amp;col=6&amp;number=227100000&amp;sourceID=14","227100000")</f>
        <v>227100000</v>
      </c>
      <c r="G1650" s="4" t="str">
        <f>HYPERLINK("http://141.218.60.56/~jnz1568/getInfo.php?workbook=14_04.xlsx&amp;sheet=A0&amp;row=1650&amp;col=7&amp;number=0&amp;sourceID=14","0")</f>
        <v>0</v>
      </c>
    </row>
    <row r="1651" spans="1:7">
      <c r="A1651" s="3">
        <v>14</v>
      </c>
      <c r="B1651" s="3">
        <v>4</v>
      </c>
      <c r="C1651" s="3">
        <v>77</v>
      </c>
      <c r="D1651" s="3">
        <v>27</v>
      </c>
      <c r="E1651" s="3">
        <v>138.293</v>
      </c>
      <c r="F1651" s="4" t="str">
        <f>HYPERLINK("http://141.218.60.56/~jnz1568/getInfo.php?workbook=14_04.xlsx&amp;sheet=A0&amp;row=1651&amp;col=6&amp;number=2800000000&amp;sourceID=14","2800000000")</f>
        <v>2800000000</v>
      </c>
      <c r="G1651" s="4" t="str">
        <f>HYPERLINK("http://141.218.60.56/~jnz1568/getInfo.php?workbook=14_04.xlsx&amp;sheet=A0&amp;row=1651&amp;col=7&amp;number=0&amp;sourceID=14","0")</f>
        <v>0</v>
      </c>
    </row>
    <row r="1652" spans="1:7">
      <c r="A1652" s="3">
        <v>14</v>
      </c>
      <c r="B1652" s="3">
        <v>4</v>
      </c>
      <c r="C1652" s="3">
        <v>78</v>
      </c>
      <c r="D1652" s="3">
        <v>27</v>
      </c>
      <c r="E1652" s="3">
        <v>-138.175</v>
      </c>
      <c r="F1652" s="4" t="str">
        <f>HYPERLINK("http://141.218.60.56/~jnz1568/getInfo.php?workbook=14_04.xlsx&amp;sheet=A0&amp;row=1652&amp;col=6&amp;number=4248000000&amp;sourceID=14","4248000000")</f>
        <v>4248000000</v>
      </c>
      <c r="G1652" s="4" t="str">
        <f>HYPERLINK("http://141.218.60.56/~jnz1568/getInfo.php?workbook=14_04.xlsx&amp;sheet=A0&amp;row=1652&amp;col=7&amp;number=0&amp;sourceID=14","0")</f>
        <v>0</v>
      </c>
    </row>
    <row r="1653" spans="1:7">
      <c r="A1653" s="3">
        <v>14</v>
      </c>
      <c r="B1653" s="3">
        <v>4</v>
      </c>
      <c r="C1653" s="3">
        <v>80</v>
      </c>
      <c r="D1653" s="3">
        <v>27</v>
      </c>
      <c r="E1653" s="3">
        <v>140.301</v>
      </c>
      <c r="F1653" s="4" t="str">
        <f>HYPERLINK("http://141.218.60.56/~jnz1568/getInfo.php?workbook=14_04.xlsx&amp;sheet=A0&amp;row=1653&amp;col=6&amp;number=45170&amp;sourceID=14","45170")</f>
        <v>45170</v>
      </c>
      <c r="G1653" s="4" t="str">
        <f>HYPERLINK("http://141.218.60.56/~jnz1568/getInfo.php?workbook=14_04.xlsx&amp;sheet=A0&amp;row=1653&amp;col=7&amp;number=0&amp;sourceID=14","0")</f>
        <v>0</v>
      </c>
    </row>
    <row r="1654" spans="1:7">
      <c r="A1654" s="3">
        <v>14</v>
      </c>
      <c r="B1654" s="3">
        <v>4</v>
      </c>
      <c r="C1654" s="3">
        <v>81</v>
      </c>
      <c r="D1654" s="3">
        <v>27</v>
      </c>
      <c r="E1654" s="3">
        <v>136.383</v>
      </c>
      <c r="F1654" s="4" t="str">
        <f>HYPERLINK("http://141.218.60.56/~jnz1568/getInfo.php?workbook=14_04.xlsx&amp;sheet=A0&amp;row=1654&amp;col=6&amp;number=800000000&amp;sourceID=14","800000000")</f>
        <v>800000000</v>
      </c>
      <c r="G1654" s="4" t="str">
        <f>HYPERLINK("http://141.218.60.56/~jnz1568/getInfo.php?workbook=14_04.xlsx&amp;sheet=A0&amp;row=1654&amp;col=7&amp;number=0&amp;sourceID=14","0")</f>
        <v>0</v>
      </c>
    </row>
    <row r="1655" spans="1:7">
      <c r="A1655" s="3">
        <v>14</v>
      </c>
      <c r="B1655" s="3">
        <v>4</v>
      </c>
      <c r="C1655" s="3">
        <v>82</v>
      </c>
      <c r="D1655" s="3">
        <v>27</v>
      </c>
      <c r="E1655" s="3">
        <v>-135.869</v>
      </c>
      <c r="F1655" s="4" t="str">
        <f>HYPERLINK("http://141.218.60.56/~jnz1568/getInfo.php?workbook=14_04.xlsx&amp;sheet=A0&amp;row=1655&amp;col=6&amp;number=32460000&amp;sourceID=14","32460000")</f>
        <v>32460000</v>
      </c>
      <c r="G1655" s="4" t="str">
        <f>HYPERLINK("http://141.218.60.56/~jnz1568/getInfo.php?workbook=14_04.xlsx&amp;sheet=A0&amp;row=1655&amp;col=7&amp;number=0&amp;sourceID=14","0")</f>
        <v>0</v>
      </c>
    </row>
    <row r="1656" spans="1:7">
      <c r="A1656" s="3">
        <v>14</v>
      </c>
      <c r="B1656" s="3">
        <v>4</v>
      </c>
      <c r="C1656" s="3">
        <v>83</v>
      </c>
      <c r="D1656" s="3">
        <v>27</v>
      </c>
      <c r="E1656" s="3">
        <v>-125.483</v>
      </c>
      <c r="F1656" s="4" t="str">
        <f>HYPERLINK("http://141.218.60.56/~jnz1568/getInfo.php?workbook=14_04.xlsx&amp;sheet=A0&amp;row=1656&amp;col=6&amp;number=559.2&amp;sourceID=14","559.2")</f>
        <v>559.2</v>
      </c>
      <c r="G1656" s="4" t="str">
        <f>HYPERLINK("http://141.218.60.56/~jnz1568/getInfo.php?workbook=14_04.xlsx&amp;sheet=A0&amp;row=1656&amp;col=7&amp;number=0&amp;sourceID=14","0")</f>
        <v>0</v>
      </c>
    </row>
    <row r="1657" spans="1:7">
      <c r="A1657" s="3">
        <v>14</v>
      </c>
      <c r="B1657" s="3">
        <v>4</v>
      </c>
      <c r="C1657" s="3">
        <v>84</v>
      </c>
      <c r="D1657" s="3">
        <v>27</v>
      </c>
      <c r="E1657" s="3">
        <v>-124.361</v>
      </c>
      <c r="F1657" s="4" t="str">
        <f>HYPERLINK("http://141.218.60.56/~jnz1568/getInfo.php?workbook=14_04.xlsx&amp;sheet=A0&amp;row=1657&amp;col=6&amp;number=79.55&amp;sourceID=14","79.55")</f>
        <v>79.55</v>
      </c>
      <c r="G1657" s="4" t="str">
        <f>HYPERLINK("http://141.218.60.56/~jnz1568/getInfo.php?workbook=14_04.xlsx&amp;sheet=A0&amp;row=1657&amp;col=7&amp;number=0&amp;sourceID=14","0")</f>
        <v>0</v>
      </c>
    </row>
    <row r="1658" spans="1:7">
      <c r="A1658" s="3">
        <v>14</v>
      </c>
      <c r="B1658" s="3">
        <v>4</v>
      </c>
      <c r="C1658" s="3">
        <v>86</v>
      </c>
      <c r="D1658" s="3">
        <v>27</v>
      </c>
      <c r="E1658" s="3">
        <v>-123.219</v>
      </c>
      <c r="F1658" s="4" t="str">
        <f>HYPERLINK("http://141.218.60.56/~jnz1568/getInfo.php?workbook=14_04.xlsx&amp;sheet=A0&amp;row=1658&amp;col=6&amp;number=900700&amp;sourceID=14","900700")</f>
        <v>900700</v>
      </c>
      <c r="G1658" s="4" t="str">
        <f>HYPERLINK("http://141.218.60.56/~jnz1568/getInfo.php?workbook=14_04.xlsx&amp;sheet=A0&amp;row=1658&amp;col=7&amp;number=0&amp;sourceID=14","0")</f>
        <v>0</v>
      </c>
    </row>
    <row r="1659" spans="1:7">
      <c r="A1659" s="3">
        <v>14</v>
      </c>
      <c r="B1659" s="3">
        <v>4</v>
      </c>
      <c r="C1659" s="3">
        <v>87</v>
      </c>
      <c r="D1659" s="3">
        <v>27</v>
      </c>
      <c r="E1659" s="3">
        <v>122.312</v>
      </c>
      <c r="F1659" s="4" t="str">
        <f>HYPERLINK("http://141.218.60.56/~jnz1568/getInfo.php?workbook=14_04.xlsx&amp;sheet=A0&amp;row=1659&amp;col=6&amp;number=21230&amp;sourceID=14","21230")</f>
        <v>21230</v>
      </c>
      <c r="G1659" s="4" t="str">
        <f>HYPERLINK("http://141.218.60.56/~jnz1568/getInfo.php?workbook=14_04.xlsx&amp;sheet=A0&amp;row=1659&amp;col=7&amp;number=0&amp;sourceID=14","0")</f>
        <v>0</v>
      </c>
    </row>
    <row r="1660" spans="1:7">
      <c r="A1660" s="3">
        <v>14</v>
      </c>
      <c r="B1660" s="3">
        <v>4</v>
      </c>
      <c r="C1660" s="3">
        <v>88</v>
      </c>
      <c r="D1660" s="3">
        <v>27</v>
      </c>
      <c r="E1660" s="3">
        <v>-122.788</v>
      </c>
      <c r="F1660" s="4" t="str">
        <f>HYPERLINK("http://141.218.60.56/~jnz1568/getInfo.php?workbook=14_04.xlsx&amp;sheet=A0&amp;row=1660&amp;col=6&amp;number=297300&amp;sourceID=14","297300")</f>
        <v>297300</v>
      </c>
      <c r="G1660" s="4" t="str">
        <f>HYPERLINK("http://141.218.60.56/~jnz1568/getInfo.php?workbook=14_04.xlsx&amp;sheet=A0&amp;row=1660&amp;col=7&amp;number=0&amp;sourceID=14","0")</f>
        <v>0</v>
      </c>
    </row>
    <row r="1661" spans="1:7">
      <c r="A1661" s="3">
        <v>14</v>
      </c>
      <c r="B1661" s="3">
        <v>4</v>
      </c>
      <c r="C1661" s="3">
        <v>89</v>
      </c>
      <c r="D1661" s="3">
        <v>27</v>
      </c>
      <c r="E1661" s="3">
        <v>-121.948</v>
      </c>
      <c r="F1661" s="4" t="str">
        <f>HYPERLINK("http://141.218.60.56/~jnz1568/getInfo.php?workbook=14_04.xlsx&amp;sheet=A0&amp;row=1661&amp;col=6&amp;number=15.29&amp;sourceID=14","15.29")</f>
        <v>15.29</v>
      </c>
      <c r="G1661" s="4" t="str">
        <f>HYPERLINK("http://141.218.60.56/~jnz1568/getInfo.php?workbook=14_04.xlsx&amp;sheet=A0&amp;row=1661&amp;col=7&amp;number=0&amp;sourceID=14","0")</f>
        <v>0</v>
      </c>
    </row>
    <row r="1662" spans="1:7">
      <c r="A1662" s="3">
        <v>14</v>
      </c>
      <c r="B1662" s="3">
        <v>4</v>
      </c>
      <c r="C1662" s="3">
        <v>90</v>
      </c>
      <c r="D1662" s="3">
        <v>27</v>
      </c>
      <c r="E1662" s="3">
        <v>121.631</v>
      </c>
      <c r="F1662" s="4" t="str">
        <f>HYPERLINK("http://141.218.60.56/~jnz1568/getInfo.php?workbook=14_04.xlsx&amp;sheet=A0&amp;row=1662&amp;col=6&amp;number=3.43&amp;sourceID=14","3.43")</f>
        <v>3.43</v>
      </c>
      <c r="G1662" s="4" t="str">
        <f>HYPERLINK("http://141.218.60.56/~jnz1568/getInfo.php?workbook=14_04.xlsx&amp;sheet=A0&amp;row=1662&amp;col=7&amp;number=0&amp;sourceID=14","0")</f>
        <v>0</v>
      </c>
    </row>
    <row r="1663" spans="1:7">
      <c r="A1663" s="3">
        <v>14</v>
      </c>
      <c r="B1663" s="3">
        <v>4</v>
      </c>
      <c r="C1663" s="3">
        <v>91</v>
      </c>
      <c r="D1663" s="3">
        <v>27</v>
      </c>
      <c r="E1663" s="3">
        <v>121.643</v>
      </c>
      <c r="F1663" s="4" t="str">
        <f>HYPERLINK("http://141.218.60.56/~jnz1568/getInfo.php?workbook=14_04.xlsx&amp;sheet=A0&amp;row=1663&amp;col=6&amp;number=19.32&amp;sourceID=14","19.32")</f>
        <v>19.32</v>
      </c>
      <c r="G1663" s="4" t="str">
        <f>HYPERLINK("http://141.218.60.56/~jnz1568/getInfo.php?workbook=14_04.xlsx&amp;sheet=A0&amp;row=1663&amp;col=7&amp;number=0&amp;sourceID=14","0")</f>
        <v>0</v>
      </c>
    </row>
    <row r="1664" spans="1:7">
      <c r="A1664" s="3">
        <v>14</v>
      </c>
      <c r="B1664" s="3">
        <v>4</v>
      </c>
      <c r="C1664" s="3">
        <v>92</v>
      </c>
      <c r="D1664" s="3">
        <v>27</v>
      </c>
      <c r="E1664" s="3">
        <v>121.065</v>
      </c>
      <c r="F1664" s="4" t="str">
        <f>HYPERLINK("http://141.218.60.56/~jnz1568/getInfo.php?workbook=14_04.xlsx&amp;sheet=A0&amp;row=1664&amp;col=6&amp;number=2.295&amp;sourceID=14","2.295")</f>
        <v>2.295</v>
      </c>
      <c r="G1664" s="4" t="str">
        <f>HYPERLINK("http://141.218.60.56/~jnz1568/getInfo.php?workbook=14_04.xlsx&amp;sheet=A0&amp;row=1664&amp;col=7&amp;number=0&amp;sourceID=14","0")</f>
        <v>0</v>
      </c>
    </row>
    <row r="1665" spans="1:7">
      <c r="A1665" s="3">
        <v>14</v>
      </c>
      <c r="B1665" s="3">
        <v>4</v>
      </c>
      <c r="C1665" s="3">
        <v>29</v>
      </c>
      <c r="D1665" s="3">
        <v>28</v>
      </c>
      <c r="E1665" s="3">
        <v>6585.025</v>
      </c>
      <c r="F1665" s="4" t="str">
        <f>HYPERLINK("http://141.218.60.56/~jnz1568/getInfo.php?workbook=14_04.xlsx&amp;sheet=A0&amp;row=1665&amp;col=6&amp;number=0.027&amp;sourceID=14","0.027")</f>
        <v>0.027</v>
      </c>
      <c r="G1665" s="4" t="str">
        <f>HYPERLINK("http://141.218.60.56/~jnz1568/getInfo.php?workbook=14_04.xlsx&amp;sheet=A0&amp;row=1665&amp;col=7&amp;number=0&amp;sourceID=14","0")</f>
        <v>0</v>
      </c>
    </row>
    <row r="1666" spans="1:7">
      <c r="A1666" s="3">
        <v>14</v>
      </c>
      <c r="B1666" s="3">
        <v>4</v>
      </c>
      <c r="C1666" s="3">
        <v>31</v>
      </c>
      <c r="D1666" s="3">
        <v>28</v>
      </c>
      <c r="E1666" s="3">
        <v>3689.091</v>
      </c>
      <c r="F1666" s="4" t="str">
        <f>HYPERLINK("http://141.218.60.56/~jnz1568/getInfo.php?workbook=14_04.xlsx&amp;sheet=A0&amp;row=1666&amp;col=6&amp;number=0.543&amp;sourceID=14","0.543")</f>
        <v>0.543</v>
      </c>
      <c r="G1666" s="4" t="str">
        <f>HYPERLINK("http://141.218.60.56/~jnz1568/getInfo.php?workbook=14_04.xlsx&amp;sheet=A0&amp;row=1666&amp;col=7&amp;number=0&amp;sourceID=14","0")</f>
        <v>0</v>
      </c>
    </row>
    <row r="1667" spans="1:7">
      <c r="A1667" s="3">
        <v>14</v>
      </c>
      <c r="B1667" s="3">
        <v>4</v>
      </c>
      <c r="C1667" s="3">
        <v>32</v>
      </c>
      <c r="D1667" s="3">
        <v>28</v>
      </c>
      <c r="E1667" s="3">
        <v>3680.943</v>
      </c>
      <c r="F1667" s="4" t="str">
        <f>HYPERLINK("http://141.218.60.56/~jnz1568/getInfo.php?workbook=14_04.xlsx&amp;sheet=A0&amp;row=1667&amp;col=6&amp;number=2.491&amp;sourceID=14","2.491")</f>
        <v>2.491</v>
      </c>
      <c r="G1667" s="4" t="str">
        <f>HYPERLINK("http://141.218.60.56/~jnz1568/getInfo.php?workbook=14_04.xlsx&amp;sheet=A0&amp;row=1667&amp;col=7&amp;number=0&amp;sourceID=14","0")</f>
        <v>0</v>
      </c>
    </row>
    <row r="1668" spans="1:7">
      <c r="A1668" s="3">
        <v>14</v>
      </c>
      <c r="B1668" s="3">
        <v>4</v>
      </c>
      <c r="C1668" s="3">
        <v>33</v>
      </c>
      <c r="D1668" s="3">
        <v>28</v>
      </c>
      <c r="E1668" s="3">
        <v>-3317.975</v>
      </c>
      <c r="F1668" s="4" t="str">
        <f>HYPERLINK("http://141.218.60.56/~jnz1568/getInfo.php?workbook=14_04.xlsx&amp;sheet=A0&amp;row=1668&amp;col=6&amp;number=29380&amp;sourceID=14","29380")</f>
        <v>29380</v>
      </c>
      <c r="G1668" s="4" t="str">
        <f>HYPERLINK("http://141.218.60.56/~jnz1568/getInfo.php?workbook=14_04.xlsx&amp;sheet=A0&amp;row=1668&amp;col=7&amp;number=0&amp;sourceID=14","0")</f>
        <v>0</v>
      </c>
    </row>
    <row r="1669" spans="1:7">
      <c r="A1669" s="3">
        <v>14</v>
      </c>
      <c r="B1669" s="3">
        <v>4</v>
      </c>
      <c r="C1669" s="3">
        <v>34</v>
      </c>
      <c r="D1669" s="3">
        <v>28</v>
      </c>
      <c r="E1669" s="3">
        <v>-2921.172</v>
      </c>
      <c r="F1669" s="4" t="str">
        <f>HYPERLINK("http://141.218.60.56/~jnz1568/getInfo.php?workbook=14_04.xlsx&amp;sheet=A0&amp;row=1669&amp;col=6&amp;number=2455000&amp;sourceID=14","2455000")</f>
        <v>2455000</v>
      </c>
      <c r="G1669" s="4" t="str">
        <f>HYPERLINK("http://141.218.60.56/~jnz1568/getInfo.php?workbook=14_04.xlsx&amp;sheet=A0&amp;row=1669&amp;col=7&amp;number=0&amp;sourceID=14","0")</f>
        <v>0</v>
      </c>
    </row>
    <row r="1670" spans="1:7">
      <c r="A1670" s="3">
        <v>14</v>
      </c>
      <c r="B1670" s="3">
        <v>4</v>
      </c>
      <c r="C1670" s="3">
        <v>35</v>
      </c>
      <c r="D1670" s="3">
        <v>28</v>
      </c>
      <c r="E1670" s="3">
        <v>2512.062</v>
      </c>
      <c r="F1670" s="4" t="str">
        <f>HYPERLINK("http://141.218.60.56/~jnz1568/getInfo.php?workbook=14_04.xlsx&amp;sheet=A0&amp;row=1670&amp;col=6&amp;number=124000&amp;sourceID=14","124000")</f>
        <v>124000</v>
      </c>
      <c r="G1670" s="4" t="str">
        <f>HYPERLINK("http://141.218.60.56/~jnz1568/getInfo.php?workbook=14_04.xlsx&amp;sheet=A0&amp;row=1670&amp;col=7&amp;number=0&amp;sourceID=14","0")</f>
        <v>0</v>
      </c>
    </row>
    <row r="1671" spans="1:7">
      <c r="A1671" s="3">
        <v>14</v>
      </c>
      <c r="B1671" s="3">
        <v>4</v>
      </c>
      <c r="C1671" s="3">
        <v>36</v>
      </c>
      <c r="D1671" s="3">
        <v>28</v>
      </c>
      <c r="E1671" s="3">
        <v>-2592.46</v>
      </c>
      <c r="F1671" s="4" t="str">
        <f>HYPERLINK("http://141.218.60.56/~jnz1568/getInfo.php?workbook=14_04.xlsx&amp;sheet=A0&amp;row=1671&amp;col=6&amp;number=40940000&amp;sourceID=14","40940000")</f>
        <v>40940000</v>
      </c>
      <c r="G1671" s="4" t="str">
        <f>HYPERLINK("http://141.218.60.56/~jnz1568/getInfo.php?workbook=14_04.xlsx&amp;sheet=A0&amp;row=1671&amp;col=7&amp;number=0&amp;sourceID=14","0")</f>
        <v>0</v>
      </c>
    </row>
    <row r="1672" spans="1:7">
      <c r="A1672" s="3">
        <v>14</v>
      </c>
      <c r="B1672" s="3">
        <v>4</v>
      </c>
      <c r="C1672" s="3">
        <v>37</v>
      </c>
      <c r="D1672" s="3">
        <v>28</v>
      </c>
      <c r="E1672" s="3">
        <v>2119.187</v>
      </c>
      <c r="F1672" s="4" t="str">
        <f>HYPERLINK("http://141.218.60.56/~jnz1568/getInfo.php?workbook=14_04.xlsx&amp;sheet=A0&amp;row=1672&amp;col=6&amp;number=4.692&amp;sourceID=14","4.692")</f>
        <v>4.692</v>
      </c>
      <c r="G1672" s="4" t="str">
        <f>HYPERLINK("http://141.218.60.56/~jnz1568/getInfo.php?workbook=14_04.xlsx&amp;sheet=A0&amp;row=1672&amp;col=7&amp;number=0&amp;sourceID=14","0")</f>
        <v>0</v>
      </c>
    </row>
    <row r="1673" spans="1:7">
      <c r="A1673" s="3">
        <v>14</v>
      </c>
      <c r="B1673" s="3">
        <v>4</v>
      </c>
      <c r="C1673" s="3">
        <v>39</v>
      </c>
      <c r="D1673" s="3">
        <v>28</v>
      </c>
      <c r="E1673" s="3">
        <v>1736.024</v>
      </c>
      <c r="F1673" s="4" t="str">
        <f>HYPERLINK("http://141.218.60.56/~jnz1568/getInfo.php?workbook=14_04.xlsx&amp;sheet=A0&amp;row=1673&amp;col=6&amp;number=355900&amp;sourceID=14","355900")</f>
        <v>355900</v>
      </c>
      <c r="G1673" s="4" t="str">
        <f>HYPERLINK("http://141.218.60.56/~jnz1568/getInfo.php?workbook=14_04.xlsx&amp;sheet=A0&amp;row=1673&amp;col=7&amp;number=0&amp;sourceID=14","0")</f>
        <v>0</v>
      </c>
    </row>
    <row r="1674" spans="1:7">
      <c r="A1674" s="3">
        <v>14</v>
      </c>
      <c r="B1674" s="3">
        <v>4</v>
      </c>
      <c r="C1674" s="3">
        <v>40</v>
      </c>
      <c r="D1674" s="3">
        <v>28</v>
      </c>
      <c r="E1674" s="3">
        <v>1649.624</v>
      </c>
      <c r="F1674" s="4" t="str">
        <f>HYPERLINK("http://141.218.60.56/~jnz1568/getInfo.php?workbook=14_04.xlsx&amp;sheet=A0&amp;row=1674&amp;col=6&amp;number=30920000&amp;sourceID=14","30920000")</f>
        <v>30920000</v>
      </c>
      <c r="G1674" s="4" t="str">
        <f>HYPERLINK("http://141.218.60.56/~jnz1568/getInfo.php?workbook=14_04.xlsx&amp;sheet=A0&amp;row=1674&amp;col=7&amp;number=0&amp;sourceID=14","0")</f>
        <v>0</v>
      </c>
    </row>
    <row r="1675" spans="1:7">
      <c r="A1675" s="3">
        <v>14</v>
      </c>
      <c r="B1675" s="3">
        <v>4</v>
      </c>
      <c r="C1675" s="3">
        <v>41</v>
      </c>
      <c r="D1675" s="3">
        <v>28</v>
      </c>
      <c r="E1675" s="3">
        <v>1397.861</v>
      </c>
      <c r="F1675" s="4" t="str">
        <f>HYPERLINK("http://141.218.60.56/~jnz1568/getInfo.php?workbook=14_04.xlsx&amp;sheet=A0&amp;row=1675&amp;col=6&amp;number=46580000&amp;sourceID=14","46580000")</f>
        <v>46580000</v>
      </c>
      <c r="G1675" s="4" t="str">
        <f>HYPERLINK("http://141.218.60.56/~jnz1568/getInfo.php?workbook=14_04.xlsx&amp;sheet=A0&amp;row=1675&amp;col=7&amp;number=0&amp;sourceID=14","0")</f>
        <v>0</v>
      </c>
    </row>
    <row r="1676" spans="1:7">
      <c r="A1676" s="3">
        <v>14</v>
      </c>
      <c r="B1676" s="3">
        <v>4</v>
      </c>
      <c r="C1676" s="3">
        <v>45</v>
      </c>
      <c r="D1676" s="3">
        <v>28</v>
      </c>
      <c r="E1676" s="3">
        <v>1023.564</v>
      </c>
      <c r="F1676" s="4" t="str">
        <f>HYPERLINK("http://141.218.60.56/~jnz1568/getInfo.php?workbook=14_04.xlsx&amp;sheet=A0&amp;row=1676&amp;col=6&amp;number=68400&amp;sourceID=14","68400")</f>
        <v>68400</v>
      </c>
      <c r="G1676" s="4" t="str">
        <f>HYPERLINK("http://141.218.60.56/~jnz1568/getInfo.php?workbook=14_04.xlsx&amp;sheet=A0&amp;row=1676&amp;col=7&amp;number=0&amp;sourceID=14","0")</f>
        <v>0</v>
      </c>
    </row>
    <row r="1677" spans="1:7">
      <c r="A1677" s="3">
        <v>14</v>
      </c>
      <c r="B1677" s="3">
        <v>4</v>
      </c>
      <c r="C1677" s="3">
        <v>47</v>
      </c>
      <c r="D1677" s="3">
        <v>28</v>
      </c>
      <c r="E1677" s="3">
        <v>221.43</v>
      </c>
      <c r="F1677" s="4" t="str">
        <f>HYPERLINK("http://141.218.60.56/~jnz1568/getInfo.php?workbook=14_04.xlsx&amp;sheet=A0&amp;row=1677&amp;col=6&amp;number=350&amp;sourceID=14","350")</f>
        <v>350</v>
      </c>
      <c r="G1677" s="4" t="str">
        <f>HYPERLINK("http://141.218.60.56/~jnz1568/getInfo.php?workbook=14_04.xlsx&amp;sheet=A0&amp;row=1677&amp;col=7&amp;number=0&amp;sourceID=14","0")</f>
        <v>0</v>
      </c>
    </row>
    <row r="1678" spans="1:7">
      <c r="A1678" s="3">
        <v>14</v>
      </c>
      <c r="B1678" s="3">
        <v>4</v>
      </c>
      <c r="C1678" s="3">
        <v>51</v>
      </c>
      <c r="D1678" s="3">
        <v>28</v>
      </c>
      <c r="E1678" s="3">
        <v>199.451</v>
      </c>
      <c r="F1678" s="4" t="str">
        <f>HYPERLINK("http://141.218.60.56/~jnz1568/getInfo.php?workbook=14_04.xlsx&amp;sheet=A0&amp;row=1678&amp;col=6&amp;number=2568000&amp;sourceID=14","2568000")</f>
        <v>2568000</v>
      </c>
      <c r="G1678" s="4" t="str">
        <f>HYPERLINK("http://141.218.60.56/~jnz1568/getInfo.php?workbook=14_04.xlsx&amp;sheet=A0&amp;row=1678&amp;col=7&amp;number=0&amp;sourceID=14","0")</f>
        <v>0</v>
      </c>
    </row>
    <row r="1679" spans="1:7">
      <c r="A1679" s="3">
        <v>14</v>
      </c>
      <c r="B1679" s="3">
        <v>4</v>
      </c>
      <c r="C1679" s="3">
        <v>53</v>
      </c>
      <c r="D1679" s="3">
        <v>28</v>
      </c>
      <c r="E1679" s="3">
        <v>194.869</v>
      </c>
      <c r="F1679" s="4" t="str">
        <f>HYPERLINK("http://141.218.60.56/~jnz1568/getInfo.php?workbook=14_04.xlsx&amp;sheet=A0&amp;row=1679&amp;col=6&amp;number=227.2&amp;sourceID=14","227.2")</f>
        <v>227.2</v>
      </c>
      <c r="G1679" s="4" t="str">
        <f>HYPERLINK("http://141.218.60.56/~jnz1568/getInfo.php?workbook=14_04.xlsx&amp;sheet=A0&amp;row=1679&amp;col=7&amp;number=0&amp;sourceID=14","0")</f>
        <v>0</v>
      </c>
    </row>
    <row r="1680" spans="1:7">
      <c r="A1680" s="3">
        <v>14</v>
      </c>
      <c r="B1680" s="3">
        <v>4</v>
      </c>
      <c r="C1680" s="3">
        <v>54</v>
      </c>
      <c r="D1680" s="3">
        <v>28</v>
      </c>
      <c r="E1680" s="3">
        <v>194.88</v>
      </c>
      <c r="F1680" s="4" t="str">
        <f>HYPERLINK("http://141.218.60.56/~jnz1568/getInfo.php?workbook=14_04.xlsx&amp;sheet=A0&amp;row=1680&amp;col=6&amp;number=1372&amp;sourceID=14","1372")</f>
        <v>1372</v>
      </c>
      <c r="G1680" s="4" t="str">
        <f>HYPERLINK("http://141.218.60.56/~jnz1568/getInfo.php?workbook=14_04.xlsx&amp;sheet=A0&amp;row=1680&amp;col=7&amp;number=0&amp;sourceID=14","0")</f>
        <v>0</v>
      </c>
    </row>
    <row r="1681" spans="1:7">
      <c r="A1681" s="3">
        <v>14</v>
      </c>
      <c r="B1681" s="3">
        <v>4</v>
      </c>
      <c r="C1681" s="3">
        <v>55</v>
      </c>
      <c r="D1681" s="3">
        <v>28</v>
      </c>
      <c r="E1681" s="3">
        <v>194.567</v>
      </c>
      <c r="F1681" s="4" t="str">
        <f>HYPERLINK("http://141.218.60.56/~jnz1568/getInfo.php?workbook=14_04.xlsx&amp;sheet=A0&amp;row=1681&amp;col=6&amp;number=2398&amp;sourceID=14","2398")</f>
        <v>2398</v>
      </c>
      <c r="G1681" s="4" t="str">
        <f>HYPERLINK("http://141.218.60.56/~jnz1568/getInfo.php?workbook=14_04.xlsx&amp;sheet=A0&amp;row=1681&amp;col=7&amp;number=0&amp;sourceID=14","0")</f>
        <v>0</v>
      </c>
    </row>
    <row r="1682" spans="1:7">
      <c r="A1682" s="3">
        <v>14</v>
      </c>
      <c r="B1682" s="3">
        <v>4</v>
      </c>
      <c r="C1682" s="3">
        <v>56</v>
      </c>
      <c r="D1682" s="3">
        <v>28</v>
      </c>
      <c r="E1682" s="3">
        <v>190.588</v>
      </c>
      <c r="F1682" s="4" t="str">
        <f>HYPERLINK("http://141.218.60.56/~jnz1568/getInfo.php?workbook=14_04.xlsx&amp;sheet=A0&amp;row=1682&amp;col=6&amp;number=0.6849&amp;sourceID=14","0.6849")</f>
        <v>0.6849</v>
      </c>
      <c r="G1682" s="4" t="str">
        <f>HYPERLINK("http://141.218.60.56/~jnz1568/getInfo.php?workbook=14_04.xlsx&amp;sheet=A0&amp;row=1682&amp;col=7&amp;number=0&amp;sourceID=14","0")</f>
        <v>0</v>
      </c>
    </row>
    <row r="1683" spans="1:7">
      <c r="A1683" s="3">
        <v>14</v>
      </c>
      <c r="B1683" s="3">
        <v>4</v>
      </c>
      <c r="C1683" s="3">
        <v>59</v>
      </c>
      <c r="D1683" s="3">
        <v>28</v>
      </c>
      <c r="E1683" s="3">
        <v>150.592</v>
      </c>
      <c r="F1683" s="4" t="str">
        <f>HYPERLINK("http://141.218.60.56/~jnz1568/getInfo.php?workbook=14_04.xlsx&amp;sheet=A0&amp;row=1683&amp;col=6&amp;number=17260000000&amp;sourceID=14","17260000000")</f>
        <v>17260000000</v>
      </c>
      <c r="G1683" s="4" t="str">
        <f>HYPERLINK("http://141.218.60.56/~jnz1568/getInfo.php?workbook=14_04.xlsx&amp;sheet=A0&amp;row=1683&amp;col=7&amp;number=0&amp;sourceID=14","0")</f>
        <v>0</v>
      </c>
    </row>
    <row r="1684" spans="1:7">
      <c r="A1684" s="3">
        <v>14</v>
      </c>
      <c r="B1684" s="3">
        <v>4</v>
      </c>
      <c r="C1684" s="3">
        <v>61</v>
      </c>
      <c r="D1684" s="3">
        <v>28</v>
      </c>
      <c r="E1684" s="3">
        <v>-145.485</v>
      </c>
      <c r="F1684" s="4" t="str">
        <f>HYPERLINK("http://141.218.60.56/~jnz1568/getInfo.php?workbook=14_04.xlsx&amp;sheet=A0&amp;row=1684&amp;col=6&amp;number=67210&amp;sourceID=14","67210")</f>
        <v>67210</v>
      </c>
      <c r="G1684" s="4" t="str">
        <f>HYPERLINK("http://141.218.60.56/~jnz1568/getInfo.php?workbook=14_04.xlsx&amp;sheet=A0&amp;row=1684&amp;col=7&amp;number=0&amp;sourceID=14","0")</f>
        <v>0</v>
      </c>
    </row>
    <row r="1685" spans="1:7">
      <c r="A1685" s="3">
        <v>14</v>
      </c>
      <c r="B1685" s="3">
        <v>4</v>
      </c>
      <c r="C1685" s="3">
        <v>62</v>
      </c>
      <c r="D1685" s="3">
        <v>28</v>
      </c>
      <c r="E1685" s="3">
        <v>-146.418</v>
      </c>
      <c r="F1685" s="4" t="str">
        <f>HYPERLINK("http://141.218.60.56/~jnz1568/getInfo.php?workbook=14_04.xlsx&amp;sheet=A0&amp;row=1685&amp;col=6&amp;number=5960&amp;sourceID=14","5960")</f>
        <v>5960</v>
      </c>
      <c r="G1685" s="4" t="str">
        <f>HYPERLINK("http://141.218.60.56/~jnz1568/getInfo.php?workbook=14_04.xlsx&amp;sheet=A0&amp;row=1685&amp;col=7&amp;number=0&amp;sourceID=14","0")</f>
        <v>0</v>
      </c>
    </row>
    <row r="1686" spans="1:7">
      <c r="A1686" s="3">
        <v>14</v>
      </c>
      <c r="B1686" s="3">
        <v>4</v>
      </c>
      <c r="C1686" s="3">
        <v>63</v>
      </c>
      <c r="D1686" s="3">
        <v>28</v>
      </c>
      <c r="E1686" s="3">
        <v>-145.431</v>
      </c>
      <c r="F1686" s="4" t="str">
        <f>HYPERLINK("http://141.218.60.56/~jnz1568/getInfo.php?workbook=14_04.xlsx&amp;sheet=A0&amp;row=1686&amp;col=6&amp;number=288200&amp;sourceID=14","288200")</f>
        <v>288200</v>
      </c>
      <c r="G1686" s="4" t="str">
        <f>HYPERLINK("http://141.218.60.56/~jnz1568/getInfo.php?workbook=14_04.xlsx&amp;sheet=A0&amp;row=1686&amp;col=7&amp;number=0&amp;sourceID=14","0")</f>
        <v>0</v>
      </c>
    </row>
    <row r="1687" spans="1:7">
      <c r="A1687" s="3">
        <v>14</v>
      </c>
      <c r="B1687" s="3">
        <v>4</v>
      </c>
      <c r="C1687" s="3">
        <v>64</v>
      </c>
      <c r="D1687" s="3">
        <v>28</v>
      </c>
      <c r="E1687" s="3">
        <v>-144.292</v>
      </c>
      <c r="F1687" s="4" t="str">
        <f>HYPERLINK("http://141.218.60.56/~jnz1568/getInfo.php?workbook=14_04.xlsx&amp;sheet=A0&amp;row=1687&amp;col=6&amp;number=1246000&amp;sourceID=14","1246000")</f>
        <v>1246000</v>
      </c>
      <c r="G1687" s="4" t="str">
        <f>HYPERLINK("http://141.218.60.56/~jnz1568/getInfo.php?workbook=14_04.xlsx&amp;sheet=A0&amp;row=1687&amp;col=7&amp;number=0&amp;sourceID=14","0")</f>
        <v>0</v>
      </c>
    </row>
    <row r="1688" spans="1:7">
      <c r="A1688" s="3">
        <v>14</v>
      </c>
      <c r="B1688" s="3">
        <v>4</v>
      </c>
      <c r="C1688" s="3">
        <v>65</v>
      </c>
      <c r="D1688" s="3">
        <v>28</v>
      </c>
      <c r="E1688" s="3">
        <v>-143.924</v>
      </c>
      <c r="F1688" s="4" t="str">
        <f>HYPERLINK("http://141.218.60.56/~jnz1568/getInfo.php?workbook=14_04.xlsx&amp;sheet=A0&amp;row=1688&amp;col=6&amp;number=121100&amp;sourceID=14","121100")</f>
        <v>121100</v>
      </c>
      <c r="G1688" s="4" t="str">
        <f>HYPERLINK("http://141.218.60.56/~jnz1568/getInfo.php?workbook=14_04.xlsx&amp;sheet=A0&amp;row=1688&amp;col=7&amp;number=0&amp;sourceID=14","0")</f>
        <v>0</v>
      </c>
    </row>
    <row r="1689" spans="1:7">
      <c r="A1689" s="3">
        <v>14</v>
      </c>
      <c r="B1689" s="3">
        <v>4</v>
      </c>
      <c r="C1689" s="3">
        <v>67</v>
      </c>
      <c r="D1689" s="3">
        <v>28</v>
      </c>
      <c r="E1689" s="3">
        <v>-143.024</v>
      </c>
      <c r="F1689" s="4" t="str">
        <f>HYPERLINK("http://141.218.60.56/~jnz1568/getInfo.php?workbook=14_04.xlsx&amp;sheet=A0&amp;row=1689&amp;col=6&amp;number=4020000&amp;sourceID=14","4020000")</f>
        <v>4020000</v>
      </c>
      <c r="G1689" s="4" t="str">
        <f>HYPERLINK("http://141.218.60.56/~jnz1568/getInfo.php?workbook=14_04.xlsx&amp;sheet=A0&amp;row=1689&amp;col=7&amp;number=0&amp;sourceID=14","0")</f>
        <v>0</v>
      </c>
    </row>
    <row r="1690" spans="1:7">
      <c r="A1690" s="3">
        <v>14</v>
      </c>
      <c r="B1690" s="3">
        <v>4</v>
      </c>
      <c r="C1690" s="3">
        <v>68</v>
      </c>
      <c r="D1690" s="3">
        <v>28</v>
      </c>
      <c r="E1690" s="3">
        <v>-142.862</v>
      </c>
      <c r="F1690" s="4" t="str">
        <f>HYPERLINK("http://141.218.60.56/~jnz1568/getInfo.php?workbook=14_04.xlsx&amp;sheet=A0&amp;row=1690&amp;col=6&amp;number=2533000&amp;sourceID=14","2533000")</f>
        <v>2533000</v>
      </c>
      <c r="G1690" s="4" t="str">
        <f>HYPERLINK("http://141.218.60.56/~jnz1568/getInfo.php?workbook=14_04.xlsx&amp;sheet=A0&amp;row=1690&amp;col=7&amp;number=0&amp;sourceID=14","0")</f>
        <v>0</v>
      </c>
    </row>
    <row r="1691" spans="1:7">
      <c r="A1691" s="3">
        <v>14</v>
      </c>
      <c r="B1691" s="3">
        <v>4</v>
      </c>
      <c r="C1691" s="3">
        <v>69</v>
      </c>
      <c r="D1691" s="3">
        <v>28</v>
      </c>
      <c r="E1691" s="3">
        <v>-142.697</v>
      </c>
      <c r="F1691" s="4" t="str">
        <f>HYPERLINK("http://141.218.60.56/~jnz1568/getInfo.php?workbook=14_04.xlsx&amp;sheet=A0&amp;row=1691&amp;col=6&amp;number=77610000&amp;sourceID=14","77610000")</f>
        <v>77610000</v>
      </c>
      <c r="G1691" s="4" t="str">
        <f>HYPERLINK("http://141.218.60.56/~jnz1568/getInfo.php?workbook=14_04.xlsx&amp;sheet=A0&amp;row=1691&amp;col=7&amp;number=0&amp;sourceID=14","0")</f>
        <v>0</v>
      </c>
    </row>
    <row r="1692" spans="1:7">
      <c r="A1692" s="3">
        <v>14</v>
      </c>
      <c r="B1692" s="3">
        <v>4</v>
      </c>
      <c r="C1692" s="3">
        <v>70</v>
      </c>
      <c r="D1692" s="3">
        <v>28</v>
      </c>
      <c r="E1692" s="3">
        <v>-142.001</v>
      </c>
      <c r="F1692" s="4" t="str">
        <f>HYPERLINK("http://141.218.60.56/~jnz1568/getInfo.php?workbook=14_04.xlsx&amp;sheet=A0&amp;row=1692&amp;col=6&amp;number=4029000000&amp;sourceID=14","4029000000")</f>
        <v>4029000000</v>
      </c>
      <c r="G1692" s="4" t="str">
        <f>HYPERLINK("http://141.218.60.56/~jnz1568/getInfo.php?workbook=14_04.xlsx&amp;sheet=A0&amp;row=1692&amp;col=7&amp;number=0&amp;sourceID=14","0")</f>
        <v>0</v>
      </c>
    </row>
    <row r="1693" spans="1:7">
      <c r="A1693" s="3">
        <v>14</v>
      </c>
      <c r="B1693" s="3">
        <v>4</v>
      </c>
      <c r="C1693" s="3">
        <v>71</v>
      </c>
      <c r="D1693" s="3">
        <v>28</v>
      </c>
      <c r="E1693" s="3">
        <v>-141.717</v>
      </c>
      <c r="F1693" s="4" t="str">
        <f>HYPERLINK("http://141.218.60.56/~jnz1568/getInfo.php?workbook=14_04.xlsx&amp;sheet=A0&amp;row=1693&amp;col=6&amp;number=28150000&amp;sourceID=14","28150000")</f>
        <v>28150000</v>
      </c>
      <c r="G1693" s="4" t="str">
        <f>HYPERLINK("http://141.218.60.56/~jnz1568/getInfo.php?workbook=14_04.xlsx&amp;sheet=A0&amp;row=1693&amp;col=7&amp;number=0&amp;sourceID=14","0")</f>
        <v>0</v>
      </c>
    </row>
    <row r="1694" spans="1:7">
      <c r="A1694" s="3">
        <v>14</v>
      </c>
      <c r="B1694" s="3">
        <v>4</v>
      </c>
      <c r="C1694" s="3">
        <v>72</v>
      </c>
      <c r="D1694" s="3">
        <v>28</v>
      </c>
      <c r="E1694" s="3">
        <v>-141.281</v>
      </c>
      <c r="F1694" s="4" t="str">
        <f>HYPERLINK("http://141.218.60.56/~jnz1568/getInfo.php?workbook=14_04.xlsx&amp;sheet=A0&amp;row=1694&amp;col=6&amp;number=58450&amp;sourceID=14","58450")</f>
        <v>58450</v>
      </c>
      <c r="G1694" s="4" t="str">
        <f>HYPERLINK("http://141.218.60.56/~jnz1568/getInfo.php?workbook=14_04.xlsx&amp;sheet=A0&amp;row=1694&amp;col=7&amp;number=0&amp;sourceID=14","0")</f>
        <v>0</v>
      </c>
    </row>
    <row r="1695" spans="1:7">
      <c r="A1695" s="3">
        <v>14</v>
      </c>
      <c r="B1695" s="3">
        <v>4</v>
      </c>
      <c r="C1695" s="3">
        <v>73</v>
      </c>
      <c r="D1695" s="3">
        <v>28</v>
      </c>
      <c r="E1695" s="3">
        <v>-141.018</v>
      </c>
      <c r="F1695" s="4" t="str">
        <f>HYPERLINK("http://141.218.60.56/~jnz1568/getInfo.php?workbook=14_04.xlsx&amp;sheet=A0&amp;row=1695&amp;col=6&amp;number=103500000000&amp;sourceID=14","103500000000")</f>
        <v>103500000000</v>
      </c>
      <c r="G1695" s="4" t="str">
        <f>HYPERLINK("http://141.218.60.56/~jnz1568/getInfo.php?workbook=14_04.xlsx&amp;sheet=A0&amp;row=1695&amp;col=7&amp;number=0&amp;sourceID=14","0")</f>
        <v>0</v>
      </c>
    </row>
    <row r="1696" spans="1:7">
      <c r="A1696" s="3">
        <v>14</v>
      </c>
      <c r="B1696" s="3">
        <v>4</v>
      </c>
      <c r="C1696" s="3">
        <v>75</v>
      </c>
      <c r="D1696" s="3">
        <v>28</v>
      </c>
      <c r="E1696" s="3">
        <v>-140.34</v>
      </c>
      <c r="F1696" s="4" t="str">
        <f>HYPERLINK("http://141.218.60.56/~jnz1568/getInfo.php?workbook=14_04.xlsx&amp;sheet=A0&amp;row=1696&amp;col=6&amp;number=705100000&amp;sourceID=14","705100000")</f>
        <v>705100000</v>
      </c>
      <c r="G1696" s="4" t="str">
        <f>HYPERLINK("http://141.218.60.56/~jnz1568/getInfo.php?workbook=14_04.xlsx&amp;sheet=A0&amp;row=1696&amp;col=7&amp;number=0&amp;sourceID=14","0")</f>
        <v>0</v>
      </c>
    </row>
    <row r="1697" spans="1:7">
      <c r="A1697" s="3">
        <v>14</v>
      </c>
      <c r="B1697" s="3">
        <v>4</v>
      </c>
      <c r="C1697" s="3">
        <v>76</v>
      </c>
      <c r="D1697" s="3">
        <v>28</v>
      </c>
      <c r="E1697" s="3">
        <v>139.041</v>
      </c>
      <c r="F1697" s="4" t="str">
        <f>HYPERLINK("http://141.218.60.56/~jnz1568/getInfo.php?workbook=14_04.xlsx&amp;sheet=A0&amp;row=1697&amp;col=6&amp;number=30500000000&amp;sourceID=14","30500000000")</f>
        <v>30500000000</v>
      </c>
      <c r="G1697" s="4" t="str">
        <f>HYPERLINK("http://141.218.60.56/~jnz1568/getInfo.php?workbook=14_04.xlsx&amp;sheet=A0&amp;row=1697&amp;col=7&amp;number=0&amp;sourceID=14","0")</f>
        <v>0</v>
      </c>
    </row>
    <row r="1698" spans="1:7">
      <c r="A1698" s="3">
        <v>14</v>
      </c>
      <c r="B1698" s="3">
        <v>4</v>
      </c>
      <c r="C1698" s="3">
        <v>77</v>
      </c>
      <c r="D1698" s="3">
        <v>28</v>
      </c>
      <c r="E1698" s="3">
        <v>138.865</v>
      </c>
      <c r="F1698" s="4" t="str">
        <f>HYPERLINK("http://141.218.60.56/~jnz1568/getInfo.php?workbook=14_04.xlsx&amp;sheet=A0&amp;row=1698&amp;col=6&amp;number=6314000000&amp;sourceID=14","6314000000")</f>
        <v>6314000000</v>
      </c>
      <c r="G1698" s="4" t="str">
        <f>HYPERLINK("http://141.218.60.56/~jnz1568/getInfo.php?workbook=14_04.xlsx&amp;sheet=A0&amp;row=1698&amp;col=7&amp;number=0&amp;sourceID=14","0")</f>
        <v>0</v>
      </c>
    </row>
    <row r="1699" spans="1:7">
      <c r="A1699" s="3">
        <v>14</v>
      </c>
      <c r="B1699" s="3">
        <v>4</v>
      </c>
      <c r="C1699" s="3">
        <v>81</v>
      </c>
      <c r="D1699" s="3">
        <v>28</v>
      </c>
      <c r="E1699" s="3">
        <v>136.94</v>
      </c>
      <c r="F1699" s="4" t="str">
        <f>HYPERLINK("http://141.218.60.56/~jnz1568/getInfo.php?workbook=14_04.xlsx&amp;sheet=A0&amp;row=1699&amp;col=6&amp;number=74880000&amp;sourceID=14","74880000")</f>
        <v>74880000</v>
      </c>
      <c r="G1699" s="4" t="str">
        <f>HYPERLINK("http://141.218.60.56/~jnz1568/getInfo.php?workbook=14_04.xlsx&amp;sheet=A0&amp;row=1699&amp;col=7&amp;number=0&amp;sourceID=14","0")</f>
        <v>0</v>
      </c>
    </row>
    <row r="1700" spans="1:7">
      <c r="A1700" s="3">
        <v>14</v>
      </c>
      <c r="B1700" s="3">
        <v>4</v>
      </c>
      <c r="C1700" s="3">
        <v>83</v>
      </c>
      <c r="D1700" s="3">
        <v>28</v>
      </c>
      <c r="E1700" s="3">
        <v>-126.315</v>
      </c>
      <c r="F1700" s="4" t="str">
        <f>HYPERLINK("http://141.218.60.56/~jnz1568/getInfo.php?workbook=14_04.xlsx&amp;sheet=A0&amp;row=1700&amp;col=6&amp;number=1223&amp;sourceID=14","1223")</f>
        <v>1223</v>
      </c>
      <c r="G1700" s="4" t="str">
        <f>HYPERLINK("http://141.218.60.56/~jnz1568/getInfo.php?workbook=14_04.xlsx&amp;sheet=A0&amp;row=1700&amp;col=7&amp;number=0&amp;sourceID=14","0")</f>
        <v>0</v>
      </c>
    </row>
    <row r="1701" spans="1:7">
      <c r="A1701" s="3">
        <v>14</v>
      </c>
      <c r="B1701" s="3">
        <v>4</v>
      </c>
      <c r="C1701" s="3">
        <v>87</v>
      </c>
      <c r="D1701" s="3">
        <v>28</v>
      </c>
      <c r="E1701" s="3">
        <v>122.76</v>
      </c>
      <c r="F1701" s="4" t="str">
        <f>HYPERLINK("http://141.218.60.56/~jnz1568/getInfo.php?workbook=14_04.xlsx&amp;sheet=A0&amp;row=1701&amp;col=6&amp;number=595900&amp;sourceID=14","595900")</f>
        <v>595900</v>
      </c>
      <c r="G1701" s="4" t="str">
        <f>HYPERLINK("http://141.218.60.56/~jnz1568/getInfo.php?workbook=14_04.xlsx&amp;sheet=A0&amp;row=1701&amp;col=7&amp;number=0&amp;sourceID=14","0")</f>
        <v>0</v>
      </c>
    </row>
    <row r="1702" spans="1:7">
      <c r="A1702" s="3">
        <v>14</v>
      </c>
      <c r="B1702" s="3">
        <v>4</v>
      </c>
      <c r="C1702" s="3">
        <v>89</v>
      </c>
      <c r="D1702" s="3">
        <v>28</v>
      </c>
      <c r="E1702" s="3">
        <v>-122.734</v>
      </c>
      <c r="F1702" s="4" t="str">
        <f>HYPERLINK("http://141.218.60.56/~jnz1568/getInfo.php?workbook=14_04.xlsx&amp;sheet=A0&amp;row=1702&amp;col=6&amp;number=2.036&amp;sourceID=14","2.036")</f>
        <v>2.036</v>
      </c>
      <c r="G1702" s="4" t="str">
        <f>HYPERLINK("http://141.218.60.56/~jnz1568/getInfo.php?workbook=14_04.xlsx&amp;sheet=A0&amp;row=1702&amp;col=7&amp;number=0&amp;sourceID=14","0")</f>
        <v>0</v>
      </c>
    </row>
    <row r="1703" spans="1:7">
      <c r="A1703" s="3">
        <v>14</v>
      </c>
      <c r="B1703" s="3">
        <v>4</v>
      </c>
      <c r="C1703" s="3">
        <v>90</v>
      </c>
      <c r="D1703" s="3">
        <v>28</v>
      </c>
      <c r="E1703" s="3">
        <v>122.073</v>
      </c>
      <c r="F1703" s="4" t="str">
        <f>HYPERLINK("http://141.218.60.56/~jnz1568/getInfo.php?workbook=14_04.xlsx&amp;sheet=A0&amp;row=1703&amp;col=6&amp;number=11.98&amp;sourceID=14","11.98")</f>
        <v>11.98</v>
      </c>
      <c r="G1703" s="4" t="str">
        <f>HYPERLINK("http://141.218.60.56/~jnz1568/getInfo.php?workbook=14_04.xlsx&amp;sheet=A0&amp;row=1703&amp;col=7&amp;number=0&amp;sourceID=14","0")</f>
        <v>0</v>
      </c>
    </row>
    <row r="1704" spans="1:7">
      <c r="A1704" s="3">
        <v>14</v>
      </c>
      <c r="B1704" s="3">
        <v>4</v>
      </c>
      <c r="C1704" s="3">
        <v>91</v>
      </c>
      <c r="D1704" s="3">
        <v>28</v>
      </c>
      <c r="E1704" s="3">
        <v>122.085</v>
      </c>
      <c r="F1704" s="4" t="str">
        <f>HYPERLINK("http://141.218.60.56/~jnz1568/getInfo.php?workbook=14_04.xlsx&amp;sheet=A0&amp;row=1704&amp;col=6&amp;number=19.02&amp;sourceID=14","19.02")</f>
        <v>19.02</v>
      </c>
      <c r="G1704" s="4" t="str">
        <f>HYPERLINK("http://141.218.60.56/~jnz1568/getInfo.php?workbook=14_04.xlsx&amp;sheet=A0&amp;row=1704&amp;col=7&amp;number=0&amp;sourceID=14","0")</f>
        <v>0</v>
      </c>
    </row>
    <row r="1705" spans="1:7">
      <c r="A1705" s="3">
        <v>14</v>
      </c>
      <c r="B1705" s="3">
        <v>4</v>
      </c>
      <c r="C1705" s="3">
        <v>92</v>
      </c>
      <c r="D1705" s="3">
        <v>28</v>
      </c>
      <c r="E1705" s="3">
        <v>121.503</v>
      </c>
      <c r="F1705" s="4" t="str">
        <f>HYPERLINK("http://141.218.60.56/~jnz1568/getInfo.php?workbook=14_04.xlsx&amp;sheet=A0&amp;row=1705&amp;col=6&amp;number=0.01456&amp;sourceID=14","0.01456")</f>
        <v>0.01456</v>
      </c>
      <c r="G1705" s="4" t="str">
        <f>HYPERLINK("http://141.218.60.56/~jnz1568/getInfo.php?workbook=14_04.xlsx&amp;sheet=A0&amp;row=1705&amp;col=7&amp;number=0&amp;sourceID=14","0")</f>
        <v>0</v>
      </c>
    </row>
    <row r="1706" spans="1:7">
      <c r="A1706" s="3">
        <v>14</v>
      </c>
      <c r="B1706" s="3">
        <v>4</v>
      </c>
      <c r="C1706" s="3">
        <v>30</v>
      </c>
      <c r="D1706" s="3">
        <v>29</v>
      </c>
      <c r="E1706" s="3">
        <v>-13182.255</v>
      </c>
      <c r="F1706" s="4" t="str">
        <f>HYPERLINK("http://141.218.60.56/~jnz1568/getInfo.php?workbook=14_04.xlsx&amp;sheet=A0&amp;row=1706&amp;col=6&amp;number=1.054&amp;sourceID=14","1.054")</f>
        <v>1.054</v>
      </c>
      <c r="G1706" s="4" t="str">
        <f>HYPERLINK("http://141.218.60.56/~jnz1568/getInfo.php?workbook=14_04.xlsx&amp;sheet=A0&amp;row=1706&amp;col=7&amp;number=0&amp;sourceID=14","0")</f>
        <v>0</v>
      </c>
    </row>
    <row r="1707" spans="1:7">
      <c r="A1707" s="3">
        <v>14</v>
      </c>
      <c r="B1707" s="3">
        <v>4</v>
      </c>
      <c r="C1707" s="3">
        <v>31</v>
      </c>
      <c r="D1707" s="3">
        <v>29</v>
      </c>
      <c r="E1707" s="3">
        <v>8388.573</v>
      </c>
      <c r="F1707" s="4" t="str">
        <f>HYPERLINK("http://141.218.60.56/~jnz1568/getInfo.php?workbook=14_04.xlsx&amp;sheet=A0&amp;row=1707&amp;col=6&amp;number=1.067&amp;sourceID=14","1.067")</f>
        <v>1.067</v>
      </c>
      <c r="G1707" s="4" t="str">
        <f>HYPERLINK("http://141.218.60.56/~jnz1568/getInfo.php?workbook=14_04.xlsx&amp;sheet=A0&amp;row=1707&amp;col=7&amp;number=0&amp;sourceID=14","0")</f>
        <v>0</v>
      </c>
    </row>
    <row r="1708" spans="1:7">
      <c r="A1708" s="3">
        <v>14</v>
      </c>
      <c r="B1708" s="3">
        <v>4</v>
      </c>
      <c r="C1708" s="3">
        <v>32</v>
      </c>
      <c r="D1708" s="3">
        <v>29</v>
      </c>
      <c r="E1708" s="3">
        <v>8346.564</v>
      </c>
      <c r="F1708" s="4" t="str">
        <f>HYPERLINK("http://141.218.60.56/~jnz1568/getInfo.php?workbook=14_04.xlsx&amp;sheet=A0&amp;row=1708&amp;col=6&amp;number=1.053&amp;sourceID=14","1.053")</f>
        <v>1.053</v>
      </c>
      <c r="G1708" s="4" t="str">
        <f>HYPERLINK("http://141.218.60.56/~jnz1568/getInfo.php?workbook=14_04.xlsx&amp;sheet=A0&amp;row=1708&amp;col=7&amp;number=0&amp;sourceID=14","0")</f>
        <v>0</v>
      </c>
    </row>
    <row r="1709" spans="1:7">
      <c r="A1709" s="3">
        <v>14</v>
      </c>
      <c r="B1709" s="3">
        <v>4</v>
      </c>
      <c r="C1709" s="3">
        <v>33</v>
      </c>
      <c r="D1709" s="3">
        <v>29</v>
      </c>
      <c r="E1709" s="3">
        <v>-5727.891</v>
      </c>
      <c r="F1709" s="4" t="str">
        <f>HYPERLINK("http://141.218.60.56/~jnz1568/getInfo.php?workbook=14_04.xlsx&amp;sheet=A0&amp;row=1709&amp;col=6&amp;number=0.06229&amp;sourceID=14","0.06229")</f>
        <v>0.06229</v>
      </c>
      <c r="G1709" s="4" t="str">
        <f>HYPERLINK("http://141.218.60.56/~jnz1568/getInfo.php?workbook=14_04.xlsx&amp;sheet=A0&amp;row=1709&amp;col=7&amp;number=0&amp;sourceID=14","0")</f>
        <v>0</v>
      </c>
    </row>
    <row r="1710" spans="1:7">
      <c r="A1710" s="3">
        <v>14</v>
      </c>
      <c r="B1710" s="3">
        <v>4</v>
      </c>
      <c r="C1710" s="3">
        <v>35</v>
      </c>
      <c r="D1710" s="3">
        <v>29</v>
      </c>
      <c r="E1710" s="3">
        <v>4061.416</v>
      </c>
      <c r="F1710" s="4" t="str">
        <f>HYPERLINK("http://141.218.60.56/~jnz1568/getInfo.php?workbook=14_04.xlsx&amp;sheet=A0&amp;row=1710&amp;col=6&amp;number=794.2&amp;sourceID=14","794.2")</f>
        <v>794.2</v>
      </c>
      <c r="G1710" s="4" t="str">
        <f>HYPERLINK("http://141.218.60.56/~jnz1568/getInfo.php?workbook=14_04.xlsx&amp;sheet=A0&amp;row=1710&amp;col=7&amp;number=0&amp;sourceID=14","0")</f>
        <v>0</v>
      </c>
    </row>
    <row r="1711" spans="1:7">
      <c r="A1711" s="3">
        <v>14</v>
      </c>
      <c r="B1711" s="3">
        <v>4</v>
      </c>
      <c r="C1711" s="3">
        <v>37</v>
      </c>
      <c r="D1711" s="3">
        <v>29</v>
      </c>
      <c r="E1711" s="3">
        <v>3124.81</v>
      </c>
      <c r="F1711" s="4" t="str">
        <f>HYPERLINK("http://141.218.60.56/~jnz1568/getInfo.php?workbook=14_04.xlsx&amp;sheet=A0&amp;row=1711&amp;col=6&amp;number=0.2085&amp;sourceID=14","0.2085")</f>
        <v>0.2085</v>
      </c>
      <c r="G1711" s="4" t="str">
        <f>HYPERLINK("http://141.218.60.56/~jnz1568/getInfo.php?workbook=14_04.xlsx&amp;sheet=A0&amp;row=1711&amp;col=7&amp;number=0&amp;sourceID=14","0")</f>
        <v>0</v>
      </c>
    </row>
    <row r="1712" spans="1:7">
      <c r="A1712" s="3">
        <v>14</v>
      </c>
      <c r="B1712" s="3">
        <v>4</v>
      </c>
      <c r="C1712" s="3">
        <v>38</v>
      </c>
      <c r="D1712" s="3">
        <v>29</v>
      </c>
      <c r="E1712" s="3">
        <v>-2208.436</v>
      </c>
      <c r="F1712" s="4" t="str">
        <f>HYPERLINK("http://141.218.60.56/~jnz1568/getInfo.php?workbook=14_04.xlsx&amp;sheet=A0&amp;row=1712&amp;col=6&amp;number=4542000&amp;sourceID=14","4542000")</f>
        <v>4542000</v>
      </c>
      <c r="G1712" s="4" t="str">
        <f>HYPERLINK("http://141.218.60.56/~jnz1568/getInfo.php?workbook=14_04.xlsx&amp;sheet=A0&amp;row=1712&amp;col=7&amp;number=0&amp;sourceID=14","0")</f>
        <v>0</v>
      </c>
    </row>
    <row r="1713" spans="1:7">
      <c r="A1713" s="3">
        <v>14</v>
      </c>
      <c r="B1713" s="3">
        <v>4</v>
      </c>
      <c r="C1713" s="3">
        <v>39</v>
      </c>
      <c r="D1713" s="3">
        <v>29</v>
      </c>
      <c r="E1713" s="3">
        <v>2357.55</v>
      </c>
      <c r="F1713" s="4" t="str">
        <f>HYPERLINK("http://141.218.60.56/~jnz1568/getInfo.php?workbook=14_04.xlsx&amp;sheet=A0&amp;row=1713&amp;col=6&amp;number=8938000&amp;sourceID=14","8938000")</f>
        <v>8938000</v>
      </c>
      <c r="G1713" s="4" t="str">
        <f>HYPERLINK("http://141.218.60.56/~jnz1568/getInfo.php?workbook=14_04.xlsx&amp;sheet=A0&amp;row=1713&amp;col=7&amp;number=0&amp;sourceID=14","0")</f>
        <v>0</v>
      </c>
    </row>
    <row r="1714" spans="1:7">
      <c r="A1714" s="3">
        <v>14</v>
      </c>
      <c r="B1714" s="3">
        <v>4</v>
      </c>
      <c r="C1714" s="3">
        <v>41</v>
      </c>
      <c r="D1714" s="3">
        <v>29</v>
      </c>
      <c r="E1714" s="3">
        <v>1774.563</v>
      </c>
      <c r="F1714" s="4" t="str">
        <f>HYPERLINK("http://141.218.60.56/~jnz1568/getInfo.php?workbook=14_04.xlsx&amp;sheet=A0&amp;row=1714&amp;col=6&amp;number=78910000&amp;sourceID=14","78910000")</f>
        <v>78910000</v>
      </c>
      <c r="G1714" s="4" t="str">
        <f>HYPERLINK("http://141.218.60.56/~jnz1568/getInfo.php?workbook=14_04.xlsx&amp;sheet=A0&amp;row=1714&amp;col=7&amp;number=0&amp;sourceID=14","0")</f>
        <v>0</v>
      </c>
    </row>
    <row r="1715" spans="1:7">
      <c r="A1715" s="3">
        <v>14</v>
      </c>
      <c r="B1715" s="3">
        <v>4</v>
      </c>
      <c r="C1715" s="3">
        <v>42</v>
      </c>
      <c r="D1715" s="3">
        <v>29</v>
      </c>
      <c r="E1715" s="3">
        <v>1872.067</v>
      </c>
      <c r="F1715" s="4" t="str">
        <f>HYPERLINK("http://141.218.60.56/~jnz1568/getInfo.php?workbook=14_04.xlsx&amp;sheet=A0&amp;row=1715&amp;col=6&amp;number=54920000&amp;sourceID=14","54920000")</f>
        <v>54920000</v>
      </c>
      <c r="G1715" s="4" t="str">
        <f>HYPERLINK("http://141.218.60.56/~jnz1568/getInfo.php?workbook=14_04.xlsx&amp;sheet=A0&amp;row=1715&amp;col=7&amp;number=0&amp;sourceID=14","0")</f>
        <v>0</v>
      </c>
    </row>
    <row r="1716" spans="1:7">
      <c r="A1716" s="3">
        <v>14</v>
      </c>
      <c r="B1716" s="3">
        <v>4</v>
      </c>
      <c r="C1716" s="3">
        <v>43</v>
      </c>
      <c r="D1716" s="3">
        <v>29</v>
      </c>
      <c r="E1716" s="3">
        <v>1771.765</v>
      </c>
      <c r="F1716" s="4" t="str">
        <f>HYPERLINK("http://141.218.60.56/~jnz1568/getInfo.php?workbook=14_04.xlsx&amp;sheet=A0&amp;row=1716&amp;col=6&amp;number=58280000&amp;sourceID=14","58280000")</f>
        <v>58280000</v>
      </c>
      <c r="G1716" s="4" t="str">
        <f>HYPERLINK("http://141.218.60.56/~jnz1568/getInfo.php?workbook=14_04.xlsx&amp;sheet=A0&amp;row=1716&amp;col=7&amp;number=0&amp;sourceID=14","0")</f>
        <v>0</v>
      </c>
    </row>
    <row r="1717" spans="1:7">
      <c r="A1717" s="3">
        <v>14</v>
      </c>
      <c r="B1717" s="3">
        <v>4</v>
      </c>
      <c r="C1717" s="3">
        <v>44</v>
      </c>
      <c r="D1717" s="3">
        <v>29</v>
      </c>
      <c r="E1717" s="3">
        <v>-1328.315</v>
      </c>
      <c r="F1717" s="4" t="str">
        <f>HYPERLINK("http://141.218.60.56/~jnz1568/getInfo.php?workbook=14_04.xlsx&amp;sheet=A0&amp;row=1717&amp;col=6&amp;number=5.228&amp;sourceID=14","5.228")</f>
        <v>5.228</v>
      </c>
      <c r="G1717" s="4" t="str">
        <f>HYPERLINK("http://141.218.60.56/~jnz1568/getInfo.php?workbook=14_04.xlsx&amp;sheet=A0&amp;row=1717&amp;col=7&amp;number=0&amp;sourceID=14","0")</f>
        <v>0</v>
      </c>
    </row>
    <row r="1718" spans="1:7">
      <c r="A1718" s="3">
        <v>14</v>
      </c>
      <c r="B1718" s="3">
        <v>4</v>
      </c>
      <c r="C1718" s="3">
        <v>46</v>
      </c>
      <c r="D1718" s="3">
        <v>29</v>
      </c>
      <c r="E1718" s="3">
        <v>1198.885</v>
      </c>
      <c r="F1718" s="4" t="str">
        <f>HYPERLINK("http://141.218.60.56/~jnz1568/getInfo.php?workbook=14_04.xlsx&amp;sheet=A0&amp;row=1718&amp;col=6&amp;number=6934000&amp;sourceID=14","6934000")</f>
        <v>6934000</v>
      </c>
      <c r="G1718" s="4" t="str">
        <f>HYPERLINK("http://141.218.60.56/~jnz1568/getInfo.php?workbook=14_04.xlsx&amp;sheet=A0&amp;row=1718&amp;col=7&amp;number=0&amp;sourceID=14","0")</f>
        <v>0</v>
      </c>
    </row>
    <row r="1719" spans="1:7">
      <c r="A1719" s="3">
        <v>14</v>
      </c>
      <c r="B1719" s="3">
        <v>4</v>
      </c>
      <c r="C1719" s="3">
        <v>47</v>
      </c>
      <c r="D1719" s="3">
        <v>29</v>
      </c>
      <c r="E1719" s="3">
        <v>229.135</v>
      </c>
      <c r="F1719" s="4" t="str">
        <f>HYPERLINK("http://141.218.60.56/~jnz1568/getInfo.php?workbook=14_04.xlsx&amp;sheet=A0&amp;row=1719&amp;col=6&amp;number=0.1418&amp;sourceID=14","0.1418")</f>
        <v>0.1418</v>
      </c>
      <c r="G1719" s="4" t="str">
        <f>HYPERLINK("http://141.218.60.56/~jnz1568/getInfo.php?workbook=14_04.xlsx&amp;sheet=A0&amp;row=1719&amp;col=7&amp;number=0&amp;sourceID=14","0")</f>
        <v>0</v>
      </c>
    </row>
    <row r="1720" spans="1:7">
      <c r="A1720" s="3">
        <v>14</v>
      </c>
      <c r="B1720" s="3">
        <v>4</v>
      </c>
      <c r="C1720" s="3">
        <v>48</v>
      </c>
      <c r="D1720" s="3">
        <v>29</v>
      </c>
      <c r="E1720" s="3">
        <v>228.429</v>
      </c>
      <c r="F1720" s="4" t="str">
        <f>HYPERLINK("http://141.218.60.56/~jnz1568/getInfo.php?workbook=14_04.xlsx&amp;sheet=A0&amp;row=1720&amp;col=6&amp;number=0.05441&amp;sourceID=14","0.05441")</f>
        <v>0.05441</v>
      </c>
      <c r="G1720" s="4" t="str">
        <f>HYPERLINK("http://141.218.60.56/~jnz1568/getInfo.php?workbook=14_04.xlsx&amp;sheet=A0&amp;row=1720&amp;col=7&amp;number=0&amp;sourceID=14","0")</f>
        <v>0</v>
      </c>
    </row>
    <row r="1721" spans="1:7">
      <c r="A1721" s="3">
        <v>14</v>
      </c>
      <c r="B1721" s="3">
        <v>4</v>
      </c>
      <c r="C1721" s="3">
        <v>49</v>
      </c>
      <c r="D1721" s="3">
        <v>29</v>
      </c>
      <c r="E1721" s="3">
        <v>205.983</v>
      </c>
      <c r="F1721" s="4" t="str">
        <f>HYPERLINK("http://141.218.60.56/~jnz1568/getInfo.php?workbook=14_04.xlsx&amp;sheet=A0&amp;row=1721&amp;col=6&amp;number=315000000&amp;sourceID=14","315000000")</f>
        <v>315000000</v>
      </c>
      <c r="G1721" s="4" t="str">
        <f>HYPERLINK("http://141.218.60.56/~jnz1568/getInfo.php?workbook=14_04.xlsx&amp;sheet=A0&amp;row=1721&amp;col=7&amp;number=0&amp;sourceID=14","0")</f>
        <v>0</v>
      </c>
    </row>
    <row r="1722" spans="1:7">
      <c r="A1722" s="3">
        <v>14</v>
      </c>
      <c r="B1722" s="3">
        <v>4</v>
      </c>
      <c r="C1722" s="3">
        <v>50</v>
      </c>
      <c r="D1722" s="3">
        <v>29</v>
      </c>
      <c r="E1722" s="3">
        <v>205.983</v>
      </c>
      <c r="F1722" s="4" t="str">
        <f>HYPERLINK("http://141.218.60.56/~jnz1568/getInfo.php?workbook=14_04.xlsx&amp;sheet=A0&amp;row=1722&amp;col=6&amp;number=283200000&amp;sourceID=14","283200000")</f>
        <v>283200000</v>
      </c>
      <c r="G1722" s="4" t="str">
        <f>HYPERLINK("http://141.218.60.56/~jnz1568/getInfo.php?workbook=14_04.xlsx&amp;sheet=A0&amp;row=1722&amp;col=7&amp;number=0&amp;sourceID=14","0")</f>
        <v>0</v>
      </c>
    </row>
    <row r="1723" spans="1:7">
      <c r="A1723" s="3">
        <v>14</v>
      </c>
      <c r="B1723" s="3">
        <v>4</v>
      </c>
      <c r="C1723" s="3">
        <v>51</v>
      </c>
      <c r="D1723" s="3">
        <v>29</v>
      </c>
      <c r="E1723" s="3">
        <v>205.681</v>
      </c>
      <c r="F1723" s="4" t="str">
        <f>HYPERLINK("http://141.218.60.56/~jnz1568/getInfo.php?workbook=14_04.xlsx&amp;sheet=A0&amp;row=1723&amp;col=6&amp;number=247200000&amp;sourceID=14","247200000")</f>
        <v>247200000</v>
      </c>
      <c r="G1723" s="4" t="str">
        <f>HYPERLINK("http://141.218.60.56/~jnz1568/getInfo.php?workbook=14_04.xlsx&amp;sheet=A0&amp;row=1723&amp;col=7&amp;number=0&amp;sourceID=14","0")</f>
        <v>0</v>
      </c>
    </row>
    <row r="1724" spans="1:7">
      <c r="A1724" s="3">
        <v>14</v>
      </c>
      <c r="B1724" s="3">
        <v>4</v>
      </c>
      <c r="C1724" s="3">
        <v>52</v>
      </c>
      <c r="D1724" s="3">
        <v>29</v>
      </c>
      <c r="E1724" s="3">
        <v>207.475</v>
      </c>
      <c r="F1724" s="4" t="str">
        <f>HYPERLINK("http://141.218.60.56/~jnz1568/getInfo.php?workbook=14_04.xlsx&amp;sheet=A0&amp;row=1724&amp;col=6&amp;number=6048000&amp;sourceID=14","6048000")</f>
        <v>6048000</v>
      </c>
      <c r="G1724" s="4" t="str">
        <f>HYPERLINK("http://141.218.60.56/~jnz1568/getInfo.php?workbook=14_04.xlsx&amp;sheet=A0&amp;row=1724&amp;col=7&amp;number=0&amp;sourceID=14","0")</f>
        <v>0</v>
      </c>
    </row>
    <row r="1725" spans="1:7">
      <c r="A1725" s="3">
        <v>14</v>
      </c>
      <c r="B1725" s="3">
        <v>4</v>
      </c>
      <c r="C1725" s="3">
        <v>53</v>
      </c>
      <c r="D1725" s="3">
        <v>29</v>
      </c>
      <c r="E1725" s="3">
        <v>200.812</v>
      </c>
      <c r="F1725" s="4" t="str">
        <f>HYPERLINK("http://141.218.60.56/~jnz1568/getInfo.php?workbook=14_04.xlsx&amp;sheet=A0&amp;row=1725&amp;col=6&amp;number=39180&amp;sourceID=14","39180")</f>
        <v>39180</v>
      </c>
      <c r="G1725" s="4" t="str">
        <f>HYPERLINK("http://141.218.60.56/~jnz1568/getInfo.php?workbook=14_04.xlsx&amp;sheet=A0&amp;row=1725&amp;col=7&amp;number=0&amp;sourceID=14","0")</f>
        <v>0</v>
      </c>
    </row>
    <row r="1726" spans="1:7">
      <c r="A1726" s="3">
        <v>14</v>
      </c>
      <c r="B1726" s="3">
        <v>4</v>
      </c>
      <c r="C1726" s="3">
        <v>54</v>
      </c>
      <c r="D1726" s="3">
        <v>29</v>
      </c>
      <c r="E1726" s="3">
        <v>200.823</v>
      </c>
      <c r="F1726" s="4" t="str">
        <f>HYPERLINK("http://141.218.60.56/~jnz1568/getInfo.php?workbook=14_04.xlsx&amp;sheet=A0&amp;row=1726&amp;col=6&amp;number=40690&amp;sourceID=14","40690")</f>
        <v>40690</v>
      </c>
      <c r="G1726" s="4" t="str">
        <f>HYPERLINK("http://141.218.60.56/~jnz1568/getInfo.php?workbook=14_04.xlsx&amp;sheet=A0&amp;row=1726&amp;col=7&amp;number=0&amp;sourceID=14","0")</f>
        <v>0</v>
      </c>
    </row>
    <row r="1727" spans="1:7">
      <c r="A1727" s="3">
        <v>14</v>
      </c>
      <c r="B1727" s="3">
        <v>4</v>
      </c>
      <c r="C1727" s="3">
        <v>55</v>
      </c>
      <c r="D1727" s="3">
        <v>29</v>
      </c>
      <c r="E1727" s="3">
        <v>200.491</v>
      </c>
      <c r="F1727" s="4" t="str">
        <f>HYPERLINK("http://141.218.60.56/~jnz1568/getInfo.php?workbook=14_04.xlsx&amp;sheet=A0&amp;row=1727&amp;col=6&amp;number=41870&amp;sourceID=14","41870")</f>
        <v>41870</v>
      </c>
      <c r="G1727" s="4" t="str">
        <f>HYPERLINK("http://141.218.60.56/~jnz1568/getInfo.php?workbook=14_04.xlsx&amp;sheet=A0&amp;row=1727&amp;col=7&amp;number=0&amp;sourceID=14","0")</f>
        <v>0</v>
      </c>
    </row>
    <row r="1728" spans="1:7">
      <c r="A1728" s="3">
        <v>14</v>
      </c>
      <c r="B1728" s="3">
        <v>4</v>
      </c>
      <c r="C1728" s="3">
        <v>56</v>
      </c>
      <c r="D1728" s="3">
        <v>29</v>
      </c>
      <c r="E1728" s="3">
        <v>196.268</v>
      </c>
      <c r="F1728" s="4" t="str">
        <f>HYPERLINK("http://141.218.60.56/~jnz1568/getInfo.php?workbook=14_04.xlsx&amp;sheet=A0&amp;row=1728&amp;col=6&amp;number=32.19&amp;sourceID=14","32.19")</f>
        <v>32.19</v>
      </c>
      <c r="G1728" s="4" t="str">
        <f>HYPERLINK("http://141.218.60.56/~jnz1568/getInfo.php?workbook=14_04.xlsx&amp;sheet=A0&amp;row=1728&amp;col=7&amp;number=0&amp;sourceID=14","0")</f>
        <v>0</v>
      </c>
    </row>
    <row r="1729" spans="1:7">
      <c r="A1729" s="3">
        <v>14</v>
      </c>
      <c r="B1729" s="3">
        <v>4</v>
      </c>
      <c r="C1729" s="3">
        <v>57</v>
      </c>
      <c r="D1729" s="3">
        <v>29</v>
      </c>
      <c r="E1729" s="3">
        <v>-154.22</v>
      </c>
      <c r="F1729" s="4" t="str">
        <f>HYPERLINK("http://141.218.60.56/~jnz1568/getInfo.php?workbook=14_04.xlsx&amp;sheet=A0&amp;row=1729&amp;col=6&amp;number=6401000000&amp;sourceID=14","6401000000")</f>
        <v>6401000000</v>
      </c>
      <c r="G1729" s="4" t="str">
        <f>HYPERLINK("http://141.218.60.56/~jnz1568/getInfo.php?workbook=14_04.xlsx&amp;sheet=A0&amp;row=1729&amp;col=7&amp;number=0&amp;sourceID=14","0")</f>
        <v>0</v>
      </c>
    </row>
    <row r="1730" spans="1:7">
      <c r="A1730" s="3">
        <v>14</v>
      </c>
      <c r="B1730" s="3">
        <v>4</v>
      </c>
      <c r="C1730" s="3">
        <v>58</v>
      </c>
      <c r="D1730" s="3">
        <v>29</v>
      </c>
      <c r="E1730" s="3">
        <v>-153.876</v>
      </c>
      <c r="F1730" s="4" t="str">
        <f>HYPERLINK("http://141.218.60.56/~jnz1568/getInfo.php?workbook=14_04.xlsx&amp;sheet=A0&amp;row=1730&amp;col=6&amp;number=3885000000&amp;sourceID=14","3885000000")</f>
        <v>3885000000</v>
      </c>
      <c r="G1730" s="4" t="str">
        <f>HYPERLINK("http://141.218.60.56/~jnz1568/getInfo.php?workbook=14_04.xlsx&amp;sheet=A0&amp;row=1730&amp;col=7&amp;number=0&amp;sourceID=14","0")</f>
        <v>0</v>
      </c>
    </row>
    <row r="1731" spans="1:7">
      <c r="A1731" s="3">
        <v>14</v>
      </c>
      <c r="B1731" s="3">
        <v>4</v>
      </c>
      <c r="C1731" s="3">
        <v>59</v>
      </c>
      <c r="D1731" s="3">
        <v>29</v>
      </c>
      <c r="E1731" s="3">
        <v>154.116</v>
      </c>
      <c r="F1731" s="4" t="str">
        <f>HYPERLINK("http://141.218.60.56/~jnz1568/getInfo.php?workbook=14_04.xlsx&amp;sheet=A0&amp;row=1731&amp;col=6&amp;number=946400000&amp;sourceID=14","946400000")</f>
        <v>946400000</v>
      </c>
      <c r="G1731" s="4" t="str">
        <f>HYPERLINK("http://141.218.60.56/~jnz1568/getInfo.php?workbook=14_04.xlsx&amp;sheet=A0&amp;row=1731&amp;col=7&amp;number=0&amp;sourceID=14","0")</f>
        <v>0</v>
      </c>
    </row>
    <row r="1732" spans="1:7">
      <c r="A1732" s="3">
        <v>14</v>
      </c>
      <c r="B1732" s="3">
        <v>4</v>
      </c>
      <c r="C1732" s="3">
        <v>60</v>
      </c>
      <c r="D1732" s="3">
        <v>29</v>
      </c>
      <c r="E1732" s="3">
        <v>-150.889</v>
      </c>
      <c r="F1732" s="4" t="str">
        <f>HYPERLINK("http://141.218.60.56/~jnz1568/getInfo.php?workbook=14_04.xlsx&amp;sheet=A0&amp;row=1732&amp;col=6&amp;number=1030000000&amp;sourceID=14","1030000000")</f>
        <v>1030000000</v>
      </c>
      <c r="G1732" s="4" t="str">
        <f>HYPERLINK("http://141.218.60.56/~jnz1568/getInfo.php?workbook=14_04.xlsx&amp;sheet=A0&amp;row=1732&amp;col=7&amp;number=0&amp;sourceID=14","0")</f>
        <v>0</v>
      </c>
    </row>
    <row r="1733" spans="1:7">
      <c r="A1733" s="3">
        <v>14</v>
      </c>
      <c r="B1733" s="3">
        <v>4</v>
      </c>
      <c r="C1733" s="3">
        <v>61</v>
      </c>
      <c r="D1733" s="3">
        <v>29</v>
      </c>
      <c r="E1733" s="3">
        <v>-148.22</v>
      </c>
      <c r="F1733" s="4" t="str">
        <f>HYPERLINK("http://141.218.60.56/~jnz1568/getInfo.php?workbook=14_04.xlsx&amp;sheet=A0&amp;row=1733&amp;col=6&amp;number=872300&amp;sourceID=14","872300")</f>
        <v>872300</v>
      </c>
      <c r="G1733" s="4" t="str">
        <f>HYPERLINK("http://141.218.60.56/~jnz1568/getInfo.php?workbook=14_04.xlsx&amp;sheet=A0&amp;row=1733&amp;col=7&amp;number=0&amp;sourceID=14","0")</f>
        <v>0</v>
      </c>
    </row>
    <row r="1734" spans="1:7">
      <c r="A1734" s="3">
        <v>14</v>
      </c>
      <c r="B1734" s="3">
        <v>4</v>
      </c>
      <c r="C1734" s="3">
        <v>62</v>
      </c>
      <c r="D1734" s="3">
        <v>29</v>
      </c>
      <c r="E1734" s="3">
        <v>-149.188</v>
      </c>
      <c r="F1734" s="4" t="str">
        <f>HYPERLINK("http://141.218.60.56/~jnz1568/getInfo.php?workbook=14_04.xlsx&amp;sheet=A0&amp;row=1734&amp;col=6&amp;number=642400&amp;sourceID=14","642400")</f>
        <v>642400</v>
      </c>
      <c r="G1734" s="4" t="str">
        <f>HYPERLINK("http://141.218.60.56/~jnz1568/getInfo.php?workbook=14_04.xlsx&amp;sheet=A0&amp;row=1734&amp;col=7&amp;number=0&amp;sourceID=14","0")</f>
        <v>0</v>
      </c>
    </row>
    <row r="1735" spans="1:7">
      <c r="A1735" s="3">
        <v>14</v>
      </c>
      <c r="B1735" s="3">
        <v>4</v>
      </c>
      <c r="C1735" s="3">
        <v>63</v>
      </c>
      <c r="D1735" s="3">
        <v>29</v>
      </c>
      <c r="E1735" s="3">
        <v>-148.164</v>
      </c>
      <c r="F1735" s="4" t="str">
        <f>HYPERLINK("http://141.218.60.56/~jnz1568/getInfo.php?workbook=14_04.xlsx&amp;sheet=A0&amp;row=1735&amp;col=6&amp;number=1195000&amp;sourceID=14","1195000")</f>
        <v>1195000</v>
      </c>
      <c r="G1735" s="4" t="str">
        <f>HYPERLINK("http://141.218.60.56/~jnz1568/getInfo.php?workbook=14_04.xlsx&amp;sheet=A0&amp;row=1735&amp;col=7&amp;number=0&amp;sourceID=14","0")</f>
        <v>0</v>
      </c>
    </row>
    <row r="1736" spans="1:7">
      <c r="A1736" s="3">
        <v>14</v>
      </c>
      <c r="B1736" s="3">
        <v>4</v>
      </c>
      <c r="C1736" s="3">
        <v>64</v>
      </c>
      <c r="D1736" s="3">
        <v>29</v>
      </c>
      <c r="E1736" s="3">
        <v>-146.982</v>
      </c>
      <c r="F1736" s="4" t="str">
        <f>HYPERLINK("http://141.218.60.56/~jnz1568/getInfo.php?workbook=14_04.xlsx&amp;sheet=A0&amp;row=1736&amp;col=6&amp;number=706100&amp;sourceID=14","706100")</f>
        <v>706100</v>
      </c>
      <c r="G1736" s="4" t="str">
        <f>HYPERLINK("http://141.218.60.56/~jnz1568/getInfo.php?workbook=14_04.xlsx&amp;sheet=A0&amp;row=1736&amp;col=7&amp;number=0&amp;sourceID=14","0")</f>
        <v>0</v>
      </c>
    </row>
    <row r="1737" spans="1:7">
      <c r="A1737" s="3">
        <v>14</v>
      </c>
      <c r="B1737" s="3">
        <v>4</v>
      </c>
      <c r="C1737" s="3">
        <v>65</v>
      </c>
      <c r="D1737" s="3">
        <v>29</v>
      </c>
      <c r="E1737" s="3">
        <v>-146.599</v>
      </c>
      <c r="F1737" s="4" t="str">
        <f>HYPERLINK("http://141.218.60.56/~jnz1568/getInfo.php?workbook=14_04.xlsx&amp;sheet=A0&amp;row=1737&amp;col=6&amp;number=81180&amp;sourceID=14","81180")</f>
        <v>81180</v>
      </c>
      <c r="G1737" s="4" t="str">
        <f>HYPERLINK("http://141.218.60.56/~jnz1568/getInfo.php?workbook=14_04.xlsx&amp;sheet=A0&amp;row=1737&amp;col=7&amp;number=0&amp;sourceID=14","0")</f>
        <v>0</v>
      </c>
    </row>
    <row r="1738" spans="1:7">
      <c r="A1738" s="3">
        <v>14</v>
      </c>
      <c r="B1738" s="3">
        <v>4</v>
      </c>
      <c r="C1738" s="3">
        <v>66</v>
      </c>
      <c r="D1738" s="3">
        <v>29</v>
      </c>
      <c r="E1738" s="3">
        <v>-146.632</v>
      </c>
      <c r="F1738" s="4" t="str">
        <f>HYPERLINK("http://141.218.60.56/~jnz1568/getInfo.php?workbook=14_04.xlsx&amp;sheet=A0&amp;row=1738&amp;col=6&amp;number=8.519&amp;sourceID=14","8.519")</f>
        <v>8.519</v>
      </c>
      <c r="G1738" s="4" t="str">
        <f>HYPERLINK("http://141.218.60.56/~jnz1568/getInfo.php?workbook=14_04.xlsx&amp;sheet=A0&amp;row=1738&amp;col=7&amp;number=0&amp;sourceID=14","0")</f>
        <v>0</v>
      </c>
    </row>
    <row r="1739" spans="1:7">
      <c r="A1739" s="3">
        <v>14</v>
      </c>
      <c r="B1739" s="3">
        <v>4</v>
      </c>
      <c r="C1739" s="3">
        <v>67</v>
      </c>
      <c r="D1739" s="3">
        <v>29</v>
      </c>
      <c r="E1739" s="3">
        <v>-145.666</v>
      </c>
      <c r="F1739" s="4" t="str">
        <f>HYPERLINK("http://141.218.60.56/~jnz1568/getInfo.php?workbook=14_04.xlsx&amp;sheet=A0&amp;row=1739&amp;col=6&amp;number=1656&amp;sourceID=14","1656")</f>
        <v>1656</v>
      </c>
      <c r="G1739" s="4" t="str">
        <f>HYPERLINK("http://141.218.60.56/~jnz1568/getInfo.php?workbook=14_04.xlsx&amp;sheet=A0&amp;row=1739&amp;col=7&amp;number=0&amp;sourceID=14","0")</f>
        <v>0</v>
      </c>
    </row>
    <row r="1740" spans="1:7">
      <c r="A1740" s="3">
        <v>14</v>
      </c>
      <c r="B1740" s="3">
        <v>4</v>
      </c>
      <c r="C1740" s="3">
        <v>68</v>
      </c>
      <c r="D1740" s="3">
        <v>29</v>
      </c>
      <c r="E1740" s="3">
        <v>-145.498</v>
      </c>
      <c r="F1740" s="4" t="str">
        <f>HYPERLINK("http://141.218.60.56/~jnz1568/getInfo.php?workbook=14_04.xlsx&amp;sheet=A0&amp;row=1740&amp;col=6&amp;number=16180&amp;sourceID=14","16180")</f>
        <v>16180</v>
      </c>
      <c r="G1740" s="4" t="str">
        <f>HYPERLINK("http://141.218.60.56/~jnz1568/getInfo.php?workbook=14_04.xlsx&amp;sheet=A0&amp;row=1740&amp;col=7&amp;number=0&amp;sourceID=14","0")</f>
        <v>0</v>
      </c>
    </row>
    <row r="1741" spans="1:7">
      <c r="A1741" s="3">
        <v>14</v>
      </c>
      <c r="B1741" s="3">
        <v>4</v>
      </c>
      <c r="C1741" s="3">
        <v>69</v>
      </c>
      <c r="D1741" s="3">
        <v>29</v>
      </c>
      <c r="E1741" s="3">
        <v>-145.326</v>
      </c>
      <c r="F1741" s="4" t="str">
        <f>HYPERLINK("http://141.218.60.56/~jnz1568/getInfo.php?workbook=14_04.xlsx&amp;sheet=A0&amp;row=1741&amp;col=6&amp;number=28100000&amp;sourceID=14","28100000")</f>
        <v>28100000</v>
      </c>
      <c r="G1741" s="4" t="str">
        <f>HYPERLINK("http://141.218.60.56/~jnz1568/getInfo.php?workbook=14_04.xlsx&amp;sheet=A0&amp;row=1741&amp;col=7&amp;number=0&amp;sourceID=14","0")</f>
        <v>0</v>
      </c>
    </row>
    <row r="1742" spans="1:7">
      <c r="A1742" s="3">
        <v>14</v>
      </c>
      <c r="B1742" s="3">
        <v>4</v>
      </c>
      <c r="C1742" s="3">
        <v>71</v>
      </c>
      <c r="D1742" s="3">
        <v>29</v>
      </c>
      <c r="E1742" s="3">
        <v>-144.31</v>
      </c>
      <c r="F1742" s="4" t="str">
        <f>HYPERLINK("http://141.218.60.56/~jnz1568/getInfo.php?workbook=14_04.xlsx&amp;sheet=A0&amp;row=1742&amp;col=6&amp;number=5010000000&amp;sourceID=14","5010000000")</f>
        <v>5010000000</v>
      </c>
      <c r="G1742" s="4" t="str">
        <f>HYPERLINK("http://141.218.60.56/~jnz1568/getInfo.php?workbook=14_04.xlsx&amp;sheet=A0&amp;row=1742&amp;col=7&amp;number=0&amp;sourceID=14","0")</f>
        <v>0</v>
      </c>
    </row>
    <row r="1743" spans="1:7">
      <c r="A1743" s="3">
        <v>14</v>
      </c>
      <c r="B1743" s="3">
        <v>4</v>
      </c>
      <c r="C1743" s="3">
        <v>72</v>
      </c>
      <c r="D1743" s="3">
        <v>29</v>
      </c>
      <c r="E1743" s="3">
        <v>-143.858</v>
      </c>
      <c r="F1743" s="4" t="str">
        <f>HYPERLINK("http://141.218.60.56/~jnz1568/getInfo.php?workbook=14_04.xlsx&amp;sheet=A0&amp;row=1743&amp;col=6&amp;number=172800&amp;sourceID=14","172800")</f>
        <v>172800</v>
      </c>
      <c r="G1743" s="4" t="str">
        <f>HYPERLINK("http://141.218.60.56/~jnz1568/getInfo.php?workbook=14_04.xlsx&amp;sheet=A0&amp;row=1743&amp;col=7&amp;number=0&amp;sourceID=14","0")</f>
        <v>0</v>
      </c>
    </row>
    <row r="1744" spans="1:7">
      <c r="A1744" s="3">
        <v>14</v>
      </c>
      <c r="B1744" s="3">
        <v>4</v>
      </c>
      <c r="C1744" s="3">
        <v>74</v>
      </c>
      <c r="D1744" s="3">
        <v>29</v>
      </c>
      <c r="E1744" s="3">
        <v>-143.275</v>
      </c>
      <c r="F1744" s="4" t="str">
        <f>HYPERLINK("http://141.218.60.56/~jnz1568/getInfo.php?workbook=14_04.xlsx&amp;sheet=A0&amp;row=1744&amp;col=6&amp;number=11860000000&amp;sourceID=14","11860000000")</f>
        <v>11860000000</v>
      </c>
      <c r="G1744" s="4" t="str">
        <f>HYPERLINK("http://141.218.60.56/~jnz1568/getInfo.php?workbook=14_04.xlsx&amp;sheet=A0&amp;row=1744&amp;col=7&amp;number=0&amp;sourceID=14","0")</f>
        <v>0</v>
      </c>
    </row>
    <row r="1745" spans="1:7">
      <c r="A1745" s="3">
        <v>14</v>
      </c>
      <c r="B1745" s="3">
        <v>4</v>
      </c>
      <c r="C1745" s="3">
        <v>75</v>
      </c>
      <c r="D1745" s="3">
        <v>29</v>
      </c>
      <c r="E1745" s="3">
        <v>-142.883</v>
      </c>
      <c r="F1745" s="4" t="str">
        <f>HYPERLINK("http://141.218.60.56/~jnz1568/getInfo.php?workbook=14_04.xlsx&amp;sheet=A0&amp;row=1745&amp;col=6&amp;number=29330000000&amp;sourceID=14","29330000000")</f>
        <v>29330000000</v>
      </c>
      <c r="G1745" s="4" t="str">
        <f>HYPERLINK("http://141.218.60.56/~jnz1568/getInfo.php?workbook=14_04.xlsx&amp;sheet=A0&amp;row=1745&amp;col=7&amp;number=0&amp;sourceID=14","0")</f>
        <v>0</v>
      </c>
    </row>
    <row r="1746" spans="1:7">
      <c r="A1746" s="3">
        <v>14</v>
      </c>
      <c r="B1746" s="3">
        <v>4</v>
      </c>
      <c r="C1746" s="3">
        <v>77</v>
      </c>
      <c r="D1746" s="3">
        <v>29</v>
      </c>
      <c r="E1746" s="3">
        <v>141.857</v>
      </c>
      <c r="F1746" s="4" t="str">
        <f>HYPERLINK("http://141.218.60.56/~jnz1568/getInfo.php?workbook=14_04.xlsx&amp;sheet=A0&amp;row=1746&amp;col=6&amp;number=31700000000&amp;sourceID=14","31700000000")</f>
        <v>31700000000</v>
      </c>
      <c r="G1746" s="4" t="str">
        <f>HYPERLINK("http://141.218.60.56/~jnz1568/getInfo.php?workbook=14_04.xlsx&amp;sheet=A0&amp;row=1746&amp;col=7&amp;number=0&amp;sourceID=14","0")</f>
        <v>0</v>
      </c>
    </row>
    <row r="1747" spans="1:7">
      <c r="A1747" s="3">
        <v>14</v>
      </c>
      <c r="B1747" s="3">
        <v>4</v>
      </c>
      <c r="C1747" s="3">
        <v>78</v>
      </c>
      <c r="D1747" s="3">
        <v>29</v>
      </c>
      <c r="E1747" s="3">
        <v>-141.686</v>
      </c>
      <c r="F1747" s="4" t="str">
        <f>HYPERLINK("http://141.218.60.56/~jnz1568/getInfo.php?workbook=14_04.xlsx&amp;sheet=A0&amp;row=1747&amp;col=6&amp;number=30970000000&amp;sourceID=14","30970000000")</f>
        <v>30970000000</v>
      </c>
      <c r="G1747" s="4" t="str">
        <f>HYPERLINK("http://141.218.60.56/~jnz1568/getInfo.php?workbook=14_04.xlsx&amp;sheet=A0&amp;row=1747&amp;col=7&amp;number=0&amp;sourceID=14","0")</f>
        <v>0</v>
      </c>
    </row>
    <row r="1748" spans="1:7">
      <c r="A1748" s="3">
        <v>14</v>
      </c>
      <c r="B1748" s="3">
        <v>4</v>
      </c>
      <c r="C1748" s="3">
        <v>79</v>
      </c>
      <c r="D1748" s="3">
        <v>29</v>
      </c>
      <c r="E1748" s="3">
        <v>-141.598</v>
      </c>
      <c r="F1748" s="4" t="str">
        <f>HYPERLINK("http://141.218.60.56/~jnz1568/getInfo.php?workbook=14_04.xlsx&amp;sheet=A0&amp;row=1748&amp;col=6&amp;number=34030000000&amp;sourceID=14","34030000000")</f>
        <v>34030000000</v>
      </c>
      <c r="G1748" s="4" t="str">
        <f>HYPERLINK("http://141.218.60.56/~jnz1568/getInfo.php?workbook=14_04.xlsx&amp;sheet=A0&amp;row=1748&amp;col=7&amp;number=0&amp;sourceID=14","0")</f>
        <v>0</v>
      </c>
    </row>
    <row r="1749" spans="1:7">
      <c r="A1749" s="3">
        <v>14</v>
      </c>
      <c r="B1749" s="3">
        <v>4</v>
      </c>
      <c r="C1749" s="3">
        <v>80</v>
      </c>
      <c r="D1749" s="3">
        <v>29</v>
      </c>
      <c r="E1749" s="3">
        <v>143.97</v>
      </c>
      <c r="F1749" s="4" t="str">
        <f>HYPERLINK("http://141.218.60.56/~jnz1568/getInfo.php?workbook=14_04.xlsx&amp;sheet=A0&amp;row=1749&amp;col=6&amp;number=0.4102&amp;sourceID=14","0.4102")</f>
        <v>0.4102</v>
      </c>
      <c r="G1749" s="4" t="str">
        <f>HYPERLINK("http://141.218.60.56/~jnz1568/getInfo.php?workbook=14_04.xlsx&amp;sheet=A0&amp;row=1749&amp;col=7&amp;number=0&amp;sourceID=14","0")</f>
        <v>0</v>
      </c>
    </row>
    <row r="1750" spans="1:7">
      <c r="A1750" s="3">
        <v>14</v>
      </c>
      <c r="B1750" s="3">
        <v>4</v>
      </c>
      <c r="C1750" s="3">
        <v>82</v>
      </c>
      <c r="D1750" s="3">
        <v>29</v>
      </c>
      <c r="E1750" s="3">
        <v>-139.262</v>
      </c>
      <c r="F1750" s="4" t="str">
        <f>HYPERLINK("http://141.218.60.56/~jnz1568/getInfo.php?workbook=14_04.xlsx&amp;sheet=A0&amp;row=1750&amp;col=6&amp;number=2961000000&amp;sourceID=14","2961000000")</f>
        <v>2961000000</v>
      </c>
      <c r="G1750" s="4" t="str">
        <f>HYPERLINK("http://141.218.60.56/~jnz1568/getInfo.php?workbook=14_04.xlsx&amp;sheet=A0&amp;row=1750&amp;col=7&amp;number=0&amp;sourceID=14","0")</f>
        <v>0</v>
      </c>
    </row>
    <row r="1751" spans="1:7">
      <c r="A1751" s="3">
        <v>14</v>
      </c>
      <c r="B1751" s="3">
        <v>4</v>
      </c>
      <c r="C1751" s="3">
        <v>83</v>
      </c>
      <c r="D1751" s="3">
        <v>29</v>
      </c>
      <c r="E1751" s="3">
        <v>-128.371</v>
      </c>
      <c r="F1751" s="4" t="str">
        <f>HYPERLINK("http://141.218.60.56/~jnz1568/getInfo.php?workbook=14_04.xlsx&amp;sheet=A0&amp;row=1751&amp;col=6&amp;number=1.268&amp;sourceID=14","1.268")</f>
        <v>1.268</v>
      </c>
      <c r="G1751" s="4" t="str">
        <f>HYPERLINK("http://141.218.60.56/~jnz1568/getInfo.php?workbook=14_04.xlsx&amp;sheet=A0&amp;row=1751&amp;col=7&amp;number=0&amp;sourceID=14","0")</f>
        <v>0</v>
      </c>
    </row>
    <row r="1752" spans="1:7">
      <c r="A1752" s="3">
        <v>14</v>
      </c>
      <c r="B1752" s="3">
        <v>4</v>
      </c>
      <c r="C1752" s="3">
        <v>84</v>
      </c>
      <c r="D1752" s="3">
        <v>29</v>
      </c>
      <c r="E1752" s="3">
        <v>-127.198</v>
      </c>
      <c r="F1752" s="4" t="str">
        <f>HYPERLINK("http://141.218.60.56/~jnz1568/getInfo.php?workbook=14_04.xlsx&amp;sheet=A0&amp;row=1752&amp;col=6&amp;number=0.1056&amp;sourceID=14","0.1056")</f>
        <v>0.1056</v>
      </c>
      <c r="G1752" s="4" t="str">
        <f>HYPERLINK("http://141.218.60.56/~jnz1568/getInfo.php?workbook=14_04.xlsx&amp;sheet=A0&amp;row=1752&amp;col=7&amp;number=0&amp;sourceID=14","0")</f>
        <v>0</v>
      </c>
    </row>
    <row r="1753" spans="1:7">
      <c r="A1753" s="3">
        <v>14</v>
      </c>
      <c r="B1753" s="3">
        <v>4</v>
      </c>
      <c r="C1753" s="3">
        <v>85</v>
      </c>
      <c r="D1753" s="3">
        <v>29</v>
      </c>
      <c r="E1753" s="3">
        <v>-126.022</v>
      </c>
      <c r="F1753" s="4" t="str">
        <f>HYPERLINK("http://141.218.60.56/~jnz1568/getInfo.php?workbook=14_04.xlsx&amp;sheet=A0&amp;row=1753&amp;col=6&amp;number=1007000000&amp;sourceID=14","1007000000")</f>
        <v>1007000000</v>
      </c>
      <c r="G1753" s="4" t="str">
        <f>HYPERLINK("http://141.218.60.56/~jnz1568/getInfo.php?workbook=14_04.xlsx&amp;sheet=A0&amp;row=1753&amp;col=7&amp;number=0&amp;sourceID=14","0")</f>
        <v>0</v>
      </c>
    </row>
    <row r="1754" spans="1:7">
      <c r="A1754" s="3">
        <v>14</v>
      </c>
      <c r="B1754" s="3">
        <v>4</v>
      </c>
      <c r="C1754" s="3">
        <v>86</v>
      </c>
      <c r="D1754" s="3">
        <v>29</v>
      </c>
      <c r="E1754" s="3">
        <v>-126.003</v>
      </c>
      <c r="F1754" s="4" t="str">
        <f>HYPERLINK("http://141.218.60.56/~jnz1568/getInfo.php?workbook=14_04.xlsx&amp;sheet=A0&amp;row=1754&amp;col=6&amp;number=1051000000&amp;sourceID=14","1051000000")</f>
        <v>1051000000</v>
      </c>
      <c r="G1754" s="4" t="str">
        <f>HYPERLINK("http://141.218.60.56/~jnz1568/getInfo.php?workbook=14_04.xlsx&amp;sheet=A0&amp;row=1754&amp;col=7&amp;number=0&amp;sourceID=14","0")</f>
        <v>0</v>
      </c>
    </row>
    <row r="1755" spans="1:7">
      <c r="A1755" s="3">
        <v>14</v>
      </c>
      <c r="B1755" s="3">
        <v>4</v>
      </c>
      <c r="C1755" s="3">
        <v>87</v>
      </c>
      <c r="D1755" s="3">
        <v>29</v>
      </c>
      <c r="E1755" s="3">
        <v>125.091</v>
      </c>
      <c r="F1755" s="4" t="str">
        <f>HYPERLINK("http://141.218.60.56/~jnz1568/getInfo.php?workbook=14_04.xlsx&amp;sheet=A0&amp;row=1755&amp;col=6&amp;number=1200000000&amp;sourceID=14","1200000000")</f>
        <v>1200000000</v>
      </c>
      <c r="G1755" s="4" t="str">
        <f>HYPERLINK("http://141.218.60.56/~jnz1568/getInfo.php?workbook=14_04.xlsx&amp;sheet=A0&amp;row=1755&amp;col=7&amp;number=0&amp;sourceID=14","0")</f>
        <v>0</v>
      </c>
    </row>
    <row r="1756" spans="1:7">
      <c r="A1756" s="3">
        <v>14</v>
      </c>
      <c r="B1756" s="3">
        <v>4</v>
      </c>
      <c r="C1756" s="3">
        <v>88</v>
      </c>
      <c r="D1756" s="3">
        <v>29</v>
      </c>
      <c r="E1756" s="3">
        <v>-125.552</v>
      </c>
      <c r="F1756" s="4" t="str">
        <f>HYPERLINK("http://141.218.60.56/~jnz1568/getInfo.php?workbook=14_04.xlsx&amp;sheet=A0&amp;row=1756&amp;col=6&amp;number=11380000&amp;sourceID=14","11380000")</f>
        <v>11380000</v>
      </c>
      <c r="G1756" s="4" t="str">
        <f>HYPERLINK("http://141.218.60.56/~jnz1568/getInfo.php?workbook=14_04.xlsx&amp;sheet=A0&amp;row=1756&amp;col=7&amp;number=0&amp;sourceID=14","0")</f>
        <v>0</v>
      </c>
    </row>
    <row r="1757" spans="1:7">
      <c r="A1757" s="3">
        <v>14</v>
      </c>
      <c r="B1757" s="3">
        <v>4</v>
      </c>
      <c r="C1757" s="3">
        <v>89</v>
      </c>
      <c r="D1757" s="3">
        <v>29</v>
      </c>
      <c r="E1757" s="3">
        <v>-124.674</v>
      </c>
      <c r="F1757" s="4" t="str">
        <f>HYPERLINK("http://141.218.60.56/~jnz1568/getInfo.php?workbook=14_04.xlsx&amp;sheet=A0&amp;row=1757&amp;col=6&amp;number=51970&amp;sourceID=14","51970")</f>
        <v>51970</v>
      </c>
      <c r="G1757" s="4" t="str">
        <f>HYPERLINK("http://141.218.60.56/~jnz1568/getInfo.php?workbook=14_04.xlsx&amp;sheet=A0&amp;row=1757&amp;col=7&amp;number=0&amp;sourceID=14","0")</f>
        <v>0</v>
      </c>
    </row>
    <row r="1758" spans="1:7">
      <c r="A1758" s="3">
        <v>14</v>
      </c>
      <c r="B1758" s="3">
        <v>4</v>
      </c>
      <c r="C1758" s="3">
        <v>90</v>
      </c>
      <c r="D1758" s="3">
        <v>29</v>
      </c>
      <c r="E1758" s="3">
        <v>124.379</v>
      </c>
      <c r="F1758" s="4" t="str">
        <f>HYPERLINK("http://141.218.60.56/~jnz1568/getInfo.php?workbook=14_04.xlsx&amp;sheet=A0&amp;row=1758&amp;col=6&amp;number=54370&amp;sourceID=14","54370")</f>
        <v>54370</v>
      </c>
      <c r="G1758" s="4" t="str">
        <f>HYPERLINK("http://141.218.60.56/~jnz1568/getInfo.php?workbook=14_04.xlsx&amp;sheet=A0&amp;row=1758&amp;col=7&amp;number=0&amp;sourceID=14","0")</f>
        <v>0</v>
      </c>
    </row>
    <row r="1759" spans="1:7">
      <c r="A1759" s="3">
        <v>14</v>
      </c>
      <c r="B1759" s="3">
        <v>4</v>
      </c>
      <c r="C1759" s="3">
        <v>91</v>
      </c>
      <c r="D1759" s="3">
        <v>29</v>
      </c>
      <c r="E1759" s="3">
        <v>124.392</v>
      </c>
      <c r="F1759" s="4" t="str">
        <f>HYPERLINK("http://141.218.60.56/~jnz1568/getInfo.php?workbook=14_04.xlsx&amp;sheet=A0&amp;row=1759&amp;col=6&amp;number=56740&amp;sourceID=14","56740")</f>
        <v>56740</v>
      </c>
      <c r="G1759" s="4" t="str">
        <f>HYPERLINK("http://141.218.60.56/~jnz1568/getInfo.php?workbook=14_04.xlsx&amp;sheet=A0&amp;row=1759&amp;col=7&amp;number=0&amp;sourceID=14","0")</f>
        <v>0</v>
      </c>
    </row>
    <row r="1760" spans="1:7">
      <c r="A1760" s="3">
        <v>14</v>
      </c>
      <c r="B1760" s="3">
        <v>4</v>
      </c>
      <c r="C1760" s="3">
        <v>92</v>
      </c>
      <c r="D1760" s="3">
        <v>29</v>
      </c>
      <c r="E1760" s="3">
        <v>123.787</v>
      </c>
      <c r="F1760" s="4" t="str">
        <f>HYPERLINK("http://141.218.60.56/~jnz1568/getInfo.php?workbook=14_04.xlsx&amp;sheet=A0&amp;row=1760&amp;col=6&amp;number=31.97&amp;sourceID=14","31.97")</f>
        <v>31.97</v>
      </c>
      <c r="G1760" s="4" t="str">
        <f>HYPERLINK("http://141.218.60.56/~jnz1568/getInfo.php?workbook=14_04.xlsx&amp;sheet=A0&amp;row=1760&amp;col=7&amp;number=0&amp;sourceID=14","0")</f>
        <v>0</v>
      </c>
    </row>
    <row r="1761" spans="1:7">
      <c r="A1761" s="3">
        <v>14</v>
      </c>
      <c r="B1761" s="3">
        <v>4</v>
      </c>
      <c r="C1761" s="3">
        <v>31</v>
      </c>
      <c r="D1761" s="3">
        <v>30</v>
      </c>
      <c r="E1761" s="3">
        <v>-37375.721</v>
      </c>
      <c r="F1761" s="4" t="str">
        <f>HYPERLINK("http://141.218.60.56/~jnz1568/getInfo.php?workbook=14_04.xlsx&amp;sheet=A0&amp;row=1761&amp;col=6&amp;number=0.3256&amp;sourceID=14","0.3256")</f>
        <v>0.3256</v>
      </c>
      <c r="G1761" s="4" t="str">
        <f>HYPERLINK("http://141.218.60.56/~jnz1568/getInfo.php?workbook=14_04.xlsx&amp;sheet=A0&amp;row=1761&amp;col=7&amp;number=0&amp;sourceID=14","0")</f>
        <v>0</v>
      </c>
    </row>
    <row r="1762" spans="1:7">
      <c r="A1762" s="3">
        <v>14</v>
      </c>
      <c r="B1762" s="3">
        <v>4</v>
      </c>
      <c r="C1762" s="3">
        <v>32</v>
      </c>
      <c r="D1762" s="3">
        <v>30</v>
      </c>
      <c r="E1762" s="3">
        <v>-18533.3</v>
      </c>
      <c r="F1762" s="4" t="str">
        <f>HYPERLINK("http://141.218.60.56/~jnz1568/getInfo.php?workbook=14_04.xlsx&amp;sheet=A0&amp;row=1762&amp;col=6&amp;number=2.209e-05&amp;sourceID=14","2.209e-05")</f>
        <v>2.209e-05</v>
      </c>
      <c r="G1762" s="4" t="str">
        <f>HYPERLINK("http://141.218.60.56/~jnz1568/getInfo.php?workbook=14_04.xlsx&amp;sheet=A0&amp;row=1762&amp;col=7&amp;number=0&amp;sourceID=14","0")</f>
        <v>0</v>
      </c>
    </row>
    <row r="1763" spans="1:7">
      <c r="A1763" s="3">
        <v>14</v>
      </c>
      <c r="B1763" s="3">
        <v>4</v>
      </c>
      <c r="C1763" s="3">
        <v>37</v>
      </c>
      <c r="D1763" s="3">
        <v>30</v>
      </c>
      <c r="E1763" s="3">
        <v>-3562.067</v>
      </c>
      <c r="F1763" s="4" t="str">
        <f>HYPERLINK("http://141.218.60.56/~jnz1568/getInfo.php?workbook=14_04.xlsx&amp;sheet=A0&amp;row=1763&amp;col=6&amp;number=2.008e-05&amp;sourceID=14","2.008e-05")</f>
        <v>2.008e-05</v>
      </c>
      <c r="G1763" s="4" t="str">
        <f>HYPERLINK("http://141.218.60.56/~jnz1568/getInfo.php?workbook=14_04.xlsx&amp;sheet=A0&amp;row=1763&amp;col=7&amp;number=0&amp;sourceID=14","0")</f>
        <v>0</v>
      </c>
    </row>
    <row r="1764" spans="1:7">
      <c r="A1764" s="3">
        <v>14</v>
      </c>
      <c r="B1764" s="3">
        <v>4</v>
      </c>
      <c r="C1764" s="3">
        <v>38</v>
      </c>
      <c r="D1764" s="3">
        <v>30</v>
      </c>
      <c r="E1764" s="3">
        <v>-2652.875</v>
      </c>
      <c r="F1764" s="4" t="str">
        <f>HYPERLINK("http://141.218.60.56/~jnz1568/getInfo.php?workbook=14_04.xlsx&amp;sheet=A0&amp;row=1764&amp;col=6&amp;number=17440000&amp;sourceID=14","17440000")</f>
        <v>17440000</v>
      </c>
      <c r="G1764" s="4" t="str">
        <f>HYPERLINK("http://141.218.60.56/~jnz1568/getInfo.php?workbook=14_04.xlsx&amp;sheet=A0&amp;row=1764&amp;col=7&amp;number=0&amp;sourceID=14","0")</f>
        <v>0</v>
      </c>
    </row>
    <row r="1765" spans="1:7">
      <c r="A1765" s="3">
        <v>14</v>
      </c>
      <c r="B1765" s="3">
        <v>4</v>
      </c>
      <c r="C1765" s="3">
        <v>42</v>
      </c>
      <c r="D1765" s="3">
        <v>30</v>
      </c>
      <c r="E1765" s="3">
        <v>-1981.121</v>
      </c>
      <c r="F1765" s="4" t="str">
        <f>HYPERLINK("http://141.218.60.56/~jnz1568/getInfo.php?workbook=14_04.xlsx&amp;sheet=A0&amp;row=1765&amp;col=6&amp;number=3416000&amp;sourceID=14","3416000")</f>
        <v>3416000</v>
      </c>
      <c r="G1765" s="4" t="str">
        <f>HYPERLINK("http://141.218.60.56/~jnz1568/getInfo.php?workbook=14_04.xlsx&amp;sheet=A0&amp;row=1765&amp;col=7&amp;number=0&amp;sourceID=14","0")</f>
        <v>0</v>
      </c>
    </row>
    <row r="1766" spans="1:7">
      <c r="A1766" s="3">
        <v>14</v>
      </c>
      <c r="B1766" s="3">
        <v>4</v>
      </c>
      <c r="C1766" s="3">
        <v>46</v>
      </c>
      <c r="D1766" s="3">
        <v>30</v>
      </c>
      <c r="E1766" s="3">
        <v>-1179.899</v>
      </c>
      <c r="F1766" s="4" t="str">
        <f>HYPERLINK("http://141.218.60.56/~jnz1568/getInfo.php?workbook=14_04.xlsx&amp;sheet=A0&amp;row=1766&amp;col=6&amp;number=40080&amp;sourceID=14","40080")</f>
        <v>40080</v>
      </c>
      <c r="G1766" s="4" t="str">
        <f>HYPERLINK("http://141.218.60.56/~jnz1568/getInfo.php?workbook=14_04.xlsx&amp;sheet=A0&amp;row=1766&amp;col=7&amp;number=0&amp;sourceID=14","0")</f>
        <v>0</v>
      </c>
    </row>
    <row r="1767" spans="1:7">
      <c r="A1767" s="3">
        <v>14</v>
      </c>
      <c r="B1767" s="3">
        <v>4</v>
      </c>
      <c r="C1767" s="3">
        <v>47</v>
      </c>
      <c r="D1767" s="3">
        <v>30</v>
      </c>
      <c r="E1767" s="3">
        <v>-226.658</v>
      </c>
      <c r="F1767" s="4" t="str">
        <f>HYPERLINK("http://141.218.60.56/~jnz1568/getInfo.php?workbook=14_04.xlsx&amp;sheet=A0&amp;row=1767&amp;col=6&amp;number=0.1279&amp;sourceID=14","0.1279")</f>
        <v>0.1279</v>
      </c>
      <c r="G1767" s="4" t="str">
        <f>HYPERLINK("http://141.218.60.56/~jnz1568/getInfo.php?workbook=14_04.xlsx&amp;sheet=A0&amp;row=1767&amp;col=7&amp;number=0&amp;sourceID=14","0")</f>
        <v>0</v>
      </c>
    </row>
    <row r="1768" spans="1:7">
      <c r="A1768" s="3">
        <v>14</v>
      </c>
      <c r="B1768" s="3">
        <v>4</v>
      </c>
      <c r="C1768" s="3">
        <v>50</v>
      </c>
      <c r="D1768" s="3">
        <v>30</v>
      </c>
      <c r="E1768" s="3">
        <v>-211.946</v>
      </c>
      <c r="F1768" s="4" t="str">
        <f>HYPERLINK("http://141.218.60.56/~jnz1568/getInfo.php?workbook=14_04.xlsx&amp;sheet=A0&amp;row=1768&amp;col=6&amp;number=9048000&amp;sourceID=14","9048000")</f>
        <v>9048000</v>
      </c>
      <c r="G1768" s="4" t="str">
        <f>HYPERLINK("http://141.218.60.56/~jnz1568/getInfo.php?workbook=14_04.xlsx&amp;sheet=A0&amp;row=1768&amp;col=7&amp;number=0&amp;sourceID=14","0")</f>
        <v>0</v>
      </c>
    </row>
    <row r="1769" spans="1:7">
      <c r="A1769" s="3">
        <v>14</v>
      </c>
      <c r="B1769" s="3">
        <v>4</v>
      </c>
      <c r="C1769" s="3">
        <v>52</v>
      </c>
      <c r="D1769" s="3">
        <v>30</v>
      </c>
      <c r="E1769" s="3">
        <v>-210.405</v>
      </c>
      <c r="F1769" s="4" t="str">
        <f>HYPERLINK("http://141.218.60.56/~jnz1568/getInfo.php?workbook=14_04.xlsx&amp;sheet=A0&amp;row=1769&amp;col=6&amp;number=5021000&amp;sourceID=14","5021000")</f>
        <v>5021000</v>
      </c>
      <c r="G1769" s="4" t="str">
        <f>HYPERLINK("http://141.218.60.56/~jnz1568/getInfo.php?workbook=14_04.xlsx&amp;sheet=A0&amp;row=1769&amp;col=7&amp;number=0&amp;sourceID=14","0")</f>
        <v>0</v>
      </c>
    </row>
    <row r="1770" spans="1:7">
      <c r="A1770" s="3">
        <v>14</v>
      </c>
      <c r="B1770" s="3">
        <v>4</v>
      </c>
      <c r="C1770" s="3">
        <v>53</v>
      </c>
      <c r="D1770" s="3">
        <v>30</v>
      </c>
      <c r="E1770" s="3">
        <v>-204.358</v>
      </c>
      <c r="F1770" s="4" t="str">
        <f>HYPERLINK("http://141.218.60.56/~jnz1568/getInfo.php?workbook=14_04.xlsx&amp;sheet=A0&amp;row=1770&amp;col=6&amp;number=0.001386&amp;sourceID=14","0.001386")</f>
        <v>0.001386</v>
      </c>
      <c r="G1770" s="4" t="str">
        <f>HYPERLINK("http://141.218.60.56/~jnz1568/getInfo.php?workbook=14_04.xlsx&amp;sheet=A0&amp;row=1770&amp;col=7&amp;number=0&amp;sourceID=14","0")</f>
        <v>0</v>
      </c>
    </row>
    <row r="1771" spans="1:7">
      <c r="A1771" s="3">
        <v>14</v>
      </c>
      <c r="B1771" s="3">
        <v>4</v>
      </c>
      <c r="C1771" s="3">
        <v>54</v>
      </c>
      <c r="D1771" s="3">
        <v>30</v>
      </c>
      <c r="E1771" s="3">
        <v>-204.313</v>
      </c>
      <c r="F1771" s="4" t="str">
        <f>HYPERLINK("http://141.218.60.56/~jnz1568/getInfo.php?workbook=14_04.xlsx&amp;sheet=A0&amp;row=1771&amp;col=6&amp;number=73.17&amp;sourceID=14","73.17")</f>
        <v>73.17</v>
      </c>
      <c r="G1771" s="4" t="str">
        <f>HYPERLINK("http://141.218.60.56/~jnz1568/getInfo.php?workbook=14_04.xlsx&amp;sheet=A0&amp;row=1771&amp;col=7&amp;number=0&amp;sourceID=14","0")</f>
        <v>0</v>
      </c>
    </row>
    <row r="1772" spans="1:7">
      <c r="A1772" s="3">
        <v>14</v>
      </c>
      <c r="B1772" s="3">
        <v>4</v>
      </c>
      <c r="C1772" s="3">
        <v>56</v>
      </c>
      <c r="D1772" s="3">
        <v>30</v>
      </c>
      <c r="E1772" s="3">
        <v>-199.959</v>
      </c>
      <c r="F1772" s="4" t="str">
        <f>HYPERLINK("http://141.218.60.56/~jnz1568/getInfo.php?workbook=14_04.xlsx&amp;sheet=A0&amp;row=1772&amp;col=6&amp;number=801.6&amp;sourceID=14","801.6")</f>
        <v>801.6</v>
      </c>
      <c r="G1772" s="4" t="str">
        <f>HYPERLINK("http://141.218.60.56/~jnz1568/getInfo.php?workbook=14_04.xlsx&amp;sheet=A0&amp;row=1772&amp;col=7&amp;number=0&amp;sourceID=14","0")</f>
        <v>0</v>
      </c>
    </row>
    <row r="1773" spans="1:7">
      <c r="A1773" s="3">
        <v>14</v>
      </c>
      <c r="B1773" s="3">
        <v>4</v>
      </c>
      <c r="C1773" s="3">
        <v>58</v>
      </c>
      <c r="D1773" s="3">
        <v>30</v>
      </c>
      <c r="E1773" s="3">
        <v>-155.693</v>
      </c>
      <c r="F1773" s="4" t="str">
        <f>HYPERLINK("http://141.218.60.56/~jnz1568/getInfo.php?workbook=14_04.xlsx&amp;sheet=A0&amp;row=1773&amp;col=6&amp;number=7007000000&amp;sourceID=14","7007000000")</f>
        <v>7007000000</v>
      </c>
      <c r="G1773" s="4" t="str">
        <f>HYPERLINK("http://141.218.60.56/~jnz1568/getInfo.php?workbook=14_04.xlsx&amp;sheet=A0&amp;row=1773&amp;col=7&amp;number=0&amp;sourceID=14","0")</f>
        <v>0</v>
      </c>
    </row>
    <row r="1774" spans="1:7">
      <c r="A1774" s="3">
        <v>14</v>
      </c>
      <c r="B1774" s="3">
        <v>4</v>
      </c>
      <c r="C1774" s="3">
        <v>60</v>
      </c>
      <c r="D1774" s="3">
        <v>30</v>
      </c>
      <c r="E1774" s="3">
        <v>-152.636</v>
      </c>
      <c r="F1774" s="4" t="str">
        <f>HYPERLINK("http://141.218.60.56/~jnz1568/getInfo.php?workbook=14_04.xlsx&amp;sheet=A0&amp;row=1774&amp;col=6&amp;number=407900000&amp;sourceID=14","407900000")</f>
        <v>407900000</v>
      </c>
      <c r="G1774" s="4" t="str">
        <f>HYPERLINK("http://141.218.60.56/~jnz1568/getInfo.php?workbook=14_04.xlsx&amp;sheet=A0&amp;row=1774&amp;col=7&amp;number=0&amp;sourceID=14","0")</f>
        <v>0</v>
      </c>
    </row>
    <row r="1775" spans="1:7">
      <c r="A1775" s="3">
        <v>14</v>
      </c>
      <c r="B1775" s="3">
        <v>4</v>
      </c>
      <c r="C1775" s="3">
        <v>61</v>
      </c>
      <c r="D1775" s="3">
        <v>30</v>
      </c>
      <c r="E1775" s="3">
        <v>-149.905</v>
      </c>
      <c r="F1775" s="4" t="str">
        <f>HYPERLINK("http://141.218.60.56/~jnz1568/getInfo.php?workbook=14_04.xlsx&amp;sheet=A0&amp;row=1775&amp;col=6&amp;number=5.675&amp;sourceID=14","5.675")</f>
        <v>5.675</v>
      </c>
      <c r="G1775" s="4" t="str">
        <f>HYPERLINK("http://141.218.60.56/~jnz1568/getInfo.php?workbook=14_04.xlsx&amp;sheet=A0&amp;row=1775&amp;col=7&amp;number=0&amp;sourceID=14","0")</f>
        <v>0</v>
      </c>
    </row>
    <row r="1776" spans="1:7">
      <c r="A1776" s="3">
        <v>14</v>
      </c>
      <c r="B1776" s="3">
        <v>4</v>
      </c>
      <c r="C1776" s="3">
        <v>62</v>
      </c>
      <c r="D1776" s="3">
        <v>30</v>
      </c>
      <c r="E1776" s="3">
        <v>-150.895</v>
      </c>
      <c r="F1776" s="4" t="str">
        <f>HYPERLINK("http://141.218.60.56/~jnz1568/getInfo.php?workbook=14_04.xlsx&amp;sheet=A0&amp;row=1776&amp;col=6&amp;number=0.1396&amp;sourceID=14","0.1396")</f>
        <v>0.1396</v>
      </c>
      <c r="G1776" s="4" t="str">
        <f>HYPERLINK("http://141.218.60.56/~jnz1568/getInfo.php?workbook=14_04.xlsx&amp;sheet=A0&amp;row=1776&amp;col=7&amp;number=0&amp;sourceID=14","0")</f>
        <v>0</v>
      </c>
    </row>
    <row r="1777" spans="1:7">
      <c r="A1777" s="3">
        <v>14</v>
      </c>
      <c r="B1777" s="3">
        <v>4</v>
      </c>
      <c r="C1777" s="3">
        <v>63</v>
      </c>
      <c r="D1777" s="3">
        <v>30</v>
      </c>
      <c r="E1777" s="3">
        <v>-149.848</v>
      </c>
      <c r="F1777" s="4" t="str">
        <f>HYPERLINK("http://141.218.60.56/~jnz1568/getInfo.php?workbook=14_04.xlsx&amp;sheet=A0&amp;row=1777&amp;col=6&amp;number=864300&amp;sourceID=14","864300")</f>
        <v>864300</v>
      </c>
      <c r="G1777" s="4" t="str">
        <f>HYPERLINK("http://141.218.60.56/~jnz1568/getInfo.php?workbook=14_04.xlsx&amp;sheet=A0&amp;row=1777&amp;col=7&amp;number=0&amp;sourceID=14","0")</f>
        <v>0</v>
      </c>
    </row>
    <row r="1778" spans="1:7">
      <c r="A1778" s="3">
        <v>14</v>
      </c>
      <c r="B1778" s="3">
        <v>4</v>
      </c>
      <c r="C1778" s="3">
        <v>65</v>
      </c>
      <c r="D1778" s="3">
        <v>30</v>
      </c>
      <c r="E1778" s="3">
        <v>-148.248</v>
      </c>
      <c r="F1778" s="4" t="str">
        <f>HYPERLINK("http://141.218.60.56/~jnz1568/getInfo.php?workbook=14_04.xlsx&amp;sheet=A0&amp;row=1778&amp;col=6&amp;number=1.435&amp;sourceID=14","1.435")</f>
        <v>1.435</v>
      </c>
      <c r="G1778" s="4" t="str">
        <f>HYPERLINK("http://141.218.60.56/~jnz1568/getInfo.php?workbook=14_04.xlsx&amp;sheet=A0&amp;row=1778&amp;col=7&amp;number=0&amp;sourceID=14","0")</f>
        <v>0</v>
      </c>
    </row>
    <row r="1779" spans="1:7">
      <c r="A1779" s="3">
        <v>14</v>
      </c>
      <c r="B1779" s="3">
        <v>4</v>
      </c>
      <c r="C1779" s="3">
        <v>67</v>
      </c>
      <c r="D1779" s="3">
        <v>30</v>
      </c>
      <c r="E1779" s="3">
        <v>-147.293</v>
      </c>
      <c r="F1779" s="4" t="str">
        <f>HYPERLINK("http://141.218.60.56/~jnz1568/getInfo.php?workbook=14_04.xlsx&amp;sheet=A0&amp;row=1779&amp;col=6&amp;number=0.3041&amp;sourceID=14","0.3041")</f>
        <v>0.3041</v>
      </c>
      <c r="G1779" s="4" t="str">
        <f>HYPERLINK("http://141.218.60.56/~jnz1568/getInfo.php?workbook=14_04.xlsx&amp;sheet=A0&amp;row=1779&amp;col=7&amp;number=0&amp;sourceID=14","0")</f>
        <v>0</v>
      </c>
    </row>
    <row r="1780" spans="1:7">
      <c r="A1780" s="3">
        <v>14</v>
      </c>
      <c r="B1780" s="3">
        <v>4</v>
      </c>
      <c r="C1780" s="3">
        <v>68</v>
      </c>
      <c r="D1780" s="3">
        <v>30</v>
      </c>
      <c r="E1780" s="3">
        <v>-147.122</v>
      </c>
      <c r="F1780" s="4" t="str">
        <f>HYPERLINK("http://141.218.60.56/~jnz1568/getInfo.php?workbook=14_04.xlsx&amp;sheet=A0&amp;row=1780&amp;col=6&amp;number=102200&amp;sourceID=14","102200")</f>
        <v>102200</v>
      </c>
      <c r="G1780" s="4" t="str">
        <f>HYPERLINK("http://141.218.60.56/~jnz1568/getInfo.php?workbook=14_04.xlsx&amp;sheet=A0&amp;row=1780&amp;col=7&amp;number=0&amp;sourceID=14","0")</f>
        <v>0</v>
      </c>
    </row>
    <row r="1781" spans="1:7">
      <c r="A1781" s="3">
        <v>14</v>
      </c>
      <c r="B1781" s="3">
        <v>4</v>
      </c>
      <c r="C1781" s="3">
        <v>72</v>
      </c>
      <c r="D1781" s="3">
        <v>30</v>
      </c>
      <c r="E1781" s="3">
        <v>-145.445</v>
      </c>
      <c r="F1781" s="4" t="str">
        <f>HYPERLINK("http://141.218.60.56/~jnz1568/getInfo.php?workbook=14_04.xlsx&amp;sheet=A0&amp;row=1781&amp;col=6&amp;number=5664&amp;sourceID=14","5664")</f>
        <v>5664</v>
      </c>
      <c r="G1781" s="4" t="str">
        <f>HYPERLINK("http://141.218.60.56/~jnz1568/getInfo.php?workbook=14_04.xlsx&amp;sheet=A0&amp;row=1781&amp;col=7&amp;number=0&amp;sourceID=14","0")</f>
        <v>0</v>
      </c>
    </row>
    <row r="1782" spans="1:7">
      <c r="A1782" s="3">
        <v>14</v>
      </c>
      <c r="B1782" s="3">
        <v>4</v>
      </c>
      <c r="C1782" s="3">
        <v>74</v>
      </c>
      <c r="D1782" s="3">
        <v>30</v>
      </c>
      <c r="E1782" s="3">
        <v>-144.85</v>
      </c>
      <c r="F1782" s="4" t="str">
        <f>HYPERLINK("http://141.218.60.56/~jnz1568/getInfo.php?workbook=14_04.xlsx&amp;sheet=A0&amp;row=1782&amp;col=6&amp;number=53850000000&amp;sourceID=14","53850000000")</f>
        <v>53850000000</v>
      </c>
      <c r="G1782" s="4" t="str">
        <f>HYPERLINK("http://141.218.60.56/~jnz1568/getInfo.php?workbook=14_04.xlsx&amp;sheet=A0&amp;row=1782&amp;col=7&amp;number=0&amp;sourceID=14","0")</f>
        <v>0</v>
      </c>
    </row>
    <row r="1783" spans="1:7">
      <c r="A1783" s="3">
        <v>14</v>
      </c>
      <c r="B1783" s="3">
        <v>4</v>
      </c>
      <c r="C1783" s="3">
        <v>78</v>
      </c>
      <c r="D1783" s="3">
        <v>30</v>
      </c>
      <c r="E1783" s="3">
        <v>-143.225</v>
      </c>
      <c r="F1783" s="4" t="str">
        <f>HYPERLINK("http://141.218.60.56/~jnz1568/getInfo.php?workbook=14_04.xlsx&amp;sheet=A0&amp;row=1783&amp;col=6&amp;number=858800000&amp;sourceID=14","858800000")</f>
        <v>858800000</v>
      </c>
      <c r="G1783" s="4" t="str">
        <f>HYPERLINK("http://141.218.60.56/~jnz1568/getInfo.php?workbook=14_04.xlsx&amp;sheet=A0&amp;row=1783&amp;col=7&amp;number=0&amp;sourceID=14","0")</f>
        <v>0</v>
      </c>
    </row>
    <row r="1784" spans="1:7">
      <c r="A1784" s="3">
        <v>14</v>
      </c>
      <c r="B1784" s="3">
        <v>4</v>
      </c>
      <c r="C1784" s="3">
        <v>82</v>
      </c>
      <c r="D1784" s="3">
        <v>30</v>
      </c>
      <c r="E1784" s="3">
        <v>-140.749</v>
      </c>
      <c r="F1784" s="4" t="str">
        <f>HYPERLINK("http://141.218.60.56/~jnz1568/getInfo.php?workbook=14_04.xlsx&amp;sheet=A0&amp;row=1784&amp;col=6&amp;number=1050000000&amp;sourceID=14","1050000000")</f>
        <v>1050000000</v>
      </c>
      <c r="G1784" s="4" t="str">
        <f>HYPERLINK("http://141.218.60.56/~jnz1568/getInfo.php?workbook=14_04.xlsx&amp;sheet=A0&amp;row=1784&amp;col=7&amp;number=0&amp;sourceID=14","0")</f>
        <v>0</v>
      </c>
    </row>
    <row r="1785" spans="1:7">
      <c r="A1785" s="3">
        <v>14</v>
      </c>
      <c r="B1785" s="3">
        <v>4</v>
      </c>
      <c r="C1785" s="3">
        <v>83</v>
      </c>
      <c r="D1785" s="3">
        <v>30</v>
      </c>
      <c r="E1785" s="3">
        <v>-129.634</v>
      </c>
      <c r="F1785" s="4" t="str">
        <f>HYPERLINK("http://141.218.60.56/~jnz1568/getInfo.php?workbook=14_04.xlsx&amp;sheet=A0&amp;row=1785&amp;col=6&amp;number=0.0006486&amp;sourceID=14","0.0006486")</f>
        <v>0.0006486</v>
      </c>
      <c r="G1785" s="4" t="str">
        <f>HYPERLINK("http://141.218.60.56/~jnz1568/getInfo.php?workbook=14_04.xlsx&amp;sheet=A0&amp;row=1785&amp;col=7&amp;number=0&amp;sourceID=14","0")</f>
        <v>0</v>
      </c>
    </row>
    <row r="1786" spans="1:7">
      <c r="A1786" s="3">
        <v>14</v>
      </c>
      <c r="B1786" s="3">
        <v>4</v>
      </c>
      <c r="C1786" s="3">
        <v>86</v>
      </c>
      <c r="D1786" s="3">
        <v>30</v>
      </c>
      <c r="E1786" s="3">
        <v>-127.219</v>
      </c>
      <c r="F1786" s="4" t="str">
        <f>HYPERLINK("http://141.218.60.56/~jnz1568/getInfo.php?workbook=14_04.xlsx&amp;sheet=A0&amp;row=1786&amp;col=6&amp;number=32630000&amp;sourceID=14","32630000")</f>
        <v>32630000</v>
      </c>
      <c r="G1786" s="4" t="str">
        <f>HYPERLINK("http://141.218.60.56/~jnz1568/getInfo.php?workbook=14_04.xlsx&amp;sheet=A0&amp;row=1786&amp;col=7&amp;number=0&amp;sourceID=14","0")</f>
        <v>0</v>
      </c>
    </row>
    <row r="1787" spans="1:7">
      <c r="A1787" s="3">
        <v>14</v>
      </c>
      <c r="B1787" s="3">
        <v>4</v>
      </c>
      <c r="C1787" s="3">
        <v>88</v>
      </c>
      <c r="D1787" s="3">
        <v>30</v>
      </c>
      <c r="E1787" s="3">
        <v>-126.759</v>
      </c>
      <c r="F1787" s="4" t="str">
        <f>HYPERLINK("http://141.218.60.56/~jnz1568/getInfo.php?workbook=14_04.xlsx&amp;sheet=A0&amp;row=1787&amp;col=6&amp;number=8478000&amp;sourceID=14","8478000")</f>
        <v>8478000</v>
      </c>
      <c r="G1787" s="4" t="str">
        <f>HYPERLINK("http://141.218.60.56/~jnz1568/getInfo.php?workbook=14_04.xlsx&amp;sheet=A0&amp;row=1787&amp;col=7&amp;number=0&amp;sourceID=14","0")</f>
        <v>0</v>
      </c>
    </row>
    <row r="1788" spans="1:7">
      <c r="A1788" s="3">
        <v>14</v>
      </c>
      <c r="B1788" s="3">
        <v>4</v>
      </c>
      <c r="C1788" s="3">
        <v>89</v>
      </c>
      <c r="D1788" s="3">
        <v>30</v>
      </c>
      <c r="E1788" s="3">
        <v>-125.865</v>
      </c>
      <c r="F1788" s="4" t="str">
        <f>HYPERLINK("http://141.218.60.56/~jnz1568/getInfo.php?workbook=14_04.xlsx&amp;sheet=A0&amp;row=1788&amp;col=6&amp;number=0.0001242&amp;sourceID=14","0.0001242")</f>
        <v>0.0001242</v>
      </c>
      <c r="G1788" s="4" t="str">
        <f>HYPERLINK("http://141.218.60.56/~jnz1568/getInfo.php?workbook=14_04.xlsx&amp;sheet=A0&amp;row=1788&amp;col=7&amp;number=0&amp;sourceID=14","0")</f>
        <v>0</v>
      </c>
    </row>
    <row r="1789" spans="1:7">
      <c r="A1789" s="3">
        <v>14</v>
      </c>
      <c r="B1789" s="3">
        <v>4</v>
      </c>
      <c r="C1789" s="3">
        <v>90</v>
      </c>
      <c r="D1789" s="3">
        <v>30</v>
      </c>
      <c r="E1789" s="3">
        <v>-125.856</v>
      </c>
      <c r="F1789" s="4" t="str">
        <f>HYPERLINK("http://141.218.60.56/~jnz1568/getInfo.php?workbook=14_04.xlsx&amp;sheet=A0&amp;row=1789&amp;col=6&amp;number=325.2&amp;sourceID=14","325.2")</f>
        <v>325.2</v>
      </c>
      <c r="G1789" s="4" t="str">
        <f>HYPERLINK("http://141.218.60.56/~jnz1568/getInfo.php?workbook=14_04.xlsx&amp;sheet=A0&amp;row=1789&amp;col=7&amp;number=0&amp;sourceID=14","0")</f>
        <v>0</v>
      </c>
    </row>
    <row r="1790" spans="1:7">
      <c r="A1790" s="3">
        <v>14</v>
      </c>
      <c r="B1790" s="3">
        <v>4</v>
      </c>
      <c r="C1790" s="3">
        <v>92</v>
      </c>
      <c r="D1790" s="3">
        <v>30</v>
      </c>
      <c r="E1790" s="3">
        <v>-125.079</v>
      </c>
      <c r="F1790" s="4" t="str">
        <f>HYPERLINK("http://141.218.60.56/~jnz1568/getInfo.php?workbook=14_04.xlsx&amp;sheet=A0&amp;row=1790&amp;col=6&amp;number=688&amp;sourceID=14","688")</f>
        <v>688</v>
      </c>
      <c r="G1790" s="4" t="str">
        <f>HYPERLINK("http://141.218.60.56/~jnz1568/getInfo.php?workbook=14_04.xlsx&amp;sheet=A0&amp;row=1790&amp;col=7&amp;number=0&amp;sourceID=14","0")</f>
        <v>0</v>
      </c>
    </row>
    <row r="1791" spans="1:7">
      <c r="A1791" s="3">
        <v>14</v>
      </c>
      <c r="B1791" s="3">
        <v>4</v>
      </c>
      <c r="C1791" s="3">
        <v>32</v>
      </c>
      <c r="D1791" s="3">
        <v>31</v>
      </c>
      <c r="E1791" s="3">
        <v>1666669.733</v>
      </c>
      <c r="F1791" s="4" t="str">
        <f>HYPERLINK("http://141.218.60.56/~jnz1568/getInfo.php?workbook=14_04.xlsx&amp;sheet=A0&amp;row=1791&amp;col=6&amp;number=2.749e-06&amp;sourceID=14","2.749e-06")</f>
        <v>2.749e-06</v>
      </c>
      <c r="G1791" s="4" t="str">
        <f>HYPERLINK("http://141.218.60.56/~jnz1568/getInfo.php?workbook=14_04.xlsx&amp;sheet=A0&amp;row=1791&amp;col=7&amp;number=0&amp;sourceID=14","0")</f>
        <v>0</v>
      </c>
    </row>
    <row r="1792" spans="1:7">
      <c r="A1792" s="3">
        <v>14</v>
      </c>
      <c r="B1792" s="3">
        <v>4</v>
      </c>
      <c r="C1792" s="3">
        <v>33</v>
      </c>
      <c r="D1792" s="3">
        <v>31</v>
      </c>
      <c r="E1792" s="3">
        <v>-13894.79</v>
      </c>
      <c r="F1792" s="4" t="str">
        <f>HYPERLINK("http://141.218.60.56/~jnz1568/getInfo.php?workbook=14_04.xlsx&amp;sheet=A0&amp;row=1792&amp;col=6&amp;number=7.867&amp;sourceID=14","7.867")</f>
        <v>7.867</v>
      </c>
      <c r="G1792" s="4" t="str">
        <f>HYPERLINK("http://141.218.60.56/~jnz1568/getInfo.php?workbook=14_04.xlsx&amp;sheet=A0&amp;row=1792&amp;col=7&amp;number=0&amp;sourceID=14","0")</f>
        <v>0</v>
      </c>
    </row>
    <row r="1793" spans="1:7">
      <c r="A1793" s="3">
        <v>14</v>
      </c>
      <c r="B1793" s="3">
        <v>4</v>
      </c>
      <c r="C1793" s="3">
        <v>35</v>
      </c>
      <c r="D1793" s="3">
        <v>31</v>
      </c>
      <c r="E1793" s="3">
        <v>7873.41</v>
      </c>
      <c r="F1793" s="4" t="str">
        <f>HYPERLINK("http://141.218.60.56/~jnz1568/getInfo.php?workbook=14_04.xlsx&amp;sheet=A0&amp;row=1793&amp;col=6&amp;number=1153&amp;sourceID=14","1153")</f>
        <v>1153</v>
      </c>
      <c r="G1793" s="4" t="str">
        <f>HYPERLINK("http://141.218.60.56/~jnz1568/getInfo.php?workbook=14_04.xlsx&amp;sheet=A0&amp;row=1793&amp;col=7&amp;number=0&amp;sourceID=14","0")</f>
        <v>0</v>
      </c>
    </row>
    <row r="1794" spans="1:7">
      <c r="A1794" s="3">
        <v>14</v>
      </c>
      <c r="B1794" s="3">
        <v>4</v>
      </c>
      <c r="C1794" s="3">
        <v>37</v>
      </c>
      <c r="D1794" s="3">
        <v>31</v>
      </c>
      <c r="E1794" s="3">
        <v>4979.841</v>
      </c>
      <c r="F1794" s="4" t="str">
        <f>HYPERLINK("http://141.218.60.56/~jnz1568/getInfo.php?workbook=14_04.xlsx&amp;sheet=A0&amp;row=1794&amp;col=6&amp;number=1.063&amp;sourceID=14","1.063")</f>
        <v>1.063</v>
      </c>
      <c r="G1794" s="4" t="str">
        <f>HYPERLINK("http://141.218.60.56/~jnz1568/getInfo.php?workbook=14_04.xlsx&amp;sheet=A0&amp;row=1794&amp;col=7&amp;number=0&amp;sourceID=14","0")</f>
        <v>0</v>
      </c>
    </row>
    <row r="1795" spans="1:7">
      <c r="A1795" s="3">
        <v>14</v>
      </c>
      <c r="B1795" s="3">
        <v>4</v>
      </c>
      <c r="C1795" s="3">
        <v>38</v>
      </c>
      <c r="D1795" s="3">
        <v>31</v>
      </c>
      <c r="E1795" s="3">
        <v>-2855.559</v>
      </c>
      <c r="F1795" s="4" t="str">
        <f>HYPERLINK("http://141.218.60.56/~jnz1568/getInfo.php?workbook=14_04.xlsx&amp;sheet=A0&amp;row=1795&amp;col=6&amp;number=6196000&amp;sourceID=14","6196000")</f>
        <v>6196000</v>
      </c>
      <c r="G1795" s="4" t="str">
        <f>HYPERLINK("http://141.218.60.56/~jnz1568/getInfo.php?workbook=14_04.xlsx&amp;sheet=A0&amp;row=1795&amp;col=7&amp;number=0&amp;sourceID=14","0")</f>
        <v>0</v>
      </c>
    </row>
    <row r="1796" spans="1:7">
      <c r="A1796" s="3">
        <v>14</v>
      </c>
      <c r="B1796" s="3">
        <v>4</v>
      </c>
      <c r="C1796" s="3">
        <v>39</v>
      </c>
      <c r="D1796" s="3">
        <v>31</v>
      </c>
      <c r="E1796" s="3">
        <v>3279.125</v>
      </c>
      <c r="F1796" s="4" t="str">
        <f>HYPERLINK("http://141.218.60.56/~jnz1568/getInfo.php?workbook=14_04.xlsx&amp;sheet=A0&amp;row=1796&amp;col=6&amp;number=9774000&amp;sourceID=14","9774000")</f>
        <v>9774000</v>
      </c>
      <c r="G1796" s="4" t="str">
        <f>HYPERLINK("http://141.218.60.56/~jnz1568/getInfo.php?workbook=14_04.xlsx&amp;sheet=A0&amp;row=1796&amp;col=7&amp;number=0&amp;sourceID=14","0")</f>
        <v>0</v>
      </c>
    </row>
    <row r="1797" spans="1:7">
      <c r="A1797" s="3">
        <v>14</v>
      </c>
      <c r="B1797" s="3">
        <v>4</v>
      </c>
      <c r="C1797" s="3">
        <v>41</v>
      </c>
      <c r="D1797" s="3">
        <v>31</v>
      </c>
      <c r="E1797" s="3">
        <v>2250.685</v>
      </c>
      <c r="F1797" s="4" t="str">
        <f>HYPERLINK("http://141.218.60.56/~jnz1568/getInfo.php?workbook=14_04.xlsx&amp;sheet=A0&amp;row=1797&amp;col=6&amp;number=1028000&amp;sourceID=14","1028000")</f>
        <v>1028000</v>
      </c>
      <c r="G1797" s="4" t="str">
        <f>HYPERLINK("http://141.218.60.56/~jnz1568/getInfo.php?workbook=14_04.xlsx&amp;sheet=A0&amp;row=1797&amp;col=7&amp;number=0&amp;sourceID=14","0")</f>
        <v>0</v>
      </c>
    </row>
    <row r="1798" spans="1:7">
      <c r="A1798" s="3">
        <v>14</v>
      </c>
      <c r="B1798" s="3">
        <v>4</v>
      </c>
      <c r="C1798" s="3">
        <v>42</v>
      </c>
      <c r="D1798" s="3">
        <v>31</v>
      </c>
      <c r="E1798" s="3">
        <v>2409.875</v>
      </c>
      <c r="F1798" s="4" t="str">
        <f>HYPERLINK("http://141.218.60.56/~jnz1568/getInfo.php?workbook=14_04.xlsx&amp;sheet=A0&amp;row=1798&amp;col=6&amp;number=14750000&amp;sourceID=14","14750000")</f>
        <v>14750000</v>
      </c>
      <c r="G1798" s="4" t="str">
        <f>HYPERLINK("http://141.218.60.56/~jnz1568/getInfo.php?workbook=14_04.xlsx&amp;sheet=A0&amp;row=1798&amp;col=7&amp;number=0&amp;sourceID=14","0")</f>
        <v>0</v>
      </c>
    </row>
    <row r="1799" spans="1:7">
      <c r="A1799" s="3">
        <v>14</v>
      </c>
      <c r="B1799" s="3">
        <v>4</v>
      </c>
      <c r="C1799" s="3">
        <v>43</v>
      </c>
      <c r="D1799" s="3">
        <v>31</v>
      </c>
      <c r="E1799" s="3">
        <v>2246.186</v>
      </c>
      <c r="F1799" s="4" t="str">
        <f>HYPERLINK("http://141.218.60.56/~jnz1568/getInfo.php?workbook=14_04.xlsx&amp;sheet=A0&amp;row=1799&amp;col=6&amp;number=34240000&amp;sourceID=14","34240000")</f>
        <v>34240000</v>
      </c>
      <c r="G1799" s="4" t="str">
        <f>HYPERLINK("http://141.218.60.56/~jnz1568/getInfo.php?workbook=14_04.xlsx&amp;sheet=A0&amp;row=1799&amp;col=7&amp;number=0&amp;sourceID=14","0")</f>
        <v>0</v>
      </c>
    </row>
    <row r="1800" spans="1:7">
      <c r="A1800" s="3">
        <v>14</v>
      </c>
      <c r="B1800" s="3">
        <v>4</v>
      </c>
      <c r="C1800" s="3">
        <v>44</v>
      </c>
      <c r="D1800" s="3">
        <v>31</v>
      </c>
      <c r="E1800" s="3">
        <v>-1537.944</v>
      </c>
      <c r="F1800" s="4" t="str">
        <f>HYPERLINK("http://141.218.60.56/~jnz1568/getInfo.php?workbook=14_04.xlsx&amp;sheet=A0&amp;row=1800&amp;col=6&amp;number=71.17&amp;sourceID=14","71.17")</f>
        <v>71.17</v>
      </c>
      <c r="G1800" s="4" t="str">
        <f>HYPERLINK("http://141.218.60.56/~jnz1568/getInfo.php?workbook=14_04.xlsx&amp;sheet=A0&amp;row=1800&amp;col=7&amp;number=0&amp;sourceID=14","0")</f>
        <v>0</v>
      </c>
    </row>
    <row r="1801" spans="1:7">
      <c r="A1801" s="3">
        <v>14</v>
      </c>
      <c r="B1801" s="3">
        <v>4</v>
      </c>
      <c r="C1801" s="3">
        <v>46</v>
      </c>
      <c r="D1801" s="3">
        <v>31</v>
      </c>
      <c r="E1801" s="3">
        <v>1398.8</v>
      </c>
      <c r="F1801" s="4" t="str">
        <f>HYPERLINK("http://141.218.60.56/~jnz1568/getInfo.php?workbook=14_04.xlsx&amp;sheet=A0&amp;row=1801&amp;col=6&amp;number=245200&amp;sourceID=14","245200")</f>
        <v>245200</v>
      </c>
      <c r="G1801" s="4" t="str">
        <f>HYPERLINK("http://141.218.60.56/~jnz1568/getInfo.php?workbook=14_04.xlsx&amp;sheet=A0&amp;row=1801&amp;col=7&amp;number=0&amp;sourceID=14","0")</f>
        <v>0</v>
      </c>
    </row>
    <row r="1802" spans="1:7">
      <c r="A1802" s="3">
        <v>14</v>
      </c>
      <c r="B1802" s="3">
        <v>4</v>
      </c>
      <c r="C1802" s="3">
        <v>47</v>
      </c>
      <c r="D1802" s="3">
        <v>31</v>
      </c>
      <c r="E1802" s="3">
        <v>235.57</v>
      </c>
      <c r="F1802" s="4" t="str">
        <f>HYPERLINK("http://141.218.60.56/~jnz1568/getInfo.php?workbook=14_04.xlsx&amp;sheet=A0&amp;row=1802&amp;col=6&amp;number=0.3048&amp;sourceID=14","0.3048")</f>
        <v>0.3048</v>
      </c>
      <c r="G1802" s="4" t="str">
        <f>HYPERLINK("http://141.218.60.56/~jnz1568/getInfo.php?workbook=14_04.xlsx&amp;sheet=A0&amp;row=1802&amp;col=7&amp;number=0&amp;sourceID=14","0")</f>
        <v>0</v>
      </c>
    </row>
    <row r="1803" spans="1:7">
      <c r="A1803" s="3">
        <v>14</v>
      </c>
      <c r="B1803" s="3">
        <v>4</v>
      </c>
      <c r="C1803" s="3">
        <v>48</v>
      </c>
      <c r="D1803" s="3">
        <v>31</v>
      </c>
      <c r="E1803" s="3">
        <v>234.823</v>
      </c>
      <c r="F1803" s="4" t="str">
        <f>HYPERLINK("http://141.218.60.56/~jnz1568/getInfo.php?workbook=14_04.xlsx&amp;sheet=A0&amp;row=1803&amp;col=6&amp;number=1.085&amp;sourceID=14","1.085")</f>
        <v>1.085</v>
      </c>
      <c r="G1803" s="4" t="str">
        <f>HYPERLINK("http://141.218.60.56/~jnz1568/getInfo.php?workbook=14_04.xlsx&amp;sheet=A0&amp;row=1803&amp;col=7&amp;number=0&amp;sourceID=14","0")</f>
        <v>0</v>
      </c>
    </row>
    <row r="1804" spans="1:7">
      <c r="A1804" s="3">
        <v>14</v>
      </c>
      <c r="B1804" s="3">
        <v>4</v>
      </c>
      <c r="C1804" s="3">
        <v>49</v>
      </c>
      <c r="D1804" s="3">
        <v>31</v>
      </c>
      <c r="E1804" s="3">
        <v>211.169</v>
      </c>
      <c r="F1804" s="4" t="str">
        <f>HYPERLINK("http://141.218.60.56/~jnz1568/getInfo.php?workbook=14_04.xlsx&amp;sheet=A0&amp;row=1804&amp;col=6&amp;number=3637000&amp;sourceID=14","3637000")</f>
        <v>3637000</v>
      </c>
      <c r="G1804" s="4" t="str">
        <f>HYPERLINK("http://141.218.60.56/~jnz1568/getInfo.php?workbook=14_04.xlsx&amp;sheet=A0&amp;row=1804&amp;col=7&amp;number=0&amp;sourceID=14","0")</f>
        <v>0</v>
      </c>
    </row>
    <row r="1805" spans="1:7">
      <c r="A1805" s="3">
        <v>14</v>
      </c>
      <c r="B1805" s="3">
        <v>4</v>
      </c>
      <c r="C1805" s="3">
        <v>50</v>
      </c>
      <c r="D1805" s="3">
        <v>31</v>
      </c>
      <c r="E1805" s="3">
        <v>211.169</v>
      </c>
      <c r="F1805" s="4" t="str">
        <f>HYPERLINK("http://141.218.60.56/~jnz1568/getInfo.php?workbook=14_04.xlsx&amp;sheet=A0&amp;row=1805&amp;col=6&amp;number=870800&amp;sourceID=14","870800")</f>
        <v>870800</v>
      </c>
      <c r="G1805" s="4" t="str">
        <f>HYPERLINK("http://141.218.60.56/~jnz1568/getInfo.php?workbook=14_04.xlsx&amp;sheet=A0&amp;row=1805&amp;col=7&amp;number=0&amp;sourceID=14","0")</f>
        <v>0</v>
      </c>
    </row>
    <row r="1806" spans="1:7">
      <c r="A1806" s="3">
        <v>14</v>
      </c>
      <c r="B1806" s="3">
        <v>4</v>
      </c>
      <c r="C1806" s="3">
        <v>51</v>
      </c>
      <c r="D1806" s="3">
        <v>31</v>
      </c>
      <c r="E1806" s="3">
        <v>210.851</v>
      </c>
      <c r="F1806" s="4" t="str">
        <f>HYPERLINK("http://141.218.60.56/~jnz1568/getInfo.php?workbook=14_04.xlsx&amp;sheet=A0&amp;row=1806&amp;col=6&amp;number=41060000&amp;sourceID=14","41060000")</f>
        <v>41060000</v>
      </c>
      <c r="G1806" s="4" t="str">
        <f>HYPERLINK("http://141.218.60.56/~jnz1568/getInfo.php?workbook=14_04.xlsx&amp;sheet=A0&amp;row=1806&amp;col=7&amp;number=0&amp;sourceID=14","0")</f>
        <v>0</v>
      </c>
    </row>
    <row r="1807" spans="1:7">
      <c r="A1807" s="3">
        <v>14</v>
      </c>
      <c r="B1807" s="3">
        <v>4</v>
      </c>
      <c r="C1807" s="3">
        <v>52</v>
      </c>
      <c r="D1807" s="3">
        <v>31</v>
      </c>
      <c r="E1807" s="3">
        <v>212.737</v>
      </c>
      <c r="F1807" s="4" t="str">
        <f>HYPERLINK("http://141.218.60.56/~jnz1568/getInfo.php?workbook=14_04.xlsx&amp;sheet=A0&amp;row=1807&amp;col=6&amp;number=2257&amp;sourceID=14","2257")</f>
        <v>2257</v>
      </c>
      <c r="G1807" s="4" t="str">
        <f>HYPERLINK("http://141.218.60.56/~jnz1568/getInfo.php?workbook=14_04.xlsx&amp;sheet=A0&amp;row=1807&amp;col=7&amp;number=0&amp;sourceID=14","0")</f>
        <v>0</v>
      </c>
    </row>
    <row r="1808" spans="1:7">
      <c r="A1808" s="3">
        <v>14</v>
      </c>
      <c r="B1808" s="3">
        <v>4</v>
      </c>
      <c r="C1808" s="3">
        <v>53</v>
      </c>
      <c r="D1808" s="3">
        <v>31</v>
      </c>
      <c r="E1808" s="3">
        <v>205.737</v>
      </c>
      <c r="F1808" s="4" t="str">
        <f>HYPERLINK("http://141.218.60.56/~jnz1568/getInfo.php?workbook=14_04.xlsx&amp;sheet=A0&amp;row=1808&amp;col=6&amp;number=3133&amp;sourceID=14","3133")</f>
        <v>3133</v>
      </c>
      <c r="G1808" s="4" t="str">
        <f>HYPERLINK("http://141.218.60.56/~jnz1568/getInfo.php?workbook=14_04.xlsx&amp;sheet=A0&amp;row=1808&amp;col=7&amp;number=0&amp;sourceID=14","0")</f>
        <v>0</v>
      </c>
    </row>
    <row r="1809" spans="1:7">
      <c r="A1809" s="3">
        <v>14</v>
      </c>
      <c r="B1809" s="3">
        <v>4</v>
      </c>
      <c r="C1809" s="3">
        <v>54</v>
      </c>
      <c r="D1809" s="3">
        <v>31</v>
      </c>
      <c r="E1809" s="3">
        <v>205.749</v>
      </c>
      <c r="F1809" s="4" t="str">
        <f>HYPERLINK("http://141.218.60.56/~jnz1568/getInfo.php?workbook=14_04.xlsx&amp;sheet=A0&amp;row=1809&amp;col=6&amp;number=2076&amp;sourceID=14","2076")</f>
        <v>2076</v>
      </c>
      <c r="G1809" s="4" t="str">
        <f>HYPERLINK("http://141.218.60.56/~jnz1568/getInfo.php?workbook=14_04.xlsx&amp;sheet=A0&amp;row=1809&amp;col=7&amp;number=0&amp;sourceID=14","0")</f>
        <v>0</v>
      </c>
    </row>
    <row r="1810" spans="1:7">
      <c r="A1810" s="3">
        <v>14</v>
      </c>
      <c r="B1810" s="3">
        <v>4</v>
      </c>
      <c r="C1810" s="3">
        <v>55</v>
      </c>
      <c r="D1810" s="3">
        <v>31</v>
      </c>
      <c r="E1810" s="3">
        <v>205.4</v>
      </c>
      <c r="F1810" s="4" t="str">
        <f>HYPERLINK("http://141.218.60.56/~jnz1568/getInfo.php?workbook=14_04.xlsx&amp;sheet=A0&amp;row=1810&amp;col=6&amp;number=1274&amp;sourceID=14","1274")</f>
        <v>1274</v>
      </c>
      <c r="G1810" s="4" t="str">
        <f>HYPERLINK("http://141.218.60.56/~jnz1568/getInfo.php?workbook=14_04.xlsx&amp;sheet=A0&amp;row=1810&amp;col=7&amp;number=0&amp;sourceID=14","0")</f>
        <v>0</v>
      </c>
    </row>
    <row r="1811" spans="1:7">
      <c r="A1811" s="3">
        <v>14</v>
      </c>
      <c r="B1811" s="3">
        <v>4</v>
      </c>
      <c r="C1811" s="3">
        <v>56</v>
      </c>
      <c r="D1811" s="3">
        <v>31</v>
      </c>
      <c r="E1811" s="3">
        <v>200.97</v>
      </c>
      <c r="F1811" s="4" t="str">
        <f>HYPERLINK("http://141.218.60.56/~jnz1568/getInfo.php?workbook=14_04.xlsx&amp;sheet=A0&amp;row=1811&amp;col=6&amp;number=0.1261&amp;sourceID=14","0.1261")</f>
        <v>0.1261</v>
      </c>
      <c r="G1811" s="4" t="str">
        <f>HYPERLINK("http://141.218.60.56/~jnz1568/getInfo.php?workbook=14_04.xlsx&amp;sheet=A0&amp;row=1811&amp;col=7&amp;number=0&amp;sourceID=14","0")</f>
        <v>0</v>
      </c>
    </row>
    <row r="1812" spans="1:7">
      <c r="A1812" s="3">
        <v>14</v>
      </c>
      <c r="B1812" s="3">
        <v>4</v>
      </c>
      <c r="C1812" s="3">
        <v>57</v>
      </c>
      <c r="D1812" s="3">
        <v>31</v>
      </c>
      <c r="E1812" s="3">
        <v>-156.7</v>
      </c>
      <c r="F1812" s="4" t="str">
        <f>HYPERLINK("http://141.218.60.56/~jnz1568/getInfo.php?workbook=14_04.xlsx&amp;sheet=A0&amp;row=1812&amp;col=6&amp;number=15670000000&amp;sourceID=14","15670000000")</f>
        <v>15670000000</v>
      </c>
      <c r="G1812" s="4" t="str">
        <f>HYPERLINK("http://141.218.60.56/~jnz1568/getInfo.php?workbook=14_04.xlsx&amp;sheet=A0&amp;row=1812&amp;col=7&amp;number=0&amp;sourceID=14","0")</f>
        <v>0</v>
      </c>
    </row>
    <row r="1813" spans="1:7">
      <c r="A1813" s="3">
        <v>14</v>
      </c>
      <c r="B1813" s="3">
        <v>4</v>
      </c>
      <c r="C1813" s="3">
        <v>58</v>
      </c>
      <c r="D1813" s="3">
        <v>31</v>
      </c>
      <c r="E1813" s="3">
        <v>-156.344</v>
      </c>
      <c r="F1813" s="4" t="str">
        <f>HYPERLINK("http://141.218.60.56/~jnz1568/getInfo.php?workbook=14_04.xlsx&amp;sheet=A0&amp;row=1813&amp;col=6&amp;number=3446000000&amp;sourceID=14","3446000000")</f>
        <v>3446000000</v>
      </c>
      <c r="G1813" s="4" t="str">
        <f>HYPERLINK("http://141.218.60.56/~jnz1568/getInfo.php?workbook=14_04.xlsx&amp;sheet=A0&amp;row=1813&amp;col=7&amp;number=0&amp;sourceID=14","0")</f>
        <v>0</v>
      </c>
    </row>
    <row r="1814" spans="1:7">
      <c r="A1814" s="3">
        <v>14</v>
      </c>
      <c r="B1814" s="3">
        <v>4</v>
      </c>
      <c r="C1814" s="3">
        <v>59</v>
      </c>
      <c r="D1814" s="3">
        <v>31</v>
      </c>
      <c r="E1814" s="3">
        <v>157.001</v>
      </c>
      <c r="F1814" s="4" t="str">
        <f>HYPERLINK("http://141.218.60.56/~jnz1568/getInfo.php?workbook=14_04.xlsx&amp;sheet=A0&amp;row=1814&amp;col=6&amp;number=7119000000&amp;sourceID=14","7119000000")</f>
        <v>7119000000</v>
      </c>
      <c r="G1814" s="4" t="str">
        <f>HYPERLINK("http://141.218.60.56/~jnz1568/getInfo.php?workbook=14_04.xlsx&amp;sheet=A0&amp;row=1814&amp;col=7&amp;number=0&amp;sourceID=14","0")</f>
        <v>0</v>
      </c>
    </row>
    <row r="1815" spans="1:7">
      <c r="A1815" s="3">
        <v>14</v>
      </c>
      <c r="B1815" s="3">
        <v>4</v>
      </c>
      <c r="C1815" s="3">
        <v>60</v>
      </c>
      <c r="D1815" s="3">
        <v>31</v>
      </c>
      <c r="E1815" s="3">
        <v>-153.262</v>
      </c>
      <c r="F1815" s="4" t="str">
        <f>HYPERLINK("http://141.218.60.56/~jnz1568/getInfo.php?workbook=14_04.xlsx&amp;sheet=A0&amp;row=1815&amp;col=6&amp;number=534000000&amp;sourceID=14","534000000")</f>
        <v>534000000</v>
      </c>
      <c r="G1815" s="4" t="str">
        <f>HYPERLINK("http://141.218.60.56/~jnz1568/getInfo.php?workbook=14_04.xlsx&amp;sheet=A0&amp;row=1815&amp;col=7&amp;number=0&amp;sourceID=14","0")</f>
        <v>0</v>
      </c>
    </row>
    <row r="1816" spans="1:7">
      <c r="A1816" s="3">
        <v>14</v>
      </c>
      <c r="B1816" s="3">
        <v>4</v>
      </c>
      <c r="C1816" s="3">
        <v>61</v>
      </c>
      <c r="D1816" s="3">
        <v>31</v>
      </c>
      <c r="E1816" s="3">
        <v>-150.509</v>
      </c>
      <c r="F1816" s="4" t="str">
        <f>HYPERLINK("http://141.218.60.56/~jnz1568/getInfo.php?workbook=14_04.xlsx&amp;sheet=A0&amp;row=1816&amp;col=6&amp;number=661200&amp;sourceID=14","661200")</f>
        <v>661200</v>
      </c>
      <c r="G1816" s="4" t="str">
        <f>HYPERLINK("http://141.218.60.56/~jnz1568/getInfo.php?workbook=14_04.xlsx&amp;sheet=A0&amp;row=1816&amp;col=7&amp;number=0&amp;sourceID=14","0")</f>
        <v>0</v>
      </c>
    </row>
    <row r="1817" spans="1:7">
      <c r="A1817" s="3">
        <v>14</v>
      </c>
      <c r="B1817" s="3">
        <v>4</v>
      </c>
      <c r="C1817" s="3">
        <v>62</v>
      </c>
      <c r="D1817" s="3">
        <v>31</v>
      </c>
      <c r="E1817" s="3">
        <v>-151.507</v>
      </c>
      <c r="F1817" s="4" t="str">
        <f>HYPERLINK("http://141.218.60.56/~jnz1568/getInfo.php?workbook=14_04.xlsx&amp;sheet=A0&amp;row=1817&amp;col=6&amp;number=452900&amp;sourceID=14","452900")</f>
        <v>452900</v>
      </c>
      <c r="G1817" s="4" t="str">
        <f>HYPERLINK("http://141.218.60.56/~jnz1568/getInfo.php?workbook=14_04.xlsx&amp;sheet=A0&amp;row=1817&amp;col=7&amp;number=0&amp;sourceID=14","0")</f>
        <v>0</v>
      </c>
    </row>
    <row r="1818" spans="1:7">
      <c r="A1818" s="3">
        <v>14</v>
      </c>
      <c r="B1818" s="3">
        <v>4</v>
      </c>
      <c r="C1818" s="3">
        <v>63</v>
      </c>
      <c r="D1818" s="3">
        <v>31</v>
      </c>
      <c r="E1818" s="3">
        <v>-150.451</v>
      </c>
      <c r="F1818" s="4" t="str">
        <f>HYPERLINK("http://141.218.60.56/~jnz1568/getInfo.php?workbook=14_04.xlsx&amp;sheet=A0&amp;row=1818&amp;col=6&amp;number=128600&amp;sourceID=14","128600")</f>
        <v>128600</v>
      </c>
      <c r="G1818" s="4" t="str">
        <f>HYPERLINK("http://141.218.60.56/~jnz1568/getInfo.php?workbook=14_04.xlsx&amp;sheet=A0&amp;row=1818&amp;col=7&amp;number=0&amp;sourceID=14","0")</f>
        <v>0</v>
      </c>
    </row>
    <row r="1819" spans="1:7">
      <c r="A1819" s="3">
        <v>14</v>
      </c>
      <c r="B1819" s="3">
        <v>4</v>
      </c>
      <c r="C1819" s="3">
        <v>64</v>
      </c>
      <c r="D1819" s="3">
        <v>31</v>
      </c>
      <c r="E1819" s="3">
        <v>-149.232</v>
      </c>
      <c r="F1819" s="4" t="str">
        <f>HYPERLINK("http://141.218.60.56/~jnz1568/getInfo.php?workbook=14_04.xlsx&amp;sheet=A0&amp;row=1819&amp;col=6&amp;number=1107000&amp;sourceID=14","1107000")</f>
        <v>1107000</v>
      </c>
      <c r="G1819" s="4" t="str">
        <f>HYPERLINK("http://141.218.60.56/~jnz1568/getInfo.php?workbook=14_04.xlsx&amp;sheet=A0&amp;row=1819&amp;col=7&amp;number=0&amp;sourceID=14","0")</f>
        <v>0</v>
      </c>
    </row>
    <row r="1820" spans="1:7">
      <c r="A1820" s="3">
        <v>14</v>
      </c>
      <c r="B1820" s="3">
        <v>4</v>
      </c>
      <c r="C1820" s="3">
        <v>65</v>
      </c>
      <c r="D1820" s="3">
        <v>31</v>
      </c>
      <c r="E1820" s="3">
        <v>-148.838</v>
      </c>
      <c r="F1820" s="4" t="str">
        <f>HYPERLINK("http://141.218.60.56/~jnz1568/getInfo.php?workbook=14_04.xlsx&amp;sheet=A0&amp;row=1820&amp;col=6&amp;number=283.9&amp;sourceID=14","283.9")</f>
        <v>283.9</v>
      </c>
      <c r="G1820" s="4" t="str">
        <f>HYPERLINK("http://141.218.60.56/~jnz1568/getInfo.php?workbook=14_04.xlsx&amp;sheet=A0&amp;row=1820&amp;col=7&amp;number=0&amp;sourceID=14","0")</f>
        <v>0</v>
      </c>
    </row>
    <row r="1821" spans="1:7">
      <c r="A1821" s="3">
        <v>14</v>
      </c>
      <c r="B1821" s="3">
        <v>4</v>
      </c>
      <c r="C1821" s="3">
        <v>66</v>
      </c>
      <c r="D1821" s="3">
        <v>31</v>
      </c>
      <c r="E1821" s="3">
        <v>-148.872</v>
      </c>
      <c r="F1821" s="4" t="str">
        <f>HYPERLINK("http://141.218.60.56/~jnz1568/getInfo.php?workbook=14_04.xlsx&amp;sheet=A0&amp;row=1821&amp;col=6&amp;number=2.188&amp;sourceID=14","2.188")</f>
        <v>2.188</v>
      </c>
      <c r="G1821" s="4" t="str">
        <f>HYPERLINK("http://141.218.60.56/~jnz1568/getInfo.php?workbook=14_04.xlsx&amp;sheet=A0&amp;row=1821&amp;col=7&amp;number=0&amp;sourceID=14","0")</f>
        <v>0</v>
      </c>
    </row>
    <row r="1822" spans="1:7">
      <c r="A1822" s="3">
        <v>14</v>
      </c>
      <c r="B1822" s="3">
        <v>4</v>
      </c>
      <c r="C1822" s="3">
        <v>67</v>
      </c>
      <c r="D1822" s="3">
        <v>31</v>
      </c>
      <c r="E1822" s="3">
        <v>-147.876</v>
      </c>
      <c r="F1822" s="4" t="str">
        <f>HYPERLINK("http://141.218.60.56/~jnz1568/getInfo.php?workbook=14_04.xlsx&amp;sheet=A0&amp;row=1822&amp;col=6&amp;number=105300&amp;sourceID=14","105300")</f>
        <v>105300</v>
      </c>
      <c r="G1822" s="4" t="str">
        <f>HYPERLINK("http://141.218.60.56/~jnz1568/getInfo.php?workbook=14_04.xlsx&amp;sheet=A0&amp;row=1822&amp;col=7&amp;number=0&amp;sourceID=14","0")</f>
        <v>0</v>
      </c>
    </row>
    <row r="1823" spans="1:7">
      <c r="A1823" s="3">
        <v>14</v>
      </c>
      <c r="B1823" s="3">
        <v>4</v>
      </c>
      <c r="C1823" s="3">
        <v>68</v>
      </c>
      <c r="D1823" s="3">
        <v>31</v>
      </c>
      <c r="E1823" s="3">
        <v>-147.703</v>
      </c>
      <c r="F1823" s="4" t="str">
        <f>HYPERLINK("http://141.218.60.56/~jnz1568/getInfo.php?workbook=14_04.xlsx&amp;sheet=A0&amp;row=1823&amp;col=6&amp;number=438900&amp;sourceID=14","438900")</f>
        <v>438900</v>
      </c>
      <c r="G1823" s="4" t="str">
        <f>HYPERLINK("http://141.218.60.56/~jnz1568/getInfo.php?workbook=14_04.xlsx&amp;sheet=A0&amp;row=1823&amp;col=7&amp;number=0&amp;sourceID=14","0")</f>
        <v>0</v>
      </c>
    </row>
    <row r="1824" spans="1:7">
      <c r="A1824" s="3">
        <v>14</v>
      </c>
      <c r="B1824" s="3">
        <v>4</v>
      </c>
      <c r="C1824" s="3">
        <v>69</v>
      </c>
      <c r="D1824" s="3">
        <v>31</v>
      </c>
      <c r="E1824" s="3">
        <v>-147.526</v>
      </c>
      <c r="F1824" s="4" t="str">
        <f>HYPERLINK("http://141.218.60.56/~jnz1568/getInfo.php?workbook=14_04.xlsx&amp;sheet=A0&amp;row=1824&amp;col=6&amp;number=108000000&amp;sourceID=14","108000000")</f>
        <v>108000000</v>
      </c>
      <c r="G1824" s="4" t="str">
        <f>HYPERLINK("http://141.218.60.56/~jnz1568/getInfo.php?workbook=14_04.xlsx&amp;sheet=A0&amp;row=1824&amp;col=7&amp;number=0&amp;sourceID=14","0")</f>
        <v>0</v>
      </c>
    </row>
    <row r="1825" spans="1:7">
      <c r="A1825" s="3">
        <v>14</v>
      </c>
      <c r="B1825" s="3">
        <v>4</v>
      </c>
      <c r="C1825" s="3">
        <v>71</v>
      </c>
      <c r="D1825" s="3">
        <v>31</v>
      </c>
      <c r="E1825" s="3">
        <v>-146.479</v>
      </c>
      <c r="F1825" s="4" t="str">
        <f>HYPERLINK("http://141.218.60.56/~jnz1568/getInfo.php?workbook=14_04.xlsx&amp;sheet=A0&amp;row=1825&amp;col=6&amp;number=7061000000&amp;sourceID=14","7061000000")</f>
        <v>7061000000</v>
      </c>
      <c r="G1825" s="4" t="str">
        <f>HYPERLINK("http://141.218.60.56/~jnz1568/getInfo.php?workbook=14_04.xlsx&amp;sheet=A0&amp;row=1825&amp;col=7&amp;number=0&amp;sourceID=14","0")</f>
        <v>0</v>
      </c>
    </row>
    <row r="1826" spans="1:7">
      <c r="A1826" s="3">
        <v>14</v>
      </c>
      <c r="B1826" s="3">
        <v>4</v>
      </c>
      <c r="C1826" s="3">
        <v>72</v>
      </c>
      <c r="D1826" s="3">
        <v>31</v>
      </c>
      <c r="E1826" s="3">
        <v>-146.014</v>
      </c>
      <c r="F1826" s="4" t="str">
        <f>HYPERLINK("http://141.218.60.56/~jnz1568/getInfo.php?workbook=14_04.xlsx&amp;sheet=A0&amp;row=1826&amp;col=6&amp;number=113700&amp;sourceID=14","113700")</f>
        <v>113700</v>
      </c>
      <c r="G1826" s="4" t="str">
        <f>HYPERLINK("http://141.218.60.56/~jnz1568/getInfo.php?workbook=14_04.xlsx&amp;sheet=A0&amp;row=1826&amp;col=7&amp;number=0&amp;sourceID=14","0")</f>
        <v>0</v>
      </c>
    </row>
    <row r="1827" spans="1:7">
      <c r="A1827" s="3">
        <v>14</v>
      </c>
      <c r="B1827" s="3">
        <v>4</v>
      </c>
      <c r="C1827" s="3">
        <v>74</v>
      </c>
      <c r="D1827" s="3">
        <v>31</v>
      </c>
      <c r="E1827" s="3">
        <v>-145.413</v>
      </c>
      <c r="F1827" s="4" t="str">
        <f>HYPERLINK("http://141.218.60.56/~jnz1568/getInfo.php?workbook=14_04.xlsx&amp;sheet=A0&amp;row=1827&amp;col=6&amp;number=12510000000&amp;sourceID=14","12510000000")</f>
        <v>12510000000</v>
      </c>
      <c r="G1827" s="4" t="str">
        <f>HYPERLINK("http://141.218.60.56/~jnz1568/getInfo.php?workbook=14_04.xlsx&amp;sheet=A0&amp;row=1827&amp;col=7&amp;number=0&amp;sourceID=14","0")</f>
        <v>0</v>
      </c>
    </row>
    <row r="1828" spans="1:7">
      <c r="A1828" s="3">
        <v>14</v>
      </c>
      <c r="B1828" s="3">
        <v>4</v>
      </c>
      <c r="C1828" s="3">
        <v>75</v>
      </c>
      <c r="D1828" s="3">
        <v>31</v>
      </c>
      <c r="E1828" s="3">
        <v>-145.009</v>
      </c>
      <c r="F1828" s="4" t="str">
        <f>HYPERLINK("http://141.218.60.56/~jnz1568/getInfo.php?workbook=14_04.xlsx&amp;sheet=A0&amp;row=1828&amp;col=6&amp;number=39270000000&amp;sourceID=14","39270000000")</f>
        <v>39270000000</v>
      </c>
      <c r="G1828" s="4" t="str">
        <f>HYPERLINK("http://141.218.60.56/~jnz1568/getInfo.php?workbook=14_04.xlsx&amp;sheet=A0&amp;row=1828&amp;col=7&amp;number=0&amp;sourceID=14","0")</f>
        <v>0</v>
      </c>
    </row>
    <row r="1829" spans="1:7">
      <c r="A1829" s="3">
        <v>14</v>
      </c>
      <c r="B1829" s="3">
        <v>4</v>
      </c>
      <c r="C1829" s="3">
        <v>77</v>
      </c>
      <c r="D1829" s="3">
        <v>31</v>
      </c>
      <c r="E1829" s="3">
        <v>144.297</v>
      </c>
      <c r="F1829" s="4" t="str">
        <f>HYPERLINK("http://141.218.60.56/~jnz1568/getInfo.php?workbook=14_04.xlsx&amp;sheet=A0&amp;row=1829&amp;col=6&amp;number=9094000000&amp;sourceID=14","9094000000")</f>
        <v>9094000000</v>
      </c>
      <c r="G1829" s="4" t="str">
        <f>HYPERLINK("http://141.218.60.56/~jnz1568/getInfo.php?workbook=14_04.xlsx&amp;sheet=A0&amp;row=1829&amp;col=7&amp;number=0&amp;sourceID=14","0")</f>
        <v>0</v>
      </c>
    </row>
    <row r="1830" spans="1:7">
      <c r="A1830" s="3">
        <v>14</v>
      </c>
      <c r="B1830" s="3">
        <v>4</v>
      </c>
      <c r="C1830" s="3">
        <v>78</v>
      </c>
      <c r="D1830" s="3">
        <v>31</v>
      </c>
      <c r="E1830" s="3">
        <v>-143.776</v>
      </c>
      <c r="F1830" s="4" t="str">
        <f>HYPERLINK("http://141.218.60.56/~jnz1568/getInfo.php?workbook=14_04.xlsx&amp;sheet=A0&amp;row=1830&amp;col=6&amp;number=41430000000&amp;sourceID=14","41430000000")</f>
        <v>41430000000</v>
      </c>
      <c r="G1830" s="4" t="str">
        <f>HYPERLINK("http://141.218.60.56/~jnz1568/getInfo.php?workbook=14_04.xlsx&amp;sheet=A0&amp;row=1830&amp;col=7&amp;number=0&amp;sourceID=14","0")</f>
        <v>0</v>
      </c>
    </row>
    <row r="1831" spans="1:7">
      <c r="A1831" s="3">
        <v>14</v>
      </c>
      <c r="B1831" s="3">
        <v>4</v>
      </c>
      <c r="C1831" s="3">
        <v>79</v>
      </c>
      <c r="D1831" s="3">
        <v>31</v>
      </c>
      <c r="E1831" s="3">
        <v>-143.686</v>
      </c>
      <c r="F1831" s="4" t="str">
        <f>HYPERLINK("http://141.218.60.56/~jnz1568/getInfo.php?workbook=14_04.xlsx&amp;sheet=A0&amp;row=1831&amp;col=6&amp;number=61150000000&amp;sourceID=14","61150000000")</f>
        <v>61150000000</v>
      </c>
      <c r="G1831" s="4" t="str">
        <f>HYPERLINK("http://141.218.60.56/~jnz1568/getInfo.php?workbook=14_04.xlsx&amp;sheet=A0&amp;row=1831&amp;col=7&amp;number=0&amp;sourceID=14","0")</f>
        <v>0</v>
      </c>
    </row>
    <row r="1832" spans="1:7">
      <c r="A1832" s="3">
        <v>14</v>
      </c>
      <c r="B1832" s="3">
        <v>4</v>
      </c>
      <c r="C1832" s="3">
        <v>80</v>
      </c>
      <c r="D1832" s="3">
        <v>31</v>
      </c>
      <c r="E1832" s="3">
        <v>146.484</v>
      </c>
      <c r="F1832" s="4" t="str">
        <f>HYPERLINK("http://141.218.60.56/~jnz1568/getInfo.php?workbook=14_04.xlsx&amp;sheet=A0&amp;row=1832&amp;col=6&amp;number=22.95&amp;sourceID=14","22.95")</f>
        <v>22.95</v>
      </c>
      <c r="G1832" s="4" t="str">
        <f>HYPERLINK("http://141.218.60.56/~jnz1568/getInfo.php?workbook=14_04.xlsx&amp;sheet=A0&amp;row=1832&amp;col=7&amp;number=0&amp;sourceID=14","0")</f>
        <v>0</v>
      </c>
    </row>
    <row r="1833" spans="1:7">
      <c r="A1833" s="3">
        <v>14</v>
      </c>
      <c r="B1833" s="3">
        <v>4</v>
      </c>
      <c r="C1833" s="3">
        <v>82</v>
      </c>
      <c r="D1833" s="3">
        <v>31</v>
      </c>
      <c r="E1833" s="3">
        <v>-141.281</v>
      </c>
      <c r="F1833" s="4" t="str">
        <f>HYPERLINK("http://141.218.60.56/~jnz1568/getInfo.php?workbook=14_04.xlsx&amp;sheet=A0&amp;row=1833&amp;col=6&amp;number=270000000&amp;sourceID=14","270000000")</f>
        <v>270000000</v>
      </c>
      <c r="G1833" s="4" t="str">
        <f>HYPERLINK("http://141.218.60.56/~jnz1568/getInfo.php?workbook=14_04.xlsx&amp;sheet=A0&amp;row=1833&amp;col=7&amp;number=0&amp;sourceID=14","0")</f>
        <v>0</v>
      </c>
    </row>
    <row r="1834" spans="1:7">
      <c r="A1834" s="3">
        <v>14</v>
      </c>
      <c r="B1834" s="3">
        <v>4</v>
      </c>
      <c r="C1834" s="3">
        <v>83</v>
      </c>
      <c r="D1834" s="3">
        <v>31</v>
      </c>
      <c r="E1834" s="3">
        <v>-130.085</v>
      </c>
      <c r="F1834" s="4" t="str">
        <f>HYPERLINK("http://141.218.60.56/~jnz1568/getInfo.php?workbook=14_04.xlsx&amp;sheet=A0&amp;row=1834&amp;col=6&amp;number=6.263&amp;sourceID=14","6.263")</f>
        <v>6.263</v>
      </c>
      <c r="G1834" s="4" t="str">
        <f>HYPERLINK("http://141.218.60.56/~jnz1568/getInfo.php?workbook=14_04.xlsx&amp;sheet=A0&amp;row=1834&amp;col=7&amp;number=0&amp;sourceID=14","0")</f>
        <v>0</v>
      </c>
    </row>
    <row r="1835" spans="1:7">
      <c r="A1835" s="3">
        <v>14</v>
      </c>
      <c r="B1835" s="3">
        <v>4</v>
      </c>
      <c r="C1835" s="3">
        <v>84</v>
      </c>
      <c r="D1835" s="3">
        <v>31</v>
      </c>
      <c r="E1835" s="3">
        <v>-128.88</v>
      </c>
      <c r="F1835" s="4" t="str">
        <f>HYPERLINK("http://141.218.60.56/~jnz1568/getInfo.php?workbook=14_04.xlsx&amp;sheet=A0&amp;row=1835&amp;col=6&amp;number=2.504&amp;sourceID=14","2.504")</f>
        <v>2.504</v>
      </c>
      <c r="G1835" s="4" t="str">
        <f>HYPERLINK("http://141.218.60.56/~jnz1568/getInfo.php?workbook=14_04.xlsx&amp;sheet=A0&amp;row=1835&amp;col=7&amp;number=0&amp;sourceID=14","0")</f>
        <v>0</v>
      </c>
    </row>
    <row r="1836" spans="1:7">
      <c r="A1836" s="3">
        <v>14</v>
      </c>
      <c r="B1836" s="3">
        <v>4</v>
      </c>
      <c r="C1836" s="3">
        <v>85</v>
      </c>
      <c r="D1836" s="3">
        <v>31</v>
      </c>
      <c r="E1836" s="3">
        <v>-127.673</v>
      </c>
      <c r="F1836" s="4" t="str">
        <f>HYPERLINK("http://141.218.60.56/~jnz1568/getInfo.php?workbook=14_04.xlsx&amp;sheet=A0&amp;row=1836&amp;col=6&amp;number=308200000&amp;sourceID=14","308200000")</f>
        <v>308200000</v>
      </c>
      <c r="G1836" s="4" t="str">
        <f>HYPERLINK("http://141.218.60.56/~jnz1568/getInfo.php?workbook=14_04.xlsx&amp;sheet=A0&amp;row=1836&amp;col=7&amp;number=0&amp;sourceID=14","0")</f>
        <v>0</v>
      </c>
    </row>
    <row r="1837" spans="1:7">
      <c r="A1837" s="3">
        <v>14</v>
      </c>
      <c r="B1837" s="3">
        <v>4</v>
      </c>
      <c r="C1837" s="3">
        <v>86</v>
      </c>
      <c r="D1837" s="3">
        <v>31</v>
      </c>
      <c r="E1837" s="3">
        <v>-127.653</v>
      </c>
      <c r="F1837" s="4" t="str">
        <f>HYPERLINK("http://141.218.60.56/~jnz1568/getInfo.php?workbook=14_04.xlsx&amp;sheet=A0&amp;row=1837&amp;col=6&amp;number=160900000&amp;sourceID=14","160900000")</f>
        <v>160900000</v>
      </c>
      <c r="G1837" s="4" t="str">
        <f>HYPERLINK("http://141.218.60.56/~jnz1568/getInfo.php?workbook=14_04.xlsx&amp;sheet=A0&amp;row=1837&amp;col=7&amp;number=0&amp;sourceID=14","0")</f>
        <v>0</v>
      </c>
    </row>
    <row r="1838" spans="1:7">
      <c r="A1838" s="3">
        <v>14</v>
      </c>
      <c r="B1838" s="3">
        <v>4</v>
      </c>
      <c r="C1838" s="3">
        <v>87</v>
      </c>
      <c r="D1838" s="3">
        <v>31</v>
      </c>
      <c r="E1838" s="3">
        <v>126.985</v>
      </c>
      <c r="F1838" s="4" t="str">
        <f>HYPERLINK("http://141.218.60.56/~jnz1568/getInfo.php?workbook=14_04.xlsx&amp;sheet=A0&amp;row=1838&amp;col=6&amp;number=9698000&amp;sourceID=14","9698000")</f>
        <v>9698000</v>
      </c>
      <c r="G1838" s="4" t="str">
        <f>HYPERLINK("http://141.218.60.56/~jnz1568/getInfo.php?workbook=14_04.xlsx&amp;sheet=A0&amp;row=1838&amp;col=7&amp;number=0&amp;sourceID=14","0")</f>
        <v>0</v>
      </c>
    </row>
    <row r="1839" spans="1:7">
      <c r="A1839" s="3">
        <v>14</v>
      </c>
      <c r="B1839" s="3">
        <v>4</v>
      </c>
      <c r="C1839" s="3">
        <v>88</v>
      </c>
      <c r="D1839" s="3">
        <v>31</v>
      </c>
      <c r="E1839" s="3">
        <v>-127.19</v>
      </c>
      <c r="F1839" s="4" t="str">
        <f>HYPERLINK("http://141.218.60.56/~jnz1568/getInfo.php?workbook=14_04.xlsx&amp;sheet=A0&amp;row=1839&amp;col=6&amp;number=373800&amp;sourceID=14","373800")</f>
        <v>373800</v>
      </c>
      <c r="G1839" s="4" t="str">
        <f>HYPERLINK("http://141.218.60.56/~jnz1568/getInfo.php?workbook=14_04.xlsx&amp;sheet=A0&amp;row=1839&amp;col=7&amp;number=0&amp;sourceID=14","0")</f>
        <v>0</v>
      </c>
    </row>
    <row r="1840" spans="1:7">
      <c r="A1840" s="3">
        <v>14</v>
      </c>
      <c r="B1840" s="3">
        <v>4</v>
      </c>
      <c r="C1840" s="3">
        <v>89</v>
      </c>
      <c r="D1840" s="3">
        <v>31</v>
      </c>
      <c r="E1840" s="3">
        <v>-126.29</v>
      </c>
      <c r="F1840" s="4" t="str">
        <f>HYPERLINK("http://141.218.60.56/~jnz1568/getInfo.php?workbook=14_04.xlsx&amp;sheet=A0&amp;row=1840&amp;col=6&amp;number=6118&amp;sourceID=14","6118")</f>
        <v>6118</v>
      </c>
      <c r="G1840" s="4" t="str">
        <f>HYPERLINK("http://141.218.60.56/~jnz1568/getInfo.php?workbook=14_04.xlsx&amp;sheet=A0&amp;row=1840&amp;col=7&amp;number=0&amp;sourceID=14","0")</f>
        <v>0</v>
      </c>
    </row>
    <row r="1841" spans="1:7">
      <c r="A1841" s="3">
        <v>14</v>
      </c>
      <c r="B1841" s="3">
        <v>4</v>
      </c>
      <c r="C1841" s="3">
        <v>90</v>
      </c>
      <c r="D1841" s="3">
        <v>31</v>
      </c>
      <c r="E1841" s="3">
        <v>126.251</v>
      </c>
      <c r="F1841" s="4" t="str">
        <f>HYPERLINK("http://141.218.60.56/~jnz1568/getInfo.php?workbook=14_04.xlsx&amp;sheet=A0&amp;row=1841&amp;col=6&amp;number=3617&amp;sourceID=14","3617")</f>
        <v>3617</v>
      </c>
      <c r="G1841" s="4" t="str">
        <f>HYPERLINK("http://141.218.60.56/~jnz1568/getInfo.php?workbook=14_04.xlsx&amp;sheet=A0&amp;row=1841&amp;col=7&amp;number=0&amp;sourceID=14","0")</f>
        <v>0</v>
      </c>
    </row>
    <row r="1842" spans="1:7">
      <c r="A1842" s="3">
        <v>14</v>
      </c>
      <c r="B1842" s="3">
        <v>4</v>
      </c>
      <c r="C1842" s="3">
        <v>91</v>
      </c>
      <c r="D1842" s="3">
        <v>31</v>
      </c>
      <c r="E1842" s="3">
        <v>126.264</v>
      </c>
      <c r="F1842" s="4" t="str">
        <f>HYPERLINK("http://141.218.60.56/~jnz1568/getInfo.php?workbook=14_04.xlsx&amp;sheet=A0&amp;row=1842&amp;col=6&amp;number=1174&amp;sourceID=14","1174")</f>
        <v>1174</v>
      </c>
      <c r="G1842" s="4" t="str">
        <f>HYPERLINK("http://141.218.60.56/~jnz1568/getInfo.php?workbook=14_04.xlsx&amp;sheet=A0&amp;row=1842&amp;col=7&amp;number=0&amp;sourceID=14","0")</f>
        <v>0</v>
      </c>
    </row>
    <row r="1843" spans="1:7">
      <c r="A1843" s="3">
        <v>14</v>
      </c>
      <c r="B1843" s="3">
        <v>4</v>
      </c>
      <c r="C1843" s="3">
        <v>92</v>
      </c>
      <c r="D1843" s="3">
        <v>31</v>
      </c>
      <c r="E1843" s="3">
        <v>125.641</v>
      </c>
      <c r="F1843" s="4" t="str">
        <f>HYPERLINK("http://141.218.60.56/~jnz1568/getInfo.php?workbook=14_04.xlsx&amp;sheet=A0&amp;row=1843&amp;col=6&amp;number=10.45&amp;sourceID=14","10.45")</f>
        <v>10.45</v>
      </c>
      <c r="G1843" s="4" t="str">
        <f>HYPERLINK("http://141.218.60.56/~jnz1568/getInfo.php?workbook=14_04.xlsx&amp;sheet=A0&amp;row=1843&amp;col=7&amp;number=0&amp;sourceID=14","0")</f>
        <v>0</v>
      </c>
    </row>
    <row r="1844" spans="1:7">
      <c r="A1844" s="3">
        <v>14</v>
      </c>
      <c r="B1844" s="3">
        <v>4</v>
      </c>
      <c r="C1844" s="3">
        <v>33</v>
      </c>
      <c r="D1844" s="3">
        <v>32</v>
      </c>
      <c r="E1844" s="3">
        <v>-22337.47</v>
      </c>
      <c r="F1844" s="4" t="str">
        <f>HYPERLINK("http://141.218.60.56/~jnz1568/getInfo.php?workbook=14_04.xlsx&amp;sheet=A0&amp;row=1844&amp;col=6&amp;number=50.53&amp;sourceID=14","50.53")</f>
        <v>50.53</v>
      </c>
      <c r="G1844" s="4" t="str">
        <f>HYPERLINK("http://141.218.60.56/~jnz1568/getInfo.php?workbook=14_04.xlsx&amp;sheet=A0&amp;row=1844&amp;col=7&amp;number=0&amp;sourceID=14","0")</f>
        <v>0</v>
      </c>
    </row>
    <row r="1845" spans="1:7">
      <c r="A1845" s="3">
        <v>14</v>
      </c>
      <c r="B1845" s="3">
        <v>4</v>
      </c>
      <c r="C1845" s="3">
        <v>34</v>
      </c>
      <c r="D1845" s="3">
        <v>32</v>
      </c>
      <c r="E1845" s="3">
        <v>-11667.585</v>
      </c>
      <c r="F1845" s="4" t="str">
        <f>HYPERLINK("http://141.218.60.56/~jnz1568/getInfo.php?workbook=14_04.xlsx&amp;sheet=A0&amp;row=1845&amp;col=6&amp;number=226.1&amp;sourceID=14","226.1")</f>
        <v>226.1</v>
      </c>
      <c r="G1845" s="4" t="str">
        <f>HYPERLINK("http://141.218.60.56/~jnz1568/getInfo.php?workbook=14_04.xlsx&amp;sheet=A0&amp;row=1845&amp;col=7&amp;number=0&amp;sourceID=14","0")</f>
        <v>0</v>
      </c>
    </row>
    <row r="1846" spans="1:7">
      <c r="A1846" s="3">
        <v>14</v>
      </c>
      <c r="B1846" s="3">
        <v>4</v>
      </c>
      <c r="C1846" s="3">
        <v>35</v>
      </c>
      <c r="D1846" s="3">
        <v>32</v>
      </c>
      <c r="E1846" s="3">
        <v>7910.781</v>
      </c>
      <c r="F1846" s="4" t="str">
        <f>HYPERLINK("http://141.218.60.56/~jnz1568/getInfo.php?workbook=14_04.xlsx&amp;sheet=A0&amp;row=1846&amp;col=6&amp;number=3225&amp;sourceID=14","3225")</f>
        <v>3225</v>
      </c>
      <c r="G1846" s="4" t="str">
        <f>HYPERLINK("http://141.218.60.56/~jnz1568/getInfo.php?workbook=14_04.xlsx&amp;sheet=A0&amp;row=1846&amp;col=7&amp;number=0&amp;sourceID=14","0")</f>
        <v>0</v>
      </c>
    </row>
    <row r="1847" spans="1:7">
      <c r="A1847" s="3">
        <v>14</v>
      </c>
      <c r="B1847" s="3">
        <v>4</v>
      </c>
      <c r="C1847" s="3">
        <v>37</v>
      </c>
      <c r="D1847" s="3">
        <v>32</v>
      </c>
      <c r="E1847" s="3">
        <v>4994.765</v>
      </c>
      <c r="F1847" s="4" t="str">
        <f>HYPERLINK("http://141.218.60.56/~jnz1568/getInfo.php?workbook=14_04.xlsx&amp;sheet=A0&amp;row=1847&amp;col=6&amp;number=3.379&amp;sourceID=14","3.379")</f>
        <v>3.379</v>
      </c>
      <c r="G1847" s="4" t="str">
        <f>HYPERLINK("http://141.218.60.56/~jnz1568/getInfo.php?workbook=14_04.xlsx&amp;sheet=A0&amp;row=1847&amp;col=7&amp;number=0&amp;sourceID=14","0")</f>
        <v>0</v>
      </c>
    </row>
    <row r="1848" spans="1:7">
      <c r="A1848" s="3">
        <v>14</v>
      </c>
      <c r="B1848" s="3">
        <v>4</v>
      </c>
      <c r="C1848" s="3">
        <v>38</v>
      </c>
      <c r="D1848" s="3">
        <v>32</v>
      </c>
      <c r="E1848" s="3">
        <v>-3096.047</v>
      </c>
      <c r="F1848" s="4" t="str">
        <f>HYPERLINK("http://141.218.60.56/~jnz1568/getInfo.php?workbook=14_04.xlsx&amp;sheet=A0&amp;row=1848&amp;col=6&amp;number=144500&amp;sourceID=14","144500")</f>
        <v>144500</v>
      </c>
      <c r="G1848" s="4" t="str">
        <f>HYPERLINK("http://141.218.60.56/~jnz1568/getInfo.php?workbook=14_04.xlsx&amp;sheet=A0&amp;row=1848&amp;col=7&amp;number=0&amp;sourceID=14","0")</f>
        <v>0</v>
      </c>
    </row>
    <row r="1849" spans="1:7">
      <c r="A1849" s="3">
        <v>14</v>
      </c>
      <c r="B1849" s="3">
        <v>4</v>
      </c>
      <c r="C1849" s="3">
        <v>39</v>
      </c>
      <c r="D1849" s="3">
        <v>32</v>
      </c>
      <c r="E1849" s="3">
        <v>3285.589</v>
      </c>
      <c r="F1849" s="4" t="str">
        <f>HYPERLINK("http://141.218.60.56/~jnz1568/getInfo.php?workbook=14_04.xlsx&amp;sheet=A0&amp;row=1849&amp;col=6&amp;number=1730000&amp;sourceID=14","1730000")</f>
        <v>1730000</v>
      </c>
      <c r="G1849" s="4" t="str">
        <f>HYPERLINK("http://141.218.60.56/~jnz1568/getInfo.php?workbook=14_04.xlsx&amp;sheet=A0&amp;row=1849&amp;col=7&amp;number=0&amp;sourceID=14","0")</f>
        <v>0</v>
      </c>
    </row>
    <row r="1850" spans="1:7">
      <c r="A1850" s="3">
        <v>14</v>
      </c>
      <c r="B1850" s="3">
        <v>4</v>
      </c>
      <c r="C1850" s="3">
        <v>40</v>
      </c>
      <c r="D1850" s="3">
        <v>32</v>
      </c>
      <c r="E1850" s="3">
        <v>2989.274</v>
      </c>
      <c r="F1850" s="4" t="str">
        <f>HYPERLINK("http://141.218.60.56/~jnz1568/getInfo.php?workbook=14_04.xlsx&amp;sheet=A0&amp;row=1850&amp;col=6&amp;number=18480000&amp;sourceID=14","18480000")</f>
        <v>18480000</v>
      </c>
      <c r="G1850" s="4" t="str">
        <f>HYPERLINK("http://141.218.60.56/~jnz1568/getInfo.php?workbook=14_04.xlsx&amp;sheet=A0&amp;row=1850&amp;col=7&amp;number=0&amp;sourceID=14","0")</f>
        <v>0</v>
      </c>
    </row>
    <row r="1851" spans="1:7">
      <c r="A1851" s="3">
        <v>14</v>
      </c>
      <c r="B1851" s="3">
        <v>4</v>
      </c>
      <c r="C1851" s="3">
        <v>41</v>
      </c>
      <c r="D1851" s="3">
        <v>32</v>
      </c>
      <c r="E1851" s="3">
        <v>2253.728</v>
      </c>
      <c r="F1851" s="4" t="str">
        <f>HYPERLINK("http://141.218.60.56/~jnz1568/getInfo.php?workbook=14_04.xlsx&amp;sheet=A0&amp;row=1851&amp;col=6&amp;number=19910000&amp;sourceID=14","19910000")</f>
        <v>19910000</v>
      </c>
      <c r="G1851" s="4" t="str">
        <f>HYPERLINK("http://141.218.60.56/~jnz1568/getInfo.php?workbook=14_04.xlsx&amp;sheet=A0&amp;row=1851&amp;col=7&amp;number=0&amp;sourceID=14","0")</f>
        <v>0</v>
      </c>
    </row>
    <row r="1852" spans="1:7">
      <c r="A1852" s="3">
        <v>14</v>
      </c>
      <c r="B1852" s="3">
        <v>4</v>
      </c>
      <c r="C1852" s="3">
        <v>42</v>
      </c>
      <c r="D1852" s="3">
        <v>32</v>
      </c>
      <c r="E1852" s="3">
        <v>2413.365</v>
      </c>
      <c r="F1852" s="4" t="str">
        <f>HYPERLINK("http://141.218.60.56/~jnz1568/getInfo.php?workbook=14_04.xlsx&amp;sheet=A0&amp;row=1852&amp;col=6&amp;number=8115000&amp;sourceID=14","8115000")</f>
        <v>8115000</v>
      </c>
      <c r="G1852" s="4" t="str">
        <f>HYPERLINK("http://141.218.60.56/~jnz1568/getInfo.php?workbook=14_04.xlsx&amp;sheet=A0&amp;row=1852&amp;col=7&amp;number=0&amp;sourceID=14","0")</f>
        <v>0</v>
      </c>
    </row>
    <row r="1853" spans="1:7">
      <c r="A1853" s="3">
        <v>14</v>
      </c>
      <c r="B1853" s="3">
        <v>4</v>
      </c>
      <c r="C1853" s="3">
        <v>44</v>
      </c>
      <c r="D1853" s="3">
        <v>32</v>
      </c>
      <c r="E1853" s="3">
        <v>-1605.092</v>
      </c>
      <c r="F1853" s="4" t="str">
        <f>HYPERLINK("http://141.218.60.56/~jnz1568/getInfo.php?workbook=14_04.xlsx&amp;sheet=A0&amp;row=1853&amp;col=6&amp;number=0.5111&amp;sourceID=14","0.5111")</f>
        <v>0.5111</v>
      </c>
      <c r="G1853" s="4" t="str">
        <f>HYPERLINK("http://141.218.60.56/~jnz1568/getInfo.php?workbook=14_04.xlsx&amp;sheet=A0&amp;row=1853&amp;col=7&amp;number=0&amp;sourceID=14","0")</f>
        <v>0</v>
      </c>
    </row>
    <row r="1854" spans="1:7">
      <c r="A1854" s="3">
        <v>14</v>
      </c>
      <c r="B1854" s="3">
        <v>4</v>
      </c>
      <c r="C1854" s="3">
        <v>45</v>
      </c>
      <c r="D1854" s="3">
        <v>32</v>
      </c>
      <c r="E1854" s="3">
        <v>1417.819</v>
      </c>
      <c r="F1854" s="4" t="str">
        <f>HYPERLINK("http://141.218.60.56/~jnz1568/getInfo.php?workbook=14_04.xlsx&amp;sheet=A0&amp;row=1854&amp;col=6&amp;number=872900&amp;sourceID=14","872900")</f>
        <v>872900</v>
      </c>
      <c r="G1854" s="4" t="str">
        <f>HYPERLINK("http://141.218.60.56/~jnz1568/getInfo.php?workbook=14_04.xlsx&amp;sheet=A0&amp;row=1854&amp;col=7&amp;number=0&amp;sourceID=14","0")</f>
        <v>0</v>
      </c>
    </row>
    <row r="1855" spans="1:7">
      <c r="A1855" s="3">
        <v>14</v>
      </c>
      <c r="B1855" s="3">
        <v>4</v>
      </c>
      <c r="C1855" s="3">
        <v>46</v>
      </c>
      <c r="D1855" s="3">
        <v>32</v>
      </c>
      <c r="E1855" s="3">
        <v>1399.975</v>
      </c>
      <c r="F1855" s="4" t="str">
        <f>HYPERLINK("http://141.218.60.56/~jnz1568/getInfo.php?workbook=14_04.xlsx&amp;sheet=A0&amp;row=1855&amp;col=6&amp;number=54160&amp;sourceID=14","54160")</f>
        <v>54160</v>
      </c>
      <c r="G1855" s="4" t="str">
        <f>HYPERLINK("http://141.218.60.56/~jnz1568/getInfo.php?workbook=14_04.xlsx&amp;sheet=A0&amp;row=1855&amp;col=7&amp;number=0&amp;sourceID=14","0")</f>
        <v>0</v>
      </c>
    </row>
    <row r="1856" spans="1:7">
      <c r="A1856" s="3">
        <v>14</v>
      </c>
      <c r="B1856" s="3">
        <v>4</v>
      </c>
      <c r="C1856" s="3">
        <v>47</v>
      </c>
      <c r="D1856" s="3">
        <v>32</v>
      </c>
      <c r="E1856" s="3">
        <v>235.603</v>
      </c>
      <c r="F1856" s="4" t="str">
        <f>HYPERLINK("http://141.218.60.56/~jnz1568/getInfo.php?workbook=14_04.xlsx&amp;sheet=A0&amp;row=1856&amp;col=6&amp;number=0.9916&amp;sourceID=14","0.9916")</f>
        <v>0.9916</v>
      </c>
      <c r="G1856" s="4" t="str">
        <f>HYPERLINK("http://141.218.60.56/~jnz1568/getInfo.php?workbook=14_04.xlsx&amp;sheet=A0&amp;row=1856&amp;col=7&amp;number=0&amp;sourceID=14","0")</f>
        <v>0</v>
      </c>
    </row>
    <row r="1857" spans="1:7">
      <c r="A1857" s="3">
        <v>14</v>
      </c>
      <c r="B1857" s="3">
        <v>4</v>
      </c>
      <c r="C1857" s="3">
        <v>48</v>
      </c>
      <c r="D1857" s="3">
        <v>32</v>
      </c>
      <c r="E1857" s="3">
        <v>234.856</v>
      </c>
      <c r="F1857" s="4" t="str">
        <f>HYPERLINK("http://141.218.60.56/~jnz1568/getInfo.php?workbook=14_04.xlsx&amp;sheet=A0&amp;row=1857&amp;col=6&amp;number=71.54&amp;sourceID=14","71.54")</f>
        <v>71.54</v>
      </c>
      <c r="G1857" s="4" t="str">
        <f>HYPERLINK("http://141.218.60.56/~jnz1568/getInfo.php?workbook=14_04.xlsx&amp;sheet=A0&amp;row=1857&amp;col=7&amp;number=0&amp;sourceID=14","0")</f>
        <v>0</v>
      </c>
    </row>
    <row r="1858" spans="1:7">
      <c r="A1858" s="3">
        <v>14</v>
      </c>
      <c r="B1858" s="3">
        <v>4</v>
      </c>
      <c r="C1858" s="3">
        <v>50</v>
      </c>
      <c r="D1858" s="3">
        <v>32</v>
      </c>
      <c r="E1858" s="3">
        <v>211.195</v>
      </c>
      <c r="F1858" s="4" t="str">
        <f>HYPERLINK("http://141.218.60.56/~jnz1568/getInfo.php?workbook=14_04.xlsx&amp;sheet=A0&amp;row=1858&amp;col=6&amp;number=15270000&amp;sourceID=14","15270000")</f>
        <v>15270000</v>
      </c>
      <c r="G1858" s="4" t="str">
        <f>HYPERLINK("http://141.218.60.56/~jnz1568/getInfo.php?workbook=14_04.xlsx&amp;sheet=A0&amp;row=1858&amp;col=7&amp;number=0&amp;sourceID=14","0")</f>
        <v>0</v>
      </c>
    </row>
    <row r="1859" spans="1:7">
      <c r="A1859" s="3">
        <v>14</v>
      </c>
      <c r="B1859" s="3">
        <v>4</v>
      </c>
      <c r="C1859" s="3">
        <v>51</v>
      </c>
      <c r="D1859" s="3">
        <v>32</v>
      </c>
      <c r="E1859" s="3">
        <v>210.877</v>
      </c>
      <c r="F1859" s="4" t="str">
        <f>HYPERLINK("http://141.218.60.56/~jnz1568/getInfo.php?workbook=14_04.xlsx&amp;sheet=A0&amp;row=1859&amp;col=6&amp;number=23230000&amp;sourceID=14","23230000")</f>
        <v>23230000</v>
      </c>
      <c r="G1859" s="4" t="str">
        <f>HYPERLINK("http://141.218.60.56/~jnz1568/getInfo.php?workbook=14_04.xlsx&amp;sheet=A0&amp;row=1859&amp;col=7&amp;number=0&amp;sourceID=14","0")</f>
        <v>0</v>
      </c>
    </row>
    <row r="1860" spans="1:7">
      <c r="A1860" s="3">
        <v>14</v>
      </c>
      <c r="B1860" s="3">
        <v>4</v>
      </c>
      <c r="C1860" s="3">
        <v>52</v>
      </c>
      <c r="D1860" s="3">
        <v>32</v>
      </c>
      <c r="E1860" s="3">
        <v>212.764</v>
      </c>
      <c r="F1860" s="4" t="str">
        <f>HYPERLINK("http://141.218.60.56/~jnz1568/getInfo.php?workbook=14_04.xlsx&amp;sheet=A0&amp;row=1860&amp;col=6&amp;number=2870000&amp;sourceID=14","2870000")</f>
        <v>2870000</v>
      </c>
      <c r="G1860" s="4" t="str">
        <f>HYPERLINK("http://141.218.60.56/~jnz1568/getInfo.php?workbook=14_04.xlsx&amp;sheet=A0&amp;row=1860&amp;col=7&amp;number=0&amp;sourceID=14","0")</f>
        <v>0</v>
      </c>
    </row>
    <row r="1861" spans="1:7">
      <c r="A1861" s="3">
        <v>14</v>
      </c>
      <c r="B1861" s="3">
        <v>4</v>
      </c>
      <c r="C1861" s="3">
        <v>53</v>
      </c>
      <c r="D1861" s="3">
        <v>32</v>
      </c>
      <c r="E1861" s="3">
        <v>205.762</v>
      </c>
      <c r="F1861" s="4" t="str">
        <f>HYPERLINK("http://141.218.60.56/~jnz1568/getInfo.php?workbook=14_04.xlsx&amp;sheet=A0&amp;row=1861&amp;col=6&amp;number=87.26&amp;sourceID=14","87.26")</f>
        <v>87.26</v>
      </c>
      <c r="G1861" s="4" t="str">
        <f>HYPERLINK("http://141.218.60.56/~jnz1568/getInfo.php?workbook=14_04.xlsx&amp;sheet=A0&amp;row=1861&amp;col=7&amp;number=0&amp;sourceID=14","0")</f>
        <v>0</v>
      </c>
    </row>
    <row r="1862" spans="1:7">
      <c r="A1862" s="3">
        <v>14</v>
      </c>
      <c r="B1862" s="3">
        <v>4</v>
      </c>
      <c r="C1862" s="3">
        <v>54</v>
      </c>
      <c r="D1862" s="3">
        <v>32</v>
      </c>
      <c r="E1862" s="3">
        <v>205.774</v>
      </c>
      <c r="F1862" s="4" t="str">
        <f>HYPERLINK("http://141.218.60.56/~jnz1568/getInfo.php?workbook=14_04.xlsx&amp;sheet=A0&amp;row=1862&amp;col=6&amp;number=147.6&amp;sourceID=14","147.6")</f>
        <v>147.6</v>
      </c>
      <c r="G1862" s="4" t="str">
        <f>HYPERLINK("http://141.218.60.56/~jnz1568/getInfo.php?workbook=14_04.xlsx&amp;sheet=A0&amp;row=1862&amp;col=7&amp;number=0&amp;sourceID=14","0")</f>
        <v>0</v>
      </c>
    </row>
    <row r="1863" spans="1:7">
      <c r="A1863" s="3">
        <v>14</v>
      </c>
      <c r="B1863" s="3">
        <v>4</v>
      </c>
      <c r="C1863" s="3">
        <v>55</v>
      </c>
      <c r="D1863" s="3">
        <v>32</v>
      </c>
      <c r="E1863" s="3">
        <v>205.425</v>
      </c>
      <c r="F1863" s="4" t="str">
        <f>HYPERLINK("http://141.218.60.56/~jnz1568/getInfo.php?workbook=14_04.xlsx&amp;sheet=A0&amp;row=1863&amp;col=6&amp;number=90.28&amp;sourceID=14","90.28")</f>
        <v>90.28</v>
      </c>
      <c r="G1863" s="4" t="str">
        <f>HYPERLINK("http://141.218.60.56/~jnz1568/getInfo.php?workbook=14_04.xlsx&amp;sheet=A0&amp;row=1863&amp;col=7&amp;number=0&amp;sourceID=14","0")</f>
        <v>0</v>
      </c>
    </row>
    <row r="1864" spans="1:7">
      <c r="A1864" s="3">
        <v>14</v>
      </c>
      <c r="B1864" s="3">
        <v>4</v>
      </c>
      <c r="C1864" s="3">
        <v>56</v>
      </c>
      <c r="D1864" s="3">
        <v>32</v>
      </c>
      <c r="E1864" s="3">
        <v>200.994</v>
      </c>
      <c r="F1864" s="4" t="str">
        <f>HYPERLINK("http://141.218.60.56/~jnz1568/getInfo.php?workbook=14_04.xlsx&amp;sheet=A0&amp;row=1864&amp;col=6&amp;number=47.1&amp;sourceID=14","47.1")</f>
        <v>47.1</v>
      </c>
      <c r="G1864" s="4" t="str">
        <f>HYPERLINK("http://141.218.60.56/~jnz1568/getInfo.php?workbook=14_04.xlsx&amp;sheet=A0&amp;row=1864&amp;col=7&amp;number=0&amp;sourceID=14","0")</f>
        <v>0</v>
      </c>
    </row>
    <row r="1865" spans="1:7">
      <c r="A1865" s="3">
        <v>14</v>
      </c>
      <c r="B1865" s="3">
        <v>4</v>
      </c>
      <c r="C1865" s="3">
        <v>58</v>
      </c>
      <c r="D1865" s="3">
        <v>32</v>
      </c>
      <c r="E1865" s="3">
        <v>-157.012</v>
      </c>
      <c r="F1865" s="4" t="str">
        <f>HYPERLINK("http://141.218.60.56/~jnz1568/getInfo.php?workbook=14_04.xlsx&amp;sheet=A0&amp;row=1865&amp;col=6&amp;number=7627000000&amp;sourceID=14","7627000000")</f>
        <v>7627000000</v>
      </c>
      <c r="G1865" s="4" t="str">
        <f>HYPERLINK("http://141.218.60.56/~jnz1568/getInfo.php?workbook=14_04.xlsx&amp;sheet=A0&amp;row=1865&amp;col=7&amp;number=0&amp;sourceID=14","0")</f>
        <v>0</v>
      </c>
    </row>
    <row r="1866" spans="1:7">
      <c r="A1866" s="3">
        <v>14</v>
      </c>
      <c r="B1866" s="3">
        <v>4</v>
      </c>
      <c r="C1866" s="3">
        <v>59</v>
      </c>
      <c r="D1866" s="3">
        <v>32</v>
      </c>
      <c r="E1866" s="3">
        <v>157.016</v>
      </c>
      <c r="F1866" s="4" t="str">
        <f>HYPERLINK("http://141.218.60.56/~jnz1568/getInfo.php?workbook=14_04.xlsx&amp;sheet=A0&amp;row=1866&amp;col=6&amp;number=16990000000&amp;sourceID=14","16990000000")</f>
        <v>16990000000</v>
      </c>
      <c r="G1866" s="4" t="str">
        <f>HYPERLINK("http://141.218.60.56/~jnz1568/getInfo.php?workbook=14_04.xlsx&amp;sheet=A0&amp;row=1866&amp;col=7&amp;number=0&amp;sourceID=14","0")</f>
        <v>0</v>
      </c>
    </row>
    <row r="1867" spans="1:7">
      <c r="A1867" s="3">
        <v>14</v>
      </c>
      <c r="B1867" s="3">
        <v>4</v>
      </c>
      <c r="C1867" s="3">
        <v>60</v>
      </c>
      <c r="D1867" s="3">
        <v>32</v>
      </c>
      <c r="E1867" s="3">
        <v>-153.904</v>
      </c>
      <c r="F1867" s="4" t="str">
        <f>HYPERLINK("http://141.218.60.56/~jnz1568/getInfo.php?workbook=14_04.xlsx&amp;sheet=A0&amp;row=1867&amp;col=6&amp;number=163300000&amp;sourceID=14","163300000")</f>
        <v>163300000</v>
      </c>
      <c r="G1867" s="4" t="str">
        <f>HYPERLINK("http://141.218.60.56/~jnz1568/getInfo.php?workbook=14_04.xlsx&amp;sheet=A0&amp;row=1867&amp;col=7&amp;number=0&amp;sourceID=14","0")</f>
        <v>0</v>
      </c>
    </row>
    <row r="1868" spans="1:7">
      <c r="A1868" s="3">
        <v>14</v>
      </c>
      <c r="B1868" s="3">
        <v>4</v>
      </c>
      <c r="C1868" s="3">
        <v>61</v>
      </c>
      <c r="D1868" s="3">
        <v>32</v>
      </c>
      <c r="E1868" s="3">
        <v>-151.128</v>
      </c>
      <c r="F1868" s="4" t="str">
        <f>HYPERLINK("http://141.218.60.56/~jnz1568/getInfo.php?workbook=14_04.xlsx&amp;sheet=A0&amp;row=1868&amp;col=6&amp;number=4261&amp;sourceID=14","4261")</f>
        <v>4261</v>
      </c>
      <c r="G1868" s="4" t="str">
        <f>HYPERLINK("http://141.218.60.56/~jnz1568/getInfo.php?workbook=14_04.xlsx&amp;sheet=A0&amp;row=1868&amp;col=7&amp;number=0&amp;sourceID=14","0")</f>
        <v>0</v>
      </c>
    </row>
    <row r="1869" spans="1:7">
      <c r="A1869" s="3">
        <v>14</v>
      </c>
      <c r="B1869" s="3">
        <v>4</v>
      </c>
      <c r="C1869" s="3">
        <v>62</v>
      </c>
      <c r="D1869" s="3">
        <v>32</v>
      </c>
      <c r="E1869" s="3">
        <v>-152.134</v>
      </c>
      <c r="F1869" s="4" t="str">
        <f>HYPERLINK("http://141.218.60.56/~jnz1568/getInfo.php?workbook=14_04.xlsx&amp;sheet=A0&amp;row=1869&amp;col=6&amp;number=392600&amp;sourceID=14","392600")</f>
        <v>392600</v>
      </c>
      <c r="G1869" s="4" t="str">
        <f>HYPERLINK("http://141.218.60.56/~jnz1568/getInfo.php?workbook=14_04.xlsx&amp;sheet=A0&amp;row=1869&amp;col=7&amp;number=0&amp;sourceID=14","0")</f>
        <v>0</v>
      </c>
    </row>
    <row r="1870" spans="1:7">
      <c r="A1870" s="3">
        <v>14</v>
      </c>
      <c r="B1870" s="3">
        <v>4</v>
      </c>
      <c r="C1870" s="3">
        <v>63</v>
      </c>
      <c r="D1870" s="3">
        <v>32</v>
      </c>
      <c r="E1870" s="3">
        <v>-151.069</v>
      </c>
      <c r="F1870" s="4" t="str">
        <f>HYPERLINK("http://141.218.60.56/~jnz1568/getInfo.php?workbook=14_04.xlsx&amp;sheet=A0&amp;row=1870&amp;col=6&amp;number=841400&amp;sourceID=14","841400")</f>
        <v>841400</v>
      </c>
      <c r="G1870" s="4" t="str">
        <f>HYPERLINK("http://141.218.60.56/~jnz1568/getInfo.php?workbook=14_04.xlsx&amp;sheet=A0&amp;row=1870&amp;col=7&amp;number=0&amp;sourceID=14","0")</f>
        <v>0</v>
      </c>
    </row>
    <row r="1871" spans="1:7">
      <c r="A1871" s="3">
        <v>14</v>
      </c>
      <c r="B1871" s="3">
        <v>4</v>
      </c>
      <c r="C1871" s="3">
        <v>64</v>
      </c>
      <c r="D1871" s="3">
        <v>32</v>
      </c>
      <c r="E1871" s="3">
        <v>-149.841</v>
      </c>
      <c r="F1871" s="4" t="str">
        <f>HYPERLINK("http://141.218.60.56/~jnz1568/getInfo.php?workbook=14_04.xlsx&amp;sheet=A0&amp;row=1871&amp;col=6&amp;number=1520000&amp;sourceID=14","1520000")</f>
        <v>1520000</v>
      </c>
      <c r="G1871" s="4" t="str">
        <f>HYPERLINK("http://141.218.60.56/~jnz1568/getInfo.php?workbook=14_04.xlsx&amp;sheet=A0&amp;row=1871&amp;col=7&amp;number=0&amp;sourceID=14","0")</f>
        <v>0</v>
      </c>
    </row>
    <row r="1872" spans="1:7">
      <c r="A1872" s="3">
        <v>14</v>
      </c>
      <c r="B1872" s="3">
        <v>4</v>
      </c>
      <c r="C1872" s="3">
        <v>65</v>
      </c>
      <c r="D1872" s="3">
        <v>32</v>
      </c>
      <c r="E1872" s="3">
        <v>-149.444</v>
      </c>
      <c r="F1872" s="4" t="str">
        <f>HYPERLINK("http://141.218.60.56/~jnz1568/getInfo.php?workbook=14_04.xlsx&amp;sheet=A0&amp;row=1872&amp;col=6&amp;number=233100&amp;sourceID=14","233100")</f>
        <v>233100</v>
      </c>
      <c r="G1872" s="4" t="str">
        <f>HYPERLINK("http://141.218.60.56/~jnz1568/getInfo.php?workbook=14_04.xlsx&amp;sheet=A0&amp;row=1872&amp;col=7&amp;number=0&amp;sourceID=14","0")</f>
        <v>0</v>
      </c>
    </row>
    <row r="1873" spans="1:7">
      <c r="A1873" s="3">
        <v>14</v>
      </c>
      <c r="B1873" s="3">
        <v>4</v>
      </c>
      <c r="C1873" s="3">
        <v>66</v>
      </c>
      <c r="D1873" s="3">
        <v>32</v>
      </c>
      <c r="E1873" s="3">
        <v>-149.477</v>
      </c>
      <c r="F1873" s="4" t="str">
        <f>HYPERLINK("http://141.218.60.56/~jnz1568/getInfo.php?workbook=14_04.xlsx&amp;sheet=A0&amp;row=1873&amp;col=6&amp;number=1021000&amp;sourceID=14","1021000")</f>
        <v>1021000</v>
      </c>
      <c r="G1873" s="4" t="str">
        <f>HYPERLINK("http://141.218.60.56/~jnz1568/getInfo.php?workbook=14_04.xlsx&amp;sheet=A0&amp;row=1873&amp;col=7&amp;number=0&amp;sourceID=14","0")</f>
        <v>0</v>
      </c>
    </row>
    <row r="1874" spans="1:7">
      <c r="A1874" s="3">
        <v>14</v>
      </c>
      <c r="B1874" s="3">
        <v>4</v>
      </c>
      <c r="C1874" s="3">
        <v>67</v>
      </c>
      <c r="D1874" s="3">
        <v>32</v>
      </c>
      <c r="E1874" s="3">
        <v>-148.473</v>
      </c>
      <c r="F1874" s="4" t="str">
        <f>HYPERLINK("http://141.218.60.56/~jnz1568/getInfo.php?workbook=14_04.xlsx&amp;sheet=A0&amp;row=1874&amp;col=6&amp;number=720700&amp;sourceID=14","720700")</f>
        <v>720700</v>
      </c>
      <c r="G1874" s="4" t="str">
        <f>HYPERLINK("http://141.218.60.56/~jnz1568/getInfo.php?workbook=14_04.xlsx&amp;sheet=A0&amp;row=1874&amp;col=7&amp;number=0&amp;sourceID=14","0")</f>
        <v>0</v>
      </c>
    </row>
    <row r="1875" spans="1:7">
      <c r="A1875" s="3">
        <v>14</v>
      </c>
      <c r="B1875" s="3">
        <v>4</v>
      </c>
      <c r="C1875" s="3">
        <v>68</v>
      </c>
      <c r="D1875" s="3">
        <v>32</v>
      </c>
      <c r="E1875" s="3">
        <v>-148.299</v>
      </c>
      <c r="F1875" s="4" t="str">
        <f>HYPERLINK("http://141.218.60.56/~jnz1568/getInfo.php?workbook=14_04.xlsx&amp;sheet=A0&amp;row=1875&amp;col=6&amp;number=834000&amp;sourceID=14","834000")</f>
        <v>834000</v>
      </c>
      <c r="G1875" s="4" t="str">
        <f>HYPERLINK("http://141.218.60.56/~jnz1568/getInfo.php?workbook=14_04.xlsx&amp;sheet=A0&amp;row=1875&amp;col=7&amp;number=0&amp;sourceID=14","0")</f>
        <v>0</v>
      </c>
    </row>
    <row r="1876" spans="1:7">
      <c r="A1876" s="3">
        <v>14</v>
      </c>
      <c r="B1876" s="3">
        <v>4</v>
      </c>
      <c r="C1876" s="3">
        <v>69</v>
      </c>
      <c r="D1876" s="3">
        <v>32</v>
      </c>
      <c r="E1876" s="3">
        <v>-148.121</v>
      </c>
      <c r="F1876" s="4" t="str">
        <f>HYPERLINK("http://141.218.60.56/~jnz1568/getInfo.php?workbook=14_04.xlsx&amp;sheet=A0&amp;row=1876&amp;col=6&amp;number=650200000&amp;sourceID=14","650200000")</f>
        <v>650200000</v>
      </c>
      <c r="G1876" s="4" t="str">
        <f>HYPERLINK("http://141.218.60.56/~jnz1568/getInfo.php?workbook=14_04.xlsx&amp;sheet=A0&amp;row=1876&amp;col=7&amp;number=0&amp;sourceID=14","0")</f>
        <v>0</v>
      </c>
    </row>
    <row r="1877" spans="1:7">
      <c r="A1877" s="3">
        <v>14</v>
      </c>
      <c r="B1877" s="3">
        <v>4</v>
      </c>
      <c r="C1877" s="3">
        <v>70</v>
      </c>
      <c r="D1877" s="3">
        <v>32</v>
      </c>
      <c r="E1877" s="3">
        <v>-147.371</v>
      </c>
      <c r="F1877" s="4" t="str">
        <f>HYPERLINK("http://141.218.60.56/~jnz1568/getInfo.php?workbook=14_04.xlsx&amp;sheet=A0&amp;row=1877&amp;col=6&amp;number=3193000000&amp;sourceID=14","3193000000")</f>
        <v>3193000000</v>
      </c>
      <c r="G1877" s="4" t="str">
        <f>HYPERLINK("http://141.218.60.56/~jnz1568/getInfo.php?workbook=14_04.xlsx&amp;sheet=A0&amp;row=1877&amp;col=7&amp;number=0&amp;sourceID=14","0")</f>
        <v>0</v>
      </c>
    </row>
    <row r="1878" spans="1:7">
      <c r="A1878" s="3">
        <v>14</v>
      </c>
      <c r="B1878" s="3">
        <v>4</v>
      </c>
      <c r="C1878" s="3">
        <v>71</v>
      </c>
      <c r="D1878" s="3">
        <v>32</v>
      </c>
      <c r="E1878" s="3">
        <v>-147.065</v>
      </c>
      <c r="F1878" s="4" t="str">
        <f>HYPERLINK("http://141.218.60.56/~jnz1568/getInfo.php?workbook=14_04.xlsx&amp;sheet=A0&amp;row=1878&amp;col=6&amp;number=323600000&amp;sourceID=14","323600000")</f>
        <v>323600000</v>
      </c>
      <c r="G1878" s="4" t="str">
        <f>HYPERLINK("http://141.218.60.56/~jnz1568/getInfo.php?workbook=14_04.xlsx&amp;sheet=A0&amp;row=1878&amp;col=7&amp;number=0&amp;sourceID=14","0")</f>
        <v>0</v>
      </c>
    </row>
    <row r="1879" spans="1:7">
      <c r="A1879" s="3">
        <v>14</v>
      </c>
      <c r="B1879" s="3">
        <v>4</v>
      </c>
      <c r="C1879" s="3">
        <v>72</v>
      </c>
      <c r="D1879" s="3">
        <v>32</v>
      </c>
      <c r="E1879" s="3">
        <v>-146.596</v>
      </c>
      <c r="F1879" s="4" t="str">
        <f>HYPERLINK("http://141.218.60.56/~jnz1568/getInfo.php?workbook=14_04.xlsx&amp;sheet=A0&amp;row=1879&amp;col=6&amp;number=31410&amp;sourceID=14","31410")</f>
        <v>31410</v>
      </c>
      <c r="G1879" s="4" t="str">
        <f>HYPERLINK("http://141.218.60.56/~jnz1568/getInfo.php?workbook=14_04.xlsx&amp;sheet=A0&amp;row=1879&amp;col=7&amp;number=0&amp;sourceID=14","0")</f>
        <v>0</v>
      </c>
    </row>
    <row r="1880" spans="1:7">
      <c r="A1880" s="3">
        <v>14</v>
      </c>
      <c r="B1880" s="3">
        <v>4</v>
      </c>
      <c r="C1880" s="3">
        <v>74</v>
      </c>
      <c r="D1880" s="3">
        <v>32</v>
      </c>
      <c r="E1880" s="3">
        <v>-145.991</v>
      </c>
      <c r="F1880" s="4" t="str">
        <f>HYPERLINK("http://141.218.60.56/~jnz1568/getInfo.php?workbook=14_04.xlsx&amp;sheet=A0&amp;row=1880&amp;col=6&amp;number=73860&amp;sourceID=14","73860")</f>
        <v>73860</v>
      </c>
      <c r="G1880" s="4" t="str">
        <f>HYPERLINK("http://141.218.60.56/~jnz1568/getInfo.php?workbook=14_04.xlsx&amp;sheet=A0&amp;row=1880&amp;col=7&amp;number=0&amp;sourceID=14","0")</f>
        <v>0</v>
      </c>
    </row>
    <row r="1881" spans="1:7">
      <c r="A1881" s="3">
        <v>14</v>
      </c>
      <c r="B1881" s="3">
        <v>4</v>
      </c>
      <c r="C1881" s="3">
        <v>75</v>
      </c>
      <c r="D1881" s="3">
        <v>32</v>
      </c>
      <c r="E1881" s="3">
        <v>-145.583</v>
      </c>
      <c r="F1881" s="4" t="str">
        <f>HYPERLINK("http://141.218.60.56/~jnz1568/getInfo.php?workbook=14_04.xlsx&amp;sheet=A0&amp;row=1881&amp;col=6&amp;number=1387000000&amp;sourceID=14","1387000000")</f>
        <v>1387000000</v>
      </c>
      <c r="G1881" s="4" t="str">
        <f>HYPERLINK("http://141.218.60.56/~jnz1568/getInfo.php?workbook=14_04.xlsx&amp;sheet=A0&amp;row=1881&amp;col=7&amp;number=0&amp;sourceID=14","0")</f>
        <v>0</v>
      </c>
    </row>
    <row r="1882" spans="1:7">
      <c r="A1882" s="3">
        <v>14</v>
      </c>
      <c r="B1882" s="3">
        <v>4</v>
      </c>
      <c r="C1882" s="3">
        <v>76</v>
      </c>
      <c r="D1882" s="3">
        <v>32</v>
      </c>
      <c r="E1882" s="3">
        <v>144.499</v>
      </c>
      <c r="F1882" s="4" t="str">
        <f>HYPERLINK("http://141.218.60.56/~jnz1568/getInfo.php?workbook=14_04.xlsx&amp;sheet=A0&amp;row=1882&amp;col=6&amp;number=73150000000&amp;sourceID=14","73150000000")</f>
        <v>73150000000</v>
      </c>
      <c r="G1882" s="4" t="str">
        <f>HYPERLINK("http://141.218.60.56/~jnz1568/getInfo.php?workbook=14_04.xlsx&amp;sheet=A0&amp;row=1882&amp;col=7&amp;number=0&amp;sourceID=14","0")</f>
        <v>0</v>
      </c>
    </row>
    <row r="1883" spans="1:7">
      <c r="A1883" s="3">
        <v>14</v>
      </c>
      <c r="B1883" s="3">
        <v>4</v>
      </c>
      <c r="C1883" s="3">
        <v>77</v>
      </c>
      <c r="D1883" s="3">
        <v>32</v>
      </c>
      <c r="E1883" s="3">
        <v>144.309</v>
      </c>
      <c r="F1883" s="4" t="str">
        <f>HYPERLINK("http://141.218.60.56/~jnz1568/getInfo.php?workbook=14_04.xlsx&amp;sheet=A0&amp;row=1883&amp;col=6&amp;number=47760000000&amp;sourceID=14","47760000000")</f>
        <v>47760000000</v>
      </c>
      <c r="G1883" s="4" t="str">
        <f>HYPERLINK("http://141.218.60.56/~jnz1568/getInfo.php?workbook=14_04.xlsx&amp;sheet=A0&amp;row=1883&amp;col=7&amp;number=0&amp;sourceID=14","0")</f>
        <v>0</v>
      </c>
    </row>
    <row r="1884" spans="1:7">
      <c r="A1884" s="3">
        <v>14</v>
      </c>
      <c r="B1884" s="3">
        <v>4</v>
      </c>
      <c r="C1884" s="3">
        <v>78</v>
      </c>
      <c r="D1884" s="3">
        <v>32</v>
      </c>
      <c r="E1884" s="3">
        <v>-144.341</v>
      </c>
      <c r="F1884" s="4" t="str">
        <f>HYPERLINK("http://141.218.60.56/~jnz1568/getInfo.php?workbook=14_04.xlsx&amp;sheet=A0&amp;row=1884&amp;col=6&amp;number=19570000000&amp;sourceID=14","19570000000")</f>
        <v>19570000000</v>
      </c>
      <c r="G1884" s="4" t="str">
        <f>HYPERLINK("http://141.218.60.56/~jnz1568/getInfo.php?workbook=14_04.xlsx&amp;sheet=A0&amp;row=1884&amp;col=7&amp;number=0&amp;sourceID=14","0")</f>
        <v>0</v>
      </c>
    </row>
    <row r="1885" spans="1:7">
      <c r="A1885" s="3">
        <v>14</v>
      </c>
      <c r="B1885" s="3">
        <v>4</v>
      </c>
      <c r="C1885" s="3">
        <v>80</v>
      </c>
      <c r="D1885" s="3">
        <v>32</v>
      </c>
      <c r="E1885" s="3">
        <v>146.497</v>
      </c>
      <c r="F1885" s="4" t="str">
        <f>HYPERLINK("http://141.218.60.56/~jnz1568/getInfo.php?workbook=14_04.xlsx&amp;sheet=A0&amp;row=1885&amp;col=6&amp;number=2376&amp;sourceID=14","2376")</f>
        <v>2376</v>
      </c>
      <c r="G1885" s="4" t="str">
        <f>HYPERLINK("http://141.218.60.56/~jnz1568/getInfo.php?workbook=14_04.xlsx&amp;sheet=A0&amp;row=1885&amp;col=7&amp;number=0&amp;sourceID=14","0")</f>
        <v>0</v>
      </c>
    </row>
    <row r="1886" spans="1:7">
      <c r="A1886" s="3">
        <v>14</v>
      </c>
      <c r="B1886" s="3">
        <v>4</v>
      </c>
      <c r="C1886" s="3">
        <v>81</v>
      </c>
      <c r="D1886" s="3">
        <v>32</v>
      </c>
      <c r="E1886" s="3">
        <v>142.231</v>
      </c>
      <c r="F1886" s="4" t="str">
        <f>HYPERLINK("http://141.218.60.56/~jnz1568/getInfo.php?workbook=14_04.xlsx&amp;sheet=A0&amp;row=1886&amp;col=6&amp;number=24520000&amp;sourceID=14","24520000")</f>
        <v>24520000</v>
      </c>
      <c r="G1886" s="4" t="str">
        <f>HYPERLINK("http://141.218.60.56/~jnz1568/getInfo.php?workbook=14_04.xlsx&amp;sheet=A0&amp;row=1886&amp;col=7&amp;number=0&amp;sourceID=14","0")</f>
        <v>0</v>
      </c>
    </row>
    <row r="1887" spans="1:7">
      <c r="A1887" s="3">
        <v>14</v>
      </c>
      <c r="B1887" s="3">
        <v>4</v>
      </c>
      <c r="C1887" s="3">
        <v>82</v>
      </c>
      <c r="D1887" s="3">
        <v>32</v>
      </c>
      <c r="E1887" s="3">
        <v>-141.826</v>
      </c>
      <c r="F1887" s="4" t="str">
        <f>HYPERLINK("http://141.218.60.56/~jnz1568/getInfo.php?workbook=14_04.xlsx&amp;sheet=A0&amp;row=1887&amp;col=6&amp;number=12570000&amp;sourceID=14","12570000")</f>
        <v>12570000</v>
      </c>
      <c r="G1887" s="4" t="str">
        <f>HYPERLINK("http://141.218.60.56/~jnz1568/getInfo.php?workbook=14_04.xlsx&amp;sheet=A0&amp;row=1887&amp;col=7&amp;number=0&amp;sourceID=14","0")</f>
        <v>0</v>
      </c>
    </row>
    <row r="1888" spans="1:7">
      <c r="A1888" s="3">
        <v>14</v>
      </c>
      <c r="B1888" s="3">
        <v>4</v>
      </c>
      <c r="C1888" s="3">
        <v>83</v>
      </c>
      <c r="D1888" s="3">
        <v>32</v>
      </c>
      <c r="E1888" s="3">
        <v>-130.547</v>
      </c>
      <c r="F1888" s="4" t="str">
        <f>HYPERLINK("http://141.218.60.56/~jnz1568/getInfo.php?workbook=14_04.xlsx&amp;sheet=A0&amp;row=1888&amp;col=6&amp;number=25.54&amp;sourceID=14","25.54")</f>
        <v>25.54</v>
      </c>
      <c r="G1888" s="4" t="str">
        <f>HYPERLINK("http://141.218.60.56/~jnz1568/getInfo.php?workbook=14_04.xlsx&amp;sheet=A0&amp;row=1888&amp;col=7&amp;number=0&amp;sourceID=14","0")</f>
        <v>0</v>
      </c>
    </row>
    <row r="1889" spans="1:7">
      <c r="A1889" s="3">
        <v>14</v>
      </c>
      <c r="B1889" s="3">
        <v>4</v>
      </c>
      <c r="C1889" s="3">
        <v>84</v>
      </c>
      <c r="D1889" s="3">
        <v>32</v>
      </c>
      <c r="E1889" s="3">
        <v>-129.333</v>
      </c>
      <c r="F1889" s="4" t="str">
        <f>HYPERLINK("http://141.218.60.56/~jnz1568/getInfo.php?workbook=14_04.xlsx&amp;sheet=A0&amp;row=1889&amp;col=6&amp;number=101.6&amp;sourceID=14","101.6")</f>
        <v>101.6</v>
      </c>
      <c r="G1889" s="4" t="str">
        <f>HYPERLINK("http://141.218.60.56/~jnz1568/getInfo.php?workbook=14_04.xlsx&amp;sheet=A0&amp;row=1889&amp;col=7&amp;number=0&amp;sourceID=14","0")</f>
        <v>0</v>
      </c>
    </row>
    <row r="1890" spans="1:7">
      <c r="A1890" s="3">
        <v>14</v>
      </c>
      <c r="B1890" s="3">
        <v>4</v>
      </c>
      <c r="C1890" s="3">
        <v>86</v>
      </c>
      <c r="D1890" s="3">
        <v>32</v>
      </c>
      <c r="E1890" s="3">
        <v>-128.098</v>
      </c>
      <c r="F1890" s="4" t="str">
        <f>HYPERLINK("http://141.218.60.56/~jnz1568/getInfo.php?workbook=14_04.xlsx&amp;sheet=A0&amp;row=1890&amp;col=6&amp;number=42550000&amp;sourceID=14","42550000")</f>
        <v>42550000</v>
      </c>
      <c r="G1890" s="4" t="str">
        <f>HYPERLINK("http://141.218.60.56/~jnz1568/getInfo.php?workbook=14_04.xlsx&amp;sheet=A0&amp;row=1890&amp;col=7&amp;number=0&amp;sourceID=14","0")</f>
        <v>0</v>
      </c>
    </row>
    <row r="1891" spans="1:7">
      <c r="A1891" s="3">
        <v>14</v>
      </c>
      <c r="B1891" s="3">
        <v>4</v>
      </c>
      <c r="C1891" s="3">
        <v>87</v>
      </c>
      <c r="D1891" s="3">
        <v>32</v>
      </c>
      <c r="E1891" s="3">
        <v>126.995</v>
      </c>
      <c r="F1891" s="4" t="str">
        <f>HYPERLINK("http://141.218.60.56/~jnz1568/getInfo.php?workbook=14_04.xlsx&amp;sheet=A0&amp;row=1891&amp;col=6&amp;number=77690000&amp;sourceID=14","77690000")</f>
        <v>77690000</v>
      </c>
      <c r="G1891" s="4" t="str">
        <f>HYPERLINK("http://141.218.60.56/~jnz1568/getInfo.php?workbook=14_04.xlsx&amp;sheet=A0&amp;row=1891&amp;col=7&amp;number=0&amp;sourceID=14","0")</f>
        <v>0</v>
      </c>
    </row>
    <row r="1892" spans="1:7">
      <c r="A1892" s="3">
        <v>14</v>
      </c>
      <c r="B1892" s="3">
        <v>4</v>
      </c>
      <c r="C1892" s="3">
        <v>88</v>
      </c>
      <c r="D1892" s="3">
        <v>32</v>
      </c>
      <c r="E1892" s="3">
        <v>-127.632</v>
      </c>
      <c r="F1892" s="4" t="str">
        <f>HYPERLINK("http://141.218.60.56/~jnz1568/getInfo.php?workbook=14_04.xlsx&amp;sheet=A0&amp;row=1892&amp;col=6&amp;number=382200&amp;sourceID=14","382200")</f>
        <v>382200</v>
      </c>
      <c r="G1892" s="4" t="str">
        <f>HYPERLINK("http://141.218.60.56/~jnz1568/getInfo.php?workbook=14_04.xlsx&amp;sheet=A0&amp;row=1892&amp;col=7&amp;number=0&amp;sourceID=14","0")</f>
        <v>0</v>
      </c>
    </row>
    <row r="1893" spans="1:7">
      <c r="A1893" s="3">
        <v>14</v>
      </c>
      <c r="B1893" s="3">
        <v>4</v>
      </c>
      <c r="C1893" s="3">
        <v>89</v>
      </c>
      <c r="D1893" s="3">
        <v>32</v>
      </c>
      <c r="E1893" s="3">
        <v>-126.725</v>
      </c>
      <c r="F1893" s="4" t="str">
        <f>HYPERLINK("http://141.218.60.56/~jnz1568/getInfo.php?workbook=14_04.xlsx&amp;sheet=A0&amp;row=1893&amp;col=6&amp;number=257.6&amp;sourceID=14","257.6")</f>
        <v>257.6</v>
      </c>
      <c r="G1893" s="4" t="str">
        <f>HYPERLINK("http://141.218.60.56/~jnz1568/getInfo.php?workbook=14_04.xlsx&amp;sheet=A0&amp;row=1893&amp;col=7&amp;number=0&amp;sourceID=14","0")</f>
        <v>0</v>
      </c>
    </row>
    <row r="1894" spans="1:7">
      <c r="A1894" s="3">
        <v>14</v>
      </c>
      <c r="B1894" s="3">
        <v>4</v>
      </c>
      <c r="C1894" s="3">
        <v>90</v>
      </c>
      <c r="D1894" s="3">
        <v>32</v>
      </c>
      <c r="E1894" s="3">
        <v>126.26</v>
      </c>
      <c r="F1894" s="4" t="str">
        <f>HYPERLINK("http://141.218.60.56/~jnz1568/getInfo.php?workbook=14_04.xlsx&amp;sheet=A0&amp;row=1894&amp;col=6&amp;number=587.2&amp;sourceID=14","587.2")</f>
        <v>587.2</v>
      </c>
      <c r="G1894" s="4" t="str">
        <f>HYPERLINK("http://141.218.60.56/~jnz1568/getInfo.php?workbook=14_04.xlsx&amp;sheet=A0&amp;row=1894&amp;col=7&amp;number=0&amp;sourceID=14","0")</f>
        <v>0</v>
      </c>
    </row>
    <row r="1895" spans="1:7">
      <c r="A1895" s="3">
        <v>14</v>
      </c>
      <c r="B1895" s="3">
        <v>4</v>
      </c>
      <c r="C1895" s="3">
        <v>91</v>
      </c>
      <c r="D1895" s="3">
        <v>32</v>
      </c>
      <c r="E1895" s="3">
        <v>126.273</v>
      </c>
      <c r="F1895" s="4" t="str">
        <f>HYPERLINK("http://141.218.60.56/~jnz1568/getInfo.php?workbook=14_04.xlsx&amp;sheet=A0&amp;row=1895&amp;col=6&amp;number=635.5&amp;sourceID=14","635.5")</f>
        <v>635.5</v>
      </c>
      <c r="G1895" s="4" t="str">
        <f>HYPERLINK("http://141.218.60.56/~jnz1568/getInfo.php?workbook=14_04.xlsx&amp;sheet=A0&amp;row=1895&amp;col=7&amp;number=0&amp;sourceID=14","0")</f>
        <v>0</v>
      </c>
    </row>
    <row r="1896" spans="1:7">
      <c r="A1896" s="3">
        <v>14</v>
      </c>
      <c r="B1896" s="3">
        <v>4</v>
      </c>
      <c r="C1896" s="3">
        <v>92</v>
      </c>
      <c r="D1896" s="3">
        <v>32</v>
      </c>
      <c r="E1896" s="3">
        <v>125.65</v>
      </c>
      <c r="F1896" s="4" t="str">
        <f>HYPERLINK("http://141.218.60.56/~jnz1568/getInfo.php?workbook=14_04.xlsx&amp;sheet=A0&amp;row=1896&amp;col=6&amp;number=14.15&amp;sourceID=14","14.15")</f>
        <v>14.15</v>
      </c>
      <c r="G1896" s="4" t="str">
        <f>HYPERLINK("http://141.218.60.56/~jnz1568/getInfo.php?workbook=14_04.xlsx&amp;sheet=A0&amp;row=1896&amp;col=7&amp;number=0&amp;sourceID=14","0")</f>
        <v>0</v>
      </c>
    </row>
    <row r="1897" spans="1:7">
      <c r="A1897" s="3">
        <v>14</v>
      </c>
      <c r="B1897" s="3">
        <v>4</v>
      </c>
      <c r="C1897" s="3">
        <v>34</v>
      </c>
      <c r="D1897" s="3">
        <v>33</v>
      </c>
      <c r="E1897" s="3">
        <v>-24426.164</v>
      </c>
      <c r="F1897" s="4" t="str">
        <f>HYPERLINK("http://141.218.60.56/~jnz1568/getInfo.php?workbook=14_04.xlsx&amp;sheet=A0&amp;row=1897&amp;col=6&amp;number=1.405&amp;sourceID=14","1.405")</f>
        <v>1.405</v>
      </c>
      <c r="G1897" s="4" t="str">
        <f>HYPERLINK("http://141.218.60.56/~jnz1568/getInfo.php?workbook=14_04.xlsx&amp;sheet=A0&amp;row=1897&amp;col=7&amp;number=0&amp;sourceID=14","0")</f>
        <v>0</v>
      </c>
    </row>
    <row r="1898" spans="1:7">
      <c r="A1898" s="3">
        <v>14</v>
      </c>
      <c r="B1898" s="3">
        <v>4</v>
      </c>
      <c r="C1898" s="3">
        <v>35</v>
      </c>
      <c r="D1898" s="3">
        <v>33</v>
      </c>
      <c r="E1898" s="3">
        <v>-15020.691</v>
      </c>
      <c r="F1898" s="4" t="str">
        <f>HYPERLINK("http://141.218.60.56/~jnz1568/getInfo.php?workbook=14_04.xlsx&amp;sheet=A0&amp;row=1898&amp;col=6&amp;number=0.8311&amp;sourceID=14","0.8311")</f>
        <v>0.8311</v>
      </c>
      <c r="G1898" s="4" t="str">
        <f>HYPERLINK("http://141.218.60.56/~jnz1568/getInfo.php?workbook=14_04.xlsx&amp;sheet=A0&amp;row=1898&amp;col=7&amp;number=0&amp;sourceID=14","0")</f>
        <v>0</v>
      </c>
    </row>
    <row r="1899" spans="1:7">
      <c r="A1899" s="3">
        <v>14</v>
      </c>
      <c r="B1899" s="3">
        <v>4</v>
      </c>
      <c r="C1899" s="3">
        <v>36</v>
      </c>
      <c r="D1899" s="3">
        <v>33</v>
      </c>
      <c r="E1899" s="3">
        <v>-11856.008</v>
      </c>
      <c r="F1899" s="4" t="str">
        <f>HYPERLINK("http://141.218.60.56/~jnz1568/getInfo.php?workbook=14_04.xlsx&amp;sheet=A0&amp;row=1899&amp;col=6&amp;number=4.099e-06&amp;sourceID=14","4.099e-06")</f>
        <v>4.099e-06</v>
      </c>
      <c r="G1899" s="4" t="str">
        <f>HYPERLINK("http://141.218.60.56/~jnz1568/getInfo.php?workbook=14_04.xlsx&amp;sheet=A0&amp;row=1899&amp;col=7&amp;number=0&amp;sourceID=14","0")</f>
        <v>0</v>
      </c>
    </row>
    <row r="1900" spans="1:7">
      <c r="A1900" s="3">
        <v>14</v>
      </c>
      <c r="B1900" s="3">
        <v>4</v>
      </c>
      <c r="C1900" s="3">
        <v>37</v>
      </c>
      <c r="D1900" s="3">
        <v>33</v>
      </c>
      <c r="E1900" s="3">
        <v>-5494.17</v>
      </c>
      <c r="F1900" s="4" t="str">
        <f>HYPERLINK("http://141.218.60.56/~jnz1568/getInfo.php?workbook=14_04.xlsx&amp;sheet=A0&amp;row=1900&amp;col=6&amp;number=127600&amp;sourceID=14","127600")</f>
        <v>127600</v>
      </c>
      <c r="G1900" s="4" t="str">
        <f>HYPERLINK("http://141.218.60.56/~jnz1568/getInfo.php?workbook=14_04.xlsx&amp;sheet=A0&amp;row=1900&amp;col=7&amp;number=0&amp;sourceID=14","0")</f>
        <v>0</v>
      </c>
    </row>
    <row r="1901" spans="1:7">
      <c r="A1901" s="3">
        <v>14</v>
      </c>
      <c r="B1901" s="3">
        <v>4</v>
      </c>
      <c r="C1901" s="3">
        <v>38</v>
      </c>
      <c r="D1901" s="3">
        <v>33</v>
      </c>
      <c r="E1901" s="3">
        <v>-3594.217</v>
      </c>
      <c r="F1901" s="4" t="str">
        <f>HYPERLINK("http://141.218.60.56/~jnz1568/getInfo.php?workbook=14_04.xlsx&amp;sheet=A0&amp;row=1901&amp;col=6&amp;number=1.579&amp;sourceID=14","1.579")</f>
        <v>1.579</v>
      </c>
      <c r="G1901" s="4" t="str">
        <f>HYPERLINK("http://141.218.60.56/~jnz1568/getInfo.php?workbook=14_04.xlsx&amp;sheet=A0&amp;row=1901&amp;col=7&amp;number=0&amp;sourceID=14","0")</f>
        <v>0</v>
      </c>
    </row>
    <row r="1902" spans="1:7">
      <c r="A1902" s="3">
        <v>14</v>
      </c>
      <c r="B1902" s="3">
        <v>4</v>
      </c>
      <c r="C1902" s="3">
        <v>39</v>
      </c>
      <c r="D1902" s="3">
        <v>33</v>
      </c>
      <c r="E1902" s="3">
        <v>-3450.375</v>
      </c>
      <c r="F1902" s="4" t="str">
        <f>HYPERLINK("http://141.218.60.56/~jnz1568/getInfo.php?workbook=14_04.xlsx&amp;sheet=A0&amp;row=1902&amp;col=6&amp;number=2.842&amp;sourceID=14","2.842")</f>
        <v>2.842</v>
      </c>
      <c r="G1902" s="4" t="str">
        <f>HYPERLINK("http://141.218.60.56/~jnz1568/getInfo.php?workbook=14_04.xlsx&amp;sheet=A0&amp;row=1902&amp;col=7&amp;number=0&amp;sourceID=14","0")</f>
        <v>0</v>
      </c>
    </row>
    <row r="1903" spans="1:7">
      <c r="A1903" s="3">
        <v>14</v>
      </c>
      <c r="B1903" s="3">
        <v>4</v>
      </c>
      <c r="C1903" s="3">
        <v>40</v>
      </c>
      <c r="D1903" s="3">
        <v>33</v>
      </c>
      <c r="E1903" s="3">
        <v>-3180.395</v>
      </c>
      <c r="F1903" s="4" t="str">
        <f>HYPERLINK("http://141.218.60.56/~jnz1568/getInfo.php?workbook=14_04.xlsx&amp;sheet=A0&amp;row=1903&amp;col=6&amp;number=1.802&amp;sourceID=14","1.802")</f>
        <v>1.802</v>
      </c>
      <c r="G1903" s="4" t="str">
        <f>HYPERLINK("http://141.218.60.56/~jnz1568/getInfo.php?workbook=14_04.xlsx&amp;sheet=A0&amp;row=1903&amp;col=7&amp;number=0&amp;sourceID=14","0")</f>
        <v>0</v>
      </c>
    </row>
    <row r="1904" spans="1:7">
      <c r="A1904" s="3">
        <v>14</v>
      </c>
      <c r="B1904" s="3">
        <v>4</v>
      </c>
      <c r="C1904" s="3">
        <v>41</v>
      </c>
      <c r="D1904" s="3">
        <v>33</v>
      </c>
      <c r="E1904" s="3">
        <v>-2554.671</v>
      </c>
      <c r="F1904" s="4" t="str">
        <f>HYPERLINK("http://141.218.60.56/~jnz1568/getInfo.php?workbook=14_04.xlsx&amp;sheet=A0&amp;row=1904&amp;col=6&amp;number=3.439&amp;sourceID=14","3.439")</f>
        <v>3.439</v>
      </c>
      <c r="G1904" s="4" t="str">
        <f>HYPERLINK("http://141.218.60.56/~jnz1568/getInfo.php?workbook=14_04.xlsx&amp;sheet=A0&amp;row=1904&amp;col=7&amp;number=0&amp;sourceID=14","0")</f>
        <v>0</v>
      </c>
    </row>
    <row r="1905" spans="1:7">
      <c r="A1905" s="3">
        <v>14</v>
      </c>
      <c r="B1905" s="3">
        <v>4</v>
      </c>
      <c r="C1905" s="3">
        <v>42</v>
      </c>
      <c r="D1905" s="3">
        <v>33</v>
      </c>
      <c r="E1905" s="3">
        <v>-2462.812</v>
      </c>
      <c r="F1905" s="4" t="str">
        <f>HYPERLINK("http://141.218.60.56/~jnz1568/getInfo.php?workbook=14_04.xlsx&amp;sheet=A0&amp;row=1905&amp;col=6&amp;number=2.592&amp;sourceID=14","2.592")</f>
        <v>2.592</v>
      </c>
      <c r="G1905" s="4" t="str">
        <f>HYPERLINK("http://141.218.60.56/~jnz1568/getInfo.php?workbook=14_04.xlsx&amp;sheet=A0&amp;row=1905&amp;col=7&amp;number=0&amp;sourceID=14","0")</f>
        <v>0</v>
      </c>
    </row>
    <row r="1906" spans="1:7">
      <c r="A1906" s="3">
        <v>14</v>
      </c>
      <c r="B1906" s="3">
        <v>4</v>
      </c>
      <c r="C1906" s="3">
        <v>43</v>
      </c>
      <c r="D1906" s="3">
        <v>33</v>
      </c>
      <c r="E1906" s="3">
        <v>-2416.88</v>
      </c>
      <c r="F1906" s="4" t="str">
        <f>HYPERLINK("http://141.218.60.56/~jnz1568/getInfo.php?workbook=14_04.xlsx&amp;sheet=A0&amp;row=1906&amp;col=6&amp;number=0.8834&amp;sourceID=14","0.8834")</f>
        <v>0.8834</v>
      </c>
      <c r="G1906" s="4" t="str">
        <f>HYPERLINK("http://141.218.60.56/~jnz1568/getInfo.php?workbook=14_04.xlsx&amp;sheet=A0&amp;row=1906&amp;col=7&amp;number=0&amp;sourceID=14","0")</f>
        <v>0</v>
      </c>
    </row>
    <row r="1907" spans="1:7">
      <c r="A1907" s="3">
        <v>14</v>
      </c>
      <c r="B1907" s="3">
        <v>4</v>
      </c>
      <c r="C1907" s="3">
        <v>45</v>
      </c>
      <c r="D1907" s="3">
        <v>33</v>
      </c>
      <c r="E1907" s="3">
        <v>-1440.492</v>
      </c>
      <c r="F1907" s="4" t="str">
        <f>HYPERLINK("http://141.218.60.56/~jnz1568/getInfo.php?workbook=14_04.xlsx&amp;sheet=A0&amp;row=1907&amp;col=6&amp;number=14.64&amp;sourceID=14","14.64")</f>
        <v>14.64</v>
      </c>
      <c r="G1907" s="4" t="str">
        <f>HYPERLINK("http://141.218.60.56/~jnz1568/getInfo.php?workbook=14_04.xlsx&amp;sheet=A0&amp;row=1907&amp;col=7&amp;number=0&amp;sourceID=14","0")</f>
        <v>0</v>
      </c>
    </row>
    <row r="1908" spans="1:7">
      <c r="A1908" s="3">
        <v>14</v>
      </c>
      <c r="B1908" s="3">
        <v>4</v>
      </c>
      <c r="C1908" s="3">
        <v>46</v>
      </c>
      <c r="D1908" s="3">
        <v>33</v>
      </c>
      <c r="E1908" s="3">
        <v>-1335.46</v>
      </c>
      <c r="F1908" s="4" t="str">
        <f>HYPERLINK("http://141.218.60.56/~jnz1568/getInfo.php?workbook=14_04.xlsx&amp;sheet=A0&amp;row=1908&amp;col=6&amp;number=9.198&amp;sourceID=14","9.198")</f>
        <v>9.198</v>
      </c>
      <c r="G1908" s="4" t="str">
        <f>HYPERLINK("http://141.218.60.56/~jnz1568/getInfo.php?workbook=14_04.xlsx&amp;sheet=A0&amp;row=1908&amp;col=7&amp;number=0&amp;sourceID=14","0")</f>
        <v>0</v>
      </c>
    </row>
    <row r="1909" spans="1:7">
      <c r="A1909" s="3">
        <v>14</v>
      </c>
      <c r="B1909" s="3">
        <v>4</v>
      </c>
      <c r="C1909" s="3">
        <v>47</v>
      </c>
      <c r="D1909" s="3">
        <v>33</v>
      </c>
      <c r="E1909" s="3">
        <v>-231.846</v>
      </c>
      <c r="F1909" s="4" t="str">
        <f>HYPERLINK("http://141.218.60.56/~jnz1568/getInfo.php?workbook=14_04.xlsx&amp;sheet=A0&amp;row=1909&amp;col=6&amp;number=92550&amp;sourceID=14","92550")</f>
        <v>92550</v>
      </c>
      <c r="G1909" s="4" t="str">
        <f>HYPERLINK("http://141.218.60.56/~jnz1568/getInfo.php?workbook=14_04.xlsx&amp;sheet=A0&amp;row=1909&amp;col=7&amp;number=0&amp;sourceID=14","0")</f>
        <v>0</v>
      </c>
    </row>
    <row r="1910" spans="1:7">
      <c r="A1910" s="3">
        <v>14</v>
      </c>
      <c r="B1910" s="3">
        <v>4</v>
      </c>
      <c r="C1910" s="3">
        <v>49</v>
      </c>
      <c r="D1910" s="3">
        <v>33</v>
      </c>
      <c r="E1910" s="3">
        <v>-216.588</v>
      </c>
      <c r="F1910" s="4" t="str">
        <f>HYPERLINK("http://141.218.60.56/~jnz1568/getInfo.php?workbook=14_04.xlsx&amp;sheet=A0&amp;row=1910&amp;col=6&amp;number=7466&amp;sourceID=14","7466")</f>
        <v>7466</v>
      </c>
      <c r="G1910" s="4" t="str">
        <f>HYPERLINK("http://141.218.60.56/~jnz1568/getInfo.php?workbook=14_04.xlsx&amp;sheet=A0&amp;row=1910&amp;col=7&amp;number=0&amp;sourceID=14","0")</f>
        <v>0</v>
      </c>
    </row>
    <row r="1911" spans="1:7">
      <c r="A1911" s="3">
        <v>14</v>
      </c>
      <c r="B1911" s="3">
        <v>4</v>
      </c>
      <c r="C1911" s="3">
        <v>50</v>
      </c>
      <c r="D1911" s="3">
        <v>33</v>
      </c>
      <c r="E1911" s="3">
        <v>-216.476</v>
      </c>
      <c r="F1911" s="4" t="str">
        <f>HYPERLINK("http://141.218.60.56/~jnz1568/getInfo.php?workbook=14_04.xlsx&amp;sheet=A0&amp;row=1911&amp;col=6&amp;number=1914&amp;sourceID=14","1914")</f>
        <v>1914</v>
      </c>
      <c r="G1911" s="4" t="str">
        <f>HYPERLINK("http://141.218.60.56/~jnz1568/getInfo.php?workbook=14_04.xlsx&amp;sheet=A0&amp;row=1911&amp;col=7&amp;number=0&amp;sourceID=14","0")</f>
        <v>0</v>
      </c>
    </row>
    <row r="1912" spans="1:7">
      <c r="A1912" s="3">
        <v>14</v>
      </c>
      <c r="B1912" s="3">
        <v>4</v>
      </c>
      <c r="C1912" s="3">
        <v>51</v>
      </c>
      <c r="D1912" s="3">
        <v>33</v>
      </c>
      <c r="E1912" s="3">
        <v>-216.189</v>
      </c>
      <c r="F1912" s="4" t="str">
        <f>HYPERLINK("http://141.218.60.56/~jnz1568/getInfo.php?workbook=14_04.xlsx&amp;sheet=A0&amp;row=1912&amp;col=6&amp;number=288.6&amp;sourceID=14","288.6")</f>
        <v>288.6</v>
      </c>
      <c r="G1912" s="4" t="str">
        <f>HYPERLINK("http://141.218.60.56/~jnz1568/getInfo.php?workbook=14_04.xlsx&amp;sheet=A0&amp;row=1912&amp;col=7&amp;number=0&amp;sourceID=14","0")</f>
        <v>0</v>
      </c>
    </row>
    <row r="1913" spans="1:7">
      <c r="A1913" s="3">
        <v>14</v>
      </c>
      <c r="B1913" s="3">
        <v>4</v>
      </c>
      <c r="C1913" s="3">
        <v>52</v>
      </c>
      <c r="D1913" s="3">
        <v>33</v>
      </c>
      <c r="E1913" s="3">
        <v>-214.868</v>
      </c>
      <c r="F1913" s="4" t="str">
        <f>HYPERLINK("http://141.218.60.56/~jnz1568/getInfo.php?workbook=14_04.xlsx&amp;sheet=A0&amp;row=1913&amp;col=6&amp;number=522.8&amp;sourceID=14","522.8")</f>
        <v>522.8</v>
      </c>
      <c r="G1913" s="4" t="str">
        <f>HYPERLINK("http://141.218.60.56/~jnz1568/getInfo.php?workbook=14_04.xlsx&amp;sheet=A0&amp;row=1913&amp;col=7&amp;number=0&amp;sourceID=14","0")</f>
        <v>0</v>
      </c>
    </row>
    <row r="1914" spans="1:7">
      <c r="A1914" s="3">
        <v>14</v>
      </c>
      <c r="B1914" s="3">
        <v>4</v>
      </c>
      <c r="C1914" s="3">
        <v>53</v>
      </c>
      <c r="D1914" s="3">
        <v>33</v>
      </c>
      <c r="E1914" s="3">
        <v>-208.566</v>
      </c>
      <c r="F1914" s="4" t="str">
        <f>HYPERLINK("http://141.218.60.56/~jnz1568/getInfo.php?workbook=14_04.xlsx&amp;sheet=A0&amp;row=1914&amp;col=6&amp;number=218300000&amp;sourceID=14","218300000")</f>
        <v>218300000</v>
      </c>
      <c r="G1914" s="4" t="str">
        <f>HYPERLINK("http://141.218.60.56/~jnz1568/getInfo.php?workbook=14_04.xlsx&amp;sheet=A0&amp;row=1914&amp;col=7&amp;number=0&amp;sourceID=14","0")</f>
        <v>0</v>
      </c>
    </row>
    <row r="1915" spans="1:7">
      <c r="A1915" s="3">
        <v>14</v>
      </c>
      <c r="B1915" s="3">
        <v>4</v>
      </c>
      <c r="C1915" s="3">
        <v>54</v>
      </c>
      <c r="D1915" s="3">
        <v>33</v>
      </c>
      <c r="E1915" s="3">
        <v>-208.519</v>
      </c>
      <c r="F1915" s="4" t="str">
        <f>HYPERLINK("http://141.218.60.56/~jnz1568/getInfo.php?workbook=14_04.xlsx&amp;sheet=A0&amp;row=1915&amp;col=6&amp;number=19690000&amp;sourceID=14","19690000")</f>
        <v>19690000</v>
      </c>
      <c r="G1915" s="4" t="str">
        <f>HYPERLINK("http://141.218.60.56/~jnz1568/getInfo.php?workbook=14_04.xlsx&amp;sheet=A0&amp;row=1915&amp;col=7&amp;number=0&amp;sourceID=14","0")</f>
        <v>0</v>
      </c>
    </row>
    <row r="1916" spans="1:7">
      <c r="A1916" s="3">
        <v>14</v>
      </c>
      <c r="B1916" s="3">
        <v>4</v>
      </c>
      <c r="C1916" s="3">
        <v>55</v>
      </c>
      <c r="D1916" s="3">
        <v>33</v>
      </c>
      <c r="E1916" s="3">
        <v>-208.447</v>
      </c>
      <c r="F1916" s="4" t="str">
        <f>HYPERLINK("http://141.218.60.56/~jnz1568/getInfo.php?workbook=14_04.xlsx&amp;sheet=A0&amp;row=1916&amp;col=6&amp;number=2253000&amp;sourceID=14","2253000")</f>
        <v>2253000</v>
      </c>
      <c r="G1916" s="4" t="str">
        <f>HYPERLINK("http://141.218.60.56/~jnz1568/getInfo.php?workbook=14_04.xlsx&amp;sheet=A0&amp;row=1916&amp;col=7&amp;number=0&amp;sourceID=14","0")</f>
        <v>0</v>
      </c>
    </row>
    <row r="1917" spans="1:7">
      <c r="A1917" s="3">
        <v>14</v>
      </c>
      <c r="B1917" s="3">
        <v>4</v>
      </c>
      <c r="C1917" s="3">
        <v>56</v>
      </c>
      <c r="D1917" s="3">
        <v>33</v>
      </c>
      <c r="E1917" s="3">
        <v>-203.986</v>
      </c>
      <c r="F1917" s="4" t="str">
        <f>HYPERLINK("http://141.218.60.56/~jnz1568/getInfo.php?workbook=14_04.xlsx&amp;sheet=A0&amp;row=1917&amp;col=6&amp;number=636300&amp;sourceID=14","636300")</f>
        <v>636300</v>
      </c>
      <c r="G1917" s="4" t="str">
        <f>HYPERLINK("http://141.218.60.56/~jnz1568/getInfo.php?workbook=14_04.xlsx&amp;sheet=A0&amp;row=1917&amp;col=7&amp;number=0&amp;sourceID=14","0")</f>
        <v>0</v>
      </c>
    </row>
    <row r="1918" spans="1:7">
      <c r="A1918" s="3">
        <v>14</v>
      </c>
      <c r="B1918" s="3">
        <v>4</v>
      </c>
      <c r="C1918" s="3">
        <v>57</v>
      </c>
      <c r="D1918" s="3">
        <v>33</v>
      </c>
      <c r="E1918" s="3">
        <v>-158.487</v>
      </c>
      <c r="F1918" s="4" t="str">
        <f>HYPERLINK("http://141.218.60.56/~jnz1568/getInfo.php?workbook=14_04.xlsx&amp;sheet=A0&amp;row=1918&amp;col=6&amp;number=803100&amp;sourceID=14","803100")</f>
        <v>803100</v>
      </c>
      <c r="G1918" s="4" t="str">
        <f>HYPERLINK("http://141.218.60.56/~jnz1568/getInfo.php?workbook=14_04.xlsx&amp;sheet=A0&amp;row=1918&amp;col=7&amp;number=0&amp;sourceID=14","0")</f>
        <v>0</v>
      </c>
    </row>
    <row r="1919" spans="1:7">
      <c r="A1919" s="3">
        <v>14</v>
      </c>
      <c r="B1919" s="3">
        <v>4</v>
      </c>
      <c r="C1919" s="3">
        <v>58</v>
      </c>
      <c r="D1919" s="3">
        <v>33</v>
      </c>
      <c r="E1919" s="3">
        <v>-158.124</v>
      </c>
      <c r="F1919" s="4" t="str">
        <f>HYPERLINK("http://141.218.60.56/~jnz1568/getInfo.php?workbook=14_04.xlsx&amp;sheet=A0&amp;row=1919&amp;col=6&amp;number=339700&amp;sourceID=14","339700")</f>
        <v>339700</v>
      </c>
      <c r="G1919" s="4" t="str">
        <f>HYPERLINK("http://141.218.60.56/~jnz1568/getInfo.php?workbook=14_04.xlsx&amp;sheet=A0&amp;row=1919&amp;col=7&amp;number=0&amp;sourceID=14","0")</f>
        <v>0</v>
      </c>
    </row>
    <row r="1920" spans="1:7">
      <c r="A1920" s="3">
        <v>14</v>
      </c>
      <c r="B1920" s="3">
        <v>4</v>
      </c>
      <c r="C1920" s="3">
        <v>59</v>
      </c>
      <c r="D1920" s="3">
        <v>33</v>
      </c>
      <c r="E1920" s="3">
        <v>-156.482</v>
      </c>
      <c r="F1920" s="4" t="str">
        <f>HYPERLINK("http://141.218.60.56/~jnz1568/getInfo.php?workbook=14_04.xlsx&amp;sheet=A0&amp;row=1920&amp;col=6&amp;number=11740&amp;sourceID=14","11740")</f>
        <v>11740</v>
      </c>
      <c r="G1920" s="4" t="str">
        <f>HYPERLINK("http://141.218.60.56/~jnz1568/getInfo.php?workbook=14_04.xlsx&amp;sheet=A0&amp;row=1920&amp;col=7&amp;number=0&amp;sourceID=14","0")</f>
        <v>0</v>
      </c>
    </row>
    <row r="1921" spans="1:7">
      <c r="A1921" s="3">
        <v>14</v>
      </c>
      <c r="B1921" s="3">
        <v>4</v>
      </c>
      <c r="C1921" s="3">
        <v>60</v>
      </c>
      <c r="D1921" s="3">
        <v>33</v>
      </c>
      <c r="E1921" s="3">
        <v>-154.971</v>
      </c>
      <c r="F1921" s="4" t="str">
        <f>HYPERLINK("http://141.218.60.56/~jnz1568/getInfo.php?workbook=14_04.xlsx&amp;sheet=A0&amp;row=1921&amp;col=6&amp;number=33560&amp;sourceID=14","33560")</f>
        <v>33560</v>
      </c>
      <c r="G1921" s="4" t="str">
        <f>HYPERLINK("http://141.218.60.56/~jnz1568/getInfo.php?workbook=14_04.xlsx&amp;sheet=A0&amp;row=1921&amp;col=7&amp;number=0&amp;sourceID=14","0")</f>
        <v>0</v>
      </c>
    </row>
    <row r="1922" spans="1:7">
      <c r="A1922" s="3">
        <v>14</v>
      </c>
      <c r="B1922" s="3">
        <v>4</v>
      </c>
      <c r="C1922" s="3">
        <v>61</v>
      </c>
      <c r="D1922" s="3">
        <v>33</v>
      </c>
      <c r="E1922" s="3">
        <v>-152.157</v>
      </c>
      <c r="F1922" s="4" t="str">
        <f>HYPERLINK("http://141.218.60.56/~jnz1568/getInfo.php?workbook=14_04.xlsx&amp;sheet=A0&amp;row=1922&amp;col=6&amp;number=553900000&amp;sourceID=14","553900000")</f>
        <v>553900000</v>
      </c>
      <c r="G1922" s="4" t="str">
        <f>HYPERLINK("http://141.218.60.56/~jnz1568/getInfo.php?workbook=14_04.xlsx&amp;sheet=A0&amp;row=1922&amp;col=7&amp;number=0&amp;sourceID=14","0")</f>
        <v>0</v>
      </c>
    </row>
    <row r="1923" spans="1:7">
      <c r="A1923" s="3">
        <v>14</v>
      </c>
      <c r="B1923" s="3">
        <v>4</v>
      </c>
      <c r="C1923" s="3">
        <v>62</v>
      </c>
      <c r="D1923" s="3">
        <v>33</v>
      </c>
      <c r="E1923" s="3">
        <v>-153.177</v>
      </c>
      <c r="F1923" s="4" t="str">
        <f>HYPERLINK("http://141.218.60.56/~jnz1568/getInfo.php?workbook=14_04.xlsx&amp;sheet=A0&amp;row=1923&amp;col=6&amp;number=4884000000&amp;sourceID=14","4884000000")</f>
        <v>4884000000</v>
      </c>
      <c r="G1923" s="4" t="str">
        <f>HYPERLINK("http://141.218.60.56/~jnz1568/getInfo.php?workbook=14_04.xlsx&amp;sheet=A0&amp;row=1923&amp;col=7&amp;number=0&amp;sourceID=14","0")</f>
        <v>0</v>
      </c>
    </row>
    <row r="1924" spans="1:7">
      <c r="A1924" s="3">
        <v>14</v>
      </c>
      <c r="B1924" s="3">
        <v>4</v>
      </c>
      <c r="C1924" s="3">
        <v>63</v>
      </c>
      <c r="D1924" s="3">
        <v>33</v>
      </c>
      <c r="E1924" s="3">
        <v>-152.098</v>
      </c>
      <c r="F1924" s="4" t="str">
        <f>HYPERLINK("http://141.218.60.56/~jnz1568/getInfo.php?workbook=14_04.xlsx&amp;sheet=A0&amp;row=1924&amp;col=6&amp;number=481500000&amp;sourceID=14","481500000")</f>
        <v>481500000</v>
      </c>
      <c r="G1924" s="4" t="str">
        <f>HYPERLINK("http://141.218.60.56/~jnz1568/getInfo.php?workbook=14_04.xlsx&amp;sheet=A0&amp;row=1924&amp;col=7&amp;number=0&amp;sourceID=14","0")</f>
        <v>0</v>
      </c>
    </row>
    <row r="1925" spans="1:7">
      <c r="A1925" s="3">
        <v>14</v>
      </c>
      <c r="B1925" s="3">
        <v>4</v>
      </c>
      <c r="C1925" s="3">
        <v>64</v>
      </c>
      <c r="D1925" s="3">
        <v>33</v>
      </c>
      <c r="E1925" s="3">
        <v>-150.853</v>
      </c>
      <c r="F1925" s="4" t="str">
        <f>HYPERLINK("http://141.218.60.56/~jnz1568/getInfo.php?workbook=14_04.xlsx&amp;sheet=A0&amp;row=1925&amp;col=6&amp;number=249400&amp;sourceID=14","249400")</f>
        <v>249400</v>
      </c>
      <c r="G1925" s="4" t="str">
        <f>HYPERLINK("http://141.218.60.56/~jnz1568/getInfo.php?workbook=14_04.xlsx&amp;sheet=A0&amp;row=1925&amp;col=7&amp;number=0&amp;sourceID=14","0")</f>
        <v>0</v>
      </c>
    </row>
    <row r="1926" spans="1:7">
      <c r="A1926" s="3">
        <v>14</v>
      </c>
      <c r="B1926" s="3">
        <v>4</v>
      </c>
      <c r="C1926" s="3">
        <v>65</v>
      </c>
      <c r="D1926" s="3">
        <v>33</v>
      </c>
      <c r="E1926" s="3">
        <v>-150.45</v>
      </c>
      <c r="F1926" s="4" t="str">
        <f>HYPERLINK("http://141.218.60.56/~jnz1568/getInfo.php?workbook=14_04.xlsx&amp;sheet=A0&amp;row=1926&amp;col=6&amp;number=1155000&amp;sourceID=14","1155000")</f>
        <v>1155000</v>
      </c>
      <c r="G1926" s="4" t="str">
        <f>HYPERLINK("http://141.218.60.56/~jnz1568/getInfo.php?workbook=14_04.xlsx&amp;sheet=A0&amp;row=1926&amp;col=7&amp;number=0&amp;sourceID=14","0")</f>
        <v>0</v>
      </c>
    </row>
    <row r="1927" spans="1:7">
      <c r="A1927" s="3">
        <v>14</v>
      </c>
      <c r="B1927" s="3">
        <v>4</v>
      </c>
      <c r="C1927" s="3">
        <v>67</v>
      </c>
      <c r="D1927" s="3">
        <v>33</v>
      </c>
      <c r="E1927" s="3">
        <v>-149.467</v>
      </c>
      <c r="F1927" s="4" t="str">
        <f>HYPERLINK("http://141.218.60.56/~jnz1568/getInfo.php?workbook=14_04.xlsx&amp;sheet=A0&amp;row=1927&amp;col=6&amp;number=3807000&amp;sourceID=14","3807000")</f>
        <v>3807000</v>
      </c>
      <c r="G1927" s="4" t="str">
        <f>HYPERLINK("http://141.218.60.56/~jnz1568/getInfo.php?workbook=14_04.xlsx&amp;sheet=A0&amp;row=1927&amp;col=7&amp;number=0&amp;sourceID=14","0")</f>
        <v>0</v>
      </c>
    </row>
    <row r="1928" spans="1:7">
      <c r="A1928" s="3">
        <v>14</v>
      </c>
      <c r="B1928" s="3">
        <v>4</v>
      </c>
      <c r="C1928" s="3">
        <v>68</v>
      </c>
      <c r="D1928" s="3">
        <v>33</v>
      </c>
      <c r="E1928" s="3">
        <v>-149.29</v>
      </c>
      <c r="F1928" s="4" t="str">
        <f>HYPERLINK("http://141.218.60.56/~jnz1568/getInfo.php?workbook=14_04.xlsx&amp;sheet=A0&amp;row=1928&amp;col=6&amp;number=11430000&amp;sourceID=14","11430000")</f>
        <v>11430000</v>
      </c>
      <c r="G1928" s="4" t="str">
        <f>HYPERLINK("http://141.218.60.56/~jnz1568/getInfo.php?workbook=14_04.xlsx&amp;sheet=A0&amp;row=1928&amp;col=7&amp;number=0&amp;sourceID=14","0")</f>
        <v>0</v>
      </c>
    </row>
    <row r="1929" spans="1:7">
      <c r="A1929" s="3">
        <v>14</v>
      </c>
      <c r="B1929" s="3">
        <v>4</v>
      </c>
      <c r="C1929" s="3">
        <v>69</v>
      </c>
      <c r="D1929" s="3">
        <v>33</v>
      </c>
      <c r="E1929" s="3">
        <v>-149.109</v>
      </c>
      <c r="F1929" s="4" t="str">
        <f>HYPERLINK("http://141.218.60.56/~jnz1568/getInfo.php?workbook=14_04.xlsx&amp;sheet=A0&amp;row=1929&amp;col=6&amp;number=986500&amp;sourceID=14","986500")</f>
        <v>986500</v>
      </c>
      <c r="G1929" s="4" t="str">
        <f>HYPERLINK("http://141.218.60.56/~jnz1568/getInfo.php?workbook=14_04.xlsx&amp;sheet=A0&amp;row=1929&amp;col=7&amp;number=0&amp;sourceID=14","0")</f>
        <v>0</v>
      </c>
    </row>
    <row r="1930" spans="1:7">
      <c r="A1930" s="3">
        <v>14</v>
      </c>
      <c r="B1930" s="3">
        <v>4</v>
      </c>
      <c r="C1930" s="3">
        <v>70</v>
      </c>
      <c r="D1930" s="3">
        <v>33</v>
      </c>
      <c r="E1930" s="3">
        <v>-148.35</v>
      </c>
      <c r="F1930" s="4" t="str">
        <f>HYPERLINK("http://141.218.60.56/~jnz1568/getInfo.php?workbook=14_04.xlsx&amp;sheet=A0&amp;row=1930&amp;col=6&amp;number=310300&amp;sourceID=14","310300")</f>
        <v>310300</v>
      </c>
      <c r="G1930" s="4" t="str">
        <f>HYPERLINK("http://141.218.60.56/~jnz1568/getInfo.php?workbook=14_04.xlsx&amp;sheet=A0&amp;row=1930&amp;col=7&amp;number=0&amp;sourceID=14","0")</f>
        <v>0</v>
      </c>
    </row>
    <row r="1931" spans="1:7">
      <c r="A1931" s="3">
        <v>14</v>
      </c>
      <c r="B1931" s="3">
        <v>4</v>
      </c>
      <c r="C1931" s="3">
        <v>71</v>
      </c>
      <c r="D1931" s="3">
        <v>33</v>
      </c>
      <c r="E1931" s="3">
        <v>-148.04</v>
      </c>
      <c r="F1931" s="4" t="str">
        <f>HYPERLINK("http://141.218.60.56/~jnz1568/getInfo.php?workbook=14_04.xlsx&amp;sheet=A0&amp;row=1931&amp;col=6&amp;number=105800&amp;sourceID=14","105800")</f>
        <v>105800</v>
      </c>
      <c r="G1931" s="4" t="str">
        <f>HYPERLINK("http://141.218.60.56/~jnz1568/getInfo.php?workbook=14_04.xlsx&amp;sheet=A0&amp;row=1931&amp;col=7&amp;number=0&amp;sourceID=14","0")</f>
        <v>0</v>
      </c>
    </row>
    <row r="1932" spans="1:7">
      <c r="A1932" s="3">
        <v>14</v>
      </c>
      <c r="B1932" s="3">
        <v>4</v>
      </c>
      <c r="C1932" s="3">
        <v>72</v>
      </c>
      <c r="D1932" s="3">
        <v>33</v>
      </c>
      <c r="E1932" s="3">
        <v>-147.564</v>
      </c>
      <c r="F1932" s="4" t="str">
        <f>HYPERLINK("http://141.218.60.56/~jnz1568/getInfo.php?workbook=14_04.xlsx&amp;sheet=A0&amp;row=1932&amp;col=6&amp;number=211600000&amp;sourceID=14","211600000")</f>
        <v>211600000</v>
      </c>
      <c r="G1932" s="4" t="str">
        <f>HYPERLINK("http://141.218.60.56/~jnz1568/getInfo.php?workbook=14_04.xlsx&amp;sheet=A0&amp;row=1932&amp;col=7&amp;number=0&amp;sourceID=14","0")</f>
        <v>0</v>
      </c>
    </row>
    <row r="1933" spans="1:7">
      <c r="A1933" s="3">
        <v>14</v>
      </c>
      <c r="B1933" s="3">
        <v>4</v>
      </c>
      <c r="C1933" s="3">
        <v>73</v>
      </c>
      <c r="D1933" s="3">
        <v>33</v>
      </c>
      <c r="E1933" s="3">
        <v>-147.278</v>
      </c>
      <c r="F1933" s="4" t="str">
        <f>HYPERLINK("http://141.218.60.56/~jnz1568/getInfo.php?workbook=14_04.xlsx&amp;sheet=A0&amp;row=1933&amp;col=6&amp;number=4011&amp;sourceID=14","4011")</f>
        <v>4011</v>
      </c>
      <c r="G1933" s="4" t="str">
        <f>HYPERLINK("http://141.218.60.56/~jnz1568/getInfo.php?workbook=14_04.xlsx&amp;sheet=A0&amp;row=1933&amp;col=7&amp;number=0&amp;sourceID=14","0")</f>
        <v>0</v>
      </c>
    </row>
    <row r="1934" spans="1:7">
      <c r="A1934" s="3">
        <v>14</v>
      </c>
      <c r="B1934" s="3">
        <v>4</v>
      </c>
      <c r="C1934" s="3">
        <v>74</v>
      </c>
      <c r="D1934" s="3">
        <v>33</v>
      </c>
      <c r="E1934" s="3">
        <v>-146.951</v>
      </c>
      <c r="F1934" s="4" t="str">
        <f>HYPERLINK("http://141.218.60.56/~jnz1568/getInfo.php?workbook=14_04.xlsx&amp;sheet=A0&amp;row=1934&amp;col=6&amp;number=665700&amp;sourceID=14","665700")</f>
        <v>665700</v>
      </c>
      <c r="G1934" s="4" t="str">
        <f>HYPERLINK("http://141.218.60.56/~jnz1568/getInfo.php?workbook=14_04.xlsx&amp;sheet=A0&amp;row=1934&amp;col=7&amp;number=0&amp;sourceID=14","0")</f>
        <v>0</v>
      </c>
    </row>
    <row r="1935" spans="1:7">
      <c r="A1935" s="3">
        <v>14</v>
      </c>
      <c r="B1935" s="3">
        <v>4</v>
      </c>
      <c r="C1935" s="3">
        <v>75</v>
      </c>
      <c r="D1935" s="3">
        <v>33</v>
      </c>
      <c r="E1935" s="3">
        <v>-146.538</v>
      </c>
      <c r="F1935" s="4" t="str">
        <f>HYPERLINK("http://141.218.60.56/~jnz1568/getInfo.php?workbook=14_04.xlsx&amp;sheet=A0&amp;row=1935&amp;col=6&amp;number=72280&amp;sourceID=14","72280")</f>
        <v>72280</v>
      </c>
      <c r="G1935" s="4" t="str">
        <f>HYPERLINK("http://141.218.60.56/~jnz1568/getInfo.php?workbook=14_04.xlsx&amp;sheet=A0&amp;row=1935&amp;col=7&amp;number=0&amp;sourceID=14","0")</f>
        <v>0</v>
      </c>
    </row>
    <row r="1936" spans="1:7">
      <c r="A1936" s="3">
        <v>14</v>
      </c>
      <c r="B1936" s="3">
        <v>4</v>
      </c>
      <c r="C1936" s="3">
        <v>76</v>
      </c>
      <c r="D1936" s="3">
        <v>33</v>
      </c>
      <c r="E1936" s="3">
        <v>-145.961</v>
      </c>
      <c r="F1936" s="4" t="str">
        <f>HYPERLINK("http://141.218.60.56/~jnz1568/getInfo.php?workbook=14_04.xlsx&amp;sheet=A0&amp;row=1936&amp;col=6&amp;number=1926&amp;sourceID=14","1926")</f>
        <v>1926</v>
      </c>
      <c r="G1936" s="4" t="str">
        <f>HYPERLINK("http://141.218.60.56/~jnz1568/getInfo.php?workbook=14_04.xlsx&amp;sheet=A0&amp;row=1936&amp;col=7&amp;number=0&amp;sourceID=14","0")</f>
        <v>0</v>
      </c>
    </row>
    <row r="1937" spans="1:7">
      <c r="A1937" s="3">
        <v>14</v>
      </c>
      <c r="B1937" s="3">
        <v>4</v>
      </c>
      <c r="C1937" s="3">
        <v>77</v>
      </c>
      <c r="D1937" s="3">
        <v>33</v>
      </c>
      <c r="E1937" s="3">
        <v>-145.442</v>
      </c>
      <c r="F1937" s="4" t="str">
        <f>HYPERLINK("http://141.218.60.56/~jnz1568/getInfo.php?workbook=14_04.xlsx&amp;sheet=A0&amp;row=1937&amp;col=6&amp;number=11600&amp;sourceID=14","11600")</f>
        <v>11600</v>
      </c>
      <c r="G1937" s="4" t="str">
        <f>HYPERLINK("http://141.218.60.56/~jnz1568/getInfo.php?workbook=14_04.xlsx&amp;sheet=A0&amp;row=1937&amp;col=7&amp;number=0&amp;sourceID=14","0")</f>
        <v>0</v>
      </c>
    </row>
    <row r="1938" spans="1:7">
      <c r="A1938" s="3">
        <v>14</v>
      </c>
      <c r="B1938" s="3">
        <v>4</v>
      </c>
      <c r="C1938" s="3">
        <v>78</v>
      </c>
      <c r="D1938" s="3">
        <v>33</v>
      </c>
      <c r="E1938" s="3">
        <v>-145.28</v>
      </c>
      <c r="F1938" s="4" t="str">
        <f>HYPERLINK("http://141.218.60.56/~jnz1568/getInfo.php?workbook=14_04.xlsx&amp;sheet=A0&amp;row=1938&amp;col=6&amp;number=1118&amp;sourceID=14","1118")</f>
        <v>1118</v>
      </c>
      <c r="G1938" s="4" t="str">
        <f>HYPERLINK("http://141.218.60.56/~jnz1568/getInfo.php?workbook=14_04.xlsx&amp;sheet=A0&amp;row=1938&amp;col=7&amp;number=0&amp;sourceID=14","0")</f>
        <v>0</v>
      </c>
    </row>
    <row r="1939" spans="1:7">
      <c r="A1939" s="3">
        <v>14</v>
      </c>
      <c r="B1939" s="3">
        <v>4</v>
      </c>
      <c r="C1939" s="3">
        <v>79</v>
      </c>
      <c r="D1939" s="3">
        <v>33</v>
      </c>
      <c r="E1939" s="3">
        <v>-145.187</v>
      </c>
      <c r="F1939" s="4" t="str">
        <f>HYPERLINK("http://141.218.60.56/~jnz1568/getInfo.php?workbook=14_04.xlsx&amp;sheet=A0&amp;row=1939&amp;col=6&amp;number=99180&amp;sourceID=14","99180")</f>
        <v>99180</v>
      </c>
      <c r="G1939" s="4" t="str">
        <f>HYPERLINK("http://141.218.60.56/~jnz1568/getInfo.php?workbook=14_04.xlsx&amp;sheet=A0&amp;row=1939&amp;col=7&amp;number=0&amp;sourceID=14","0")</f>
        <v>0</v>
      </c>
    </row>
    <row r="1940" spans="1:7">
      <c r="A1940" s="3">
        <v>14</v>
      </c>
      <c r="B1940" s="3">
        <v>4</v>
      </c>
      <c r="C1940" s="3">
        <v>81</v>
      </c>
      <c r="D1940" s="3">
        <v>33</v>
      </c>
      <c r="E1940" s="3">
        <v>-143.086</v>
      </c>
      <c r="F1940" s="4" t="str">
        <f>HYPERLINK("http://141.218.60.56/~jnz1568/getInfo.php?workbook=14_04.xlsx&amp;sheet=A0&amp;row=1940&amp;col=6&amp;number=78280&amp;sourceID=14","78280")</f>
        <v>78280</v>
      </c>
      <c r="G1940" s="4" t="str">
        <f>HYPERLINK("http://141.218.60.56/~jnz1568/getInfo.php?workbook=14_04.xlsx&amp;sheet=A0&amp;row=1940&amp;col=7&amp;number=0&amp;sourceID=14","0")</f>
        <v>0</v>
      </c>
    </row>
    <row r="1941" spans="1:7">
      <c r="A1941" s="3">
        <v>14</v>
      </c>
      <c r="B1941" s="3">
        <v>4</v>
      </c>
      <c r="C1941" s="3">
        <v>82</v>
      </c>
      <c r="D1941" s="3">
        <v>33</v>
      </c>
      <c r="E1941" s="3">
        <v>-142.732</v>
      </c>
      <c r="F1941" s="4" t="str">
        <f>HYPERLINK("http://141.218.60.56/~jnz1568/getInfo.php?workbook=14_04.xlsx&amp;sheet=A0&amp;row=1941&amp;col=6&amp;number=127000&amp;sourceID=14","127000")</f>
        <v>127000</v>
      </c>
      <c r="G1941" s="4" t="str">
        <f>HYPERLINK("http://141.218.60.56/~jnz1568/getInfo.php?workbook=14_04.xlsx&amp;sheet=A0&amp;row=1941&amp;col=7&amp;number=0&amp;sourceID=14","0")</f>
        <v>0</v>
      </c>
    </row>
    <row r="1942" spans="1:7">
      <c r="A1942" s="3">
        <v>14</v>
      </c>
      <c r="B1942" s="3">
        <v>4</v>
      </c>
      <c r="C1942" s="3">
        <v>83</v>
      </c>
      <c r="D1942" s="3">
        <v>33</v>
      </c>
      <c r="E1942" s="3">
        <v>-131.315</v>
      </c>
      <c r="F1942" s="4" t="str">
        <f>HYPERLINK("http://141.218.60.56/~jnz1568/getInfo.php?workbook=14_04.xlsx&amp;sheet=A0&amp;row=1942&amp;col=6&amp;number=279000&amp;sourceID=14","279000")</f>
        <v>279000</v>
      </c>
      <c r="G1942" s="4" t="str">
        <f>HYPERLINK("http://141.218.60.56/~jnz1568/getInfo.php?workbook=14_04.xlsx&amp;sheet=A0&amp;row=1942&amp;col=7&amp;number=0&amp;sourceID=14","0")</f>
        <v>0</v>
      </c>
    </row>
    <row r="1943" spans="1:7">
      <c r="A1943" s="3">
        <v>14</v>
      </c>
      <c r="B1943" s="3">
        <v>4</v>
      </c>
      <c r="C1943" s="3">
        <v>85</v>
      </c>
      <c r="D1943" s="3">
        <v>33</v>
      </c>
      <c r="E1943" s="3">
        <v>-128.857</v>
      </c>
      <c r="F1943" s="4" t="str">
        <f>HYPERLINK("http://141.218.60.56/~jnz1568/getInfo.php?workbook=14_04.xlsx&amp;sheet=A0&amp;row=1943&amp;col=6&amp;number=192400&amp;sourceID=14","192400")</f>
        <v>192400</v>
      </c>
      <c r="G1943" s="4" t="str">
        <f>HYPERLINK("http://141.218.60.56/~jnz1568/getInfo.php?workbook=14_04.xlsx&amp;sheet=A0&amp;row=1943&amp;col=7&amp;number=0&amp;sourceID=14","0")</f>
        <v>0</v>
      </c>
    </row>
    <row r="1944" spans="1:7">
      <c r="A1944" s="3">
        <v>14</v>
      </c>
      <c r="B1944" s="3">
        <v>4</v>
      </c>
      <c r="C1944" s="3">
        <v>86</v>
      </c>
      <c r="D1944" s="3">
        <v>33</v>
      </c>
      <c r="E1944" s="3">
        <v>-128.837</v>
      </c>
      <c r="F1944" s="4" t="str">
        <f>HYPERLINK("http://141.218.60.56/~jnz1568/getInfo.php?workbook=14_04.xlsx&amp;sheet=A0&amp;row=1944&amp;col=6&amp;number=57480&amp;sourceID=14","57480")</f>
        <v>57480</v>
      </c>
      <c r="G1944" s="4" t="str">
        <f>HYPERLINK("http://141.218.60.56/~jnz1568/getInfo.php?workbook=14_04.xlsx&amp;sheet=A0&amp;row=1944&amp;col=7&amp;number=0&amp;sourceID=14","0")</f>
        <v>0</v>
      </c>
    </row>
    <row r="1945" spans="1:7">
      <c r="A1945" s="3">
        <v>14</v>
      </c>
      <c r="B1945" s="3">
        <v>4</v>
      </c>
      <c r="C1945" s="3">
        <v>87</v>
      </c>
      <c r="D1945" s="3">
        <v>33</v>
      </c>
      <c r="E1945" s="3">
        <v>-128.789</v>
      </c>
      <c r="F1945" s="4" t="str">
        <f>HYPERLINK("http://141.218.60.56/~jnz1568/getInfo.php?workbook=14_04.xlsx&amp;sheet=A0&amp;row=1945&amp;col=6&amp;number=5870&amp;sourceID=14","5870")</f>
        <v>5870</v>
      </c>
      <c r="G1945" s="4" t="str">
        <f>HYPERLINK("http://141.218.60.56/~jnz1568/getInfo.php?workbook=14_04.xlsx&amp;sheet=A0&amp;row=1945&amp;col=7&amp;number=0&amp;sourceID=14","0")</f>
        <v>0</v>
      </c>
    </row>
    <row r="1946" spans="1:7">
      <c r="A1946" s="3">
        <v>14</v>
      </c>
      <c r="B1946" s="3">
        <v>4</v>
      </c>
      <c r="C1946" s="3">
        <v>88</v>
      </c>
      <c r="D1946" s="3">
        <v>33</v>
      </c>
      <c r="E1946" s="3">
        <v>-128.365</v>
      </c>
      <c r="F1946" s="4" t="str">
        <f>HYPERLINK("http://141.218.60.56/~jnz1568/getInfo.php?workbook=14_04.xlsx&amp;sheet=A0&amp;row=1946&amp;col=6&amp;number=780&amp;sourceID=14","780")</f>
        <v>780</v>
      </c>
      <c r="G1946" s="4" t="str">
        <f>HYPERLINK("http://141.218.60.56/~jnz1568/getInfo.php?workbook=14_04.xlsx&amp;sheet=A0&amp;row=1946&amp;col=7&amp;number=0&amp;sourceID=14","0")</f>
        <v>0</v>
      </c>
    </row>
    <row r="1947" spans="1:7">
      <c r="A1947" s="3">
        <v>14</v>
      </c>
      <c r="B1947" s="3">
        <v>4</v>
      </c>
      <c r="C1947" s="3">
        <v>89</v>
      </c>
      <c r="D1947" s="3">
        <v>33</v>
      </c>
      <c r="E1947" s="3">
        <v>-127.448</v>
      </c>
      <c r="F1947" s="4" t="str">
        <f>HYPERLINK("http://141.218.60.56/~jnz1568/getInfo.php?workbook=14_04.xlsx&amp;sheet=A0&amp;row=1947&amp;col=6&amp;number=565500000&amp;sourceID=14","565500000")</f>
        <v>565500000</v>
      </c>
      <c r="G1947" s="4" t="str">
        <f>HYPERLINK("http://141.218.60.56/~jnz1568/getInfo.php?workbook=14_04.xlsx&amp;sheet=A0&amp;row=1947&amp;col=7&amp;number=0&amp;sourceID=14","0")</f>
        <v>0</v>
      </c>
    </row>
    <row r="1948" spans="1:7">
      <c r="A1948" s="3">
        <v>14</v>
      </c>
      <c r="B1948" s="3">
        <v>4</v>
      </c>
      <c r="C1948" s="3">
        <v>90</v>
      </c>
      <c r="D1948" s="3">
        <v>33</v>
      </c>
      <c r="E1948" s="3">
        <v>-127.44</v>
      </c>
      <c r="F1948" s="4" t="str">
        <f>HYPERLINK("http://141.218.60.56/~jnz1568/getInfo.php?workbook=14_04.xlsx&amp;sheet=A0&amp;row=1948&amp;col=6&amp;number=55520000&amp;sourceID=14","55520000")</f>
        <v>55520000</v>
      </c>
      <c r="G1948" s="4" t="str">
        <f>HYPERLINK("http://141.218.60.56/~jnz1568/getInfo.php?workbook=14_04.xlsx&amp;sheet=A0&amp;row=1948&amp;col=7&amp;number=0&amp;sourceID=14","0")</f>
        <v>0</v>
      </c>
    </row>
    <row r="1949" spans="1:7">
      <c r="A1949" s="3">
        <v>14</v>
      </c>
      <c r="B1949" s="3">
        <v>4</v>
      </c>
      <c r="C1949" s="3">
        <v>91</v>
      </c>
      <c r="D1949" s="3">
        <v>33</v>
      </c>
      <c r="E1949" s="3">
        <v>-127.427</v>
      </c>
      <c r="F1949" s="4" t="str">
        <f>HYPERLINK("http://141.218.60.56/~jnz1568/getInfo.php?workbook=14_04.xlsx&amp;sheet=A0&amp;row=1949&amp;col=6&amp;number=3335000&amp;sourceID=14","3335000")</f>
        <v>3335000</v>
      </c>
      <c r="G1949" s="4" t="str">
        <f>HYPERLINK("http://141.218.60.56/~jnz1568/getInfo.php?workbook=14_04.xlsx&amp;sheet=A0&amp;row=1949&amp;col=7&amp;number=0&amp;sourceID=14","0")</f>
        <v>0</v>
      </c>
    </row>
    <row r="1950" spans="1:7">
      <c r="A1950" s="3">
        <v>14</v>
      </c>
      <c r="B1950" s="3">
        <v>4</v>
      </c>
      <c r="C1950" s="3">
        <v>92</v>
      </c>
      <c r="D1950" s="3">
        <v>33</v>
      </c>
      <c r="E1950" s="3">
        <v>-126.643</v>
      </c>
      <c r="F1950" s="4" t="str">
        <f>HYPERLINK("http://141.218.60.56/~jnz1568/getInfo.php?workbook=14_04.xlsx&amp;sheet=A0&amp;row=1950&amp;col=6&amp;number=6637000&amp;sourceID=14","6637000")</f>
        <v>6637000</v>
      </c>
      <c r="G1950" s="4" t="str">
        <f>HYPERLINK("http://141.218.60.56/~jnz1568/getInfo.php?workbook=14_04.xlsx&amp;sheet=A0&amp;row=1950&amp;col=7&amp;number=0&amp;sourceID=14","0")</f>
        <v>0</v>
      </c>
    </row>
    <row r="1951" spans="1:7">
      <c r="A1951" s="3">
        <v>14</v>
      </c>
      <c r="B1951" s="3">
        <v>4</v>
      </c>
      <c r="C1951" s="3">
        <v>35</v>
      </c>
      <c r="D1951" s="3">
        <v>34</v>
      </c>
      <c r="E1951" s="3">
        <v>-39008.979</v>
      </c>
      <c r="F1951" s="4" t="str">
        <f>HYPERLINK("http://141.218.60.56/~jnz1568/getInfo.php?workbook=14_04.xlsx&amp;sheet=A0&amp;row=1951&amp;col=6&amp;number=0.12&amp;sourceID=14","0.12")</f>
        <v>0.12</v>
      </c>
      <c r="G1951" s="4" t="str">
        <f>HYPERLINK("http://141.218.60.56/~jnz1568/getInfo.php?workbook=14_04.xlsx&amp;sheet=A0&amp;row=1951&amp;col=7&amp;number=0&amp;sourceID=14","0")</f>
        <v>0</v>
      </c>
    </row>
    <row r="1952" spans="1:7">
      <c r="A1952" s="3">
        <v>14</v>
      </c>
      <c r="B1952" s="3">
        <v>4</v>
      </c>
      <c r="C1952" s="3">
        <v>36</v>
      </c>
      <c r="D1952" s="3">
        <v>34</v>
      </c>
      <c r="E1952" s="3">
        <v>-23038.44</v>
      </c>
      <c r="F1952" s="4" t="str">
        <f>HYPERLINK("http://141.218.60.56/~jnz1568/getInfo.php?workbook=14_04.xlsx&amp;sheet=A0&amp;row=1952&amp;col=6&amp;number=1.636&amp;sourceID=14","1.636")</f>
        <v>1.636</v>
      </c>
      <c r="G1952" s="4" t="str">
        <f>HYPERLINK("http://141.218.60.56/~jnz1568/getInfo.php?workbook=14_04.xlsx&amp;sheet=A0&amp;row=1952&amp;col=7&amp;number=0&amp;sourceID=14","0")</f>
        <v>0</v>
      </c>
    </row>
    <row r="1953" spans="1:7">
      <c r="A1953" s="3">
        <v>14</v>
      </c>
      <c r="B1953" s="3">
        <v>4</v>
      </c>
      <c r="C1953" s="3">
        <v>37</v>
      </c>
      <c r="D1953" s="3">
        <v>34</v>
      </c>
      <c r="E1953" s="3">
        <v>-7088.608</v>
      </c>
      <c r="F1953" s="4" t="str">
        <f>HYPERLINK("http://141.218.60.56/~jnz1568/getInfo.php?workbook=14_04.xlsx&amp;sheet=A0&amp;row=1953&amp;col=6&amp;number=1.189&amp;sourceID=14","1.189")</f>
        <v>1.189</v>
      </c>
      <c r="G1953" s="4" t="str">
        <f>HYPERLINK("http://141.218.60.56/~jnz1568/getInfo.php?workbook=14_04.xlsx&amp;sheet=A0&amp;row=1953&amp;col=7&amp;number=0&amp;sourceID=14","0")</f>
        <v>0</v>
      </c>
    </row>
    <row r="1954" spans="1:7">
      <c r="A1954" s="3">
        <v>14</v>
      </c>
      <c r="B1954" s="3">
        <v>4</v>
      </c>
      <c r="C1954" s="3">
        <v>38</v>
      </c>
      <c r="D1954" s="3">
        <v>34</v>
      </c>
      <c r="E1954" s="3">
        <v>-4214.341</v>
      </c>
      <c r="F1954" s="4" t="str">
        <f>HYPERLINK("http://141.218.60.56/~jnz1568/getInfo.php?workbook=14_04.xlsx&amp;sheet=A0&amp;row=1954&amp;col=6&amp;number=0.006095&amp;sourceID=14","0.006095")</f>
        <v>0.006095</v>
      </c>
      <c r="G1954" s="4" t="str">
        <f>HYPERLINK("http://141.218.60.56/~jnz1568/getInfo.php?workbook=14_04.xlsx&amp;sheet=A0&amp;row=1954&amp;col=7&amp;number=0&amp;sourceID=14","0")</f>
        <v>0</v>
      </c>
    </row>
    <row r="1955" spans="1:7">
      <c r="A1955" s="3">
        <v>14</v>
      </c>
      <c r="B1955" s="3">
        <v>4</v>
      </c>
      <c r="C1955" s="3">
        <v>39</v>
      </c>
      <c r="D1955" s="3">
        <v>34</v>
      </c>
      <c r="E1955" s="3">
        <v>-4017.938</v>
      </c>
      <c r="F1955" s="4" t="str">
        <f>HYPERLINK("http://141.218.60.56/~jnz1568/getInfo.php?workbook=14_04.xlsx&amp;sheet=A0&amp;row=1955&amp;col=6&amp;number=0.06058&amp;sourceID=14","0.06058")</f>
        <v>0.06058</v>
      </c>
      <c r="G1955" s="4" t="str">
        <f>HYPERLINK("http://141.218.60.56/~jnz1568/getInfo.php?workbook=14_04.xlsx&amp;sheet=A0&amp;row=1955&amp;col=7&amp;number=0&amp;sourceID=14","0")</f>
        <v>0</v>
      </c>
    </row>
    <row r="1956" spans="1:7">
      <c r="A1956" s="3">
        <v>14</v>
      </c>
      <c r="B1956" s="3">
        <v>4</v>
      </c>
      <c r="C1956" s="3">
        <v>40</v>
      </c>
      <c r="D1956" s="3">
        <v>34</v>
      </c>
      <c r="E1956" s="3">
        <v>-3656.486</v>
      </c>
      <c r="F1956" s="4" t="str">
        <f>HYPERLINK("http://141.218.60.56/~jnz1568/getInfo.php?workbook=14_04.xlsx&amp;sheet=A0&amp;row=1956&amp;col=6&amp;number=3.532&amp;sourceID=14","3.532")</f>
        <v>3.532</v>
      </c>
      <c r="G1956" s="4" t="str">
        <f>HYPERLINK("http://141.218.60.56/~jnz1568/getInfo.php?workbook=14_04.xlsx&amp;sheet=A0&amp;row=1956&amp;col=7&amp;number=0&amp;sourceID=14","0")</f>
        <v>0</v>
      </c>
    </row>
    <row r="1957" spans="1:7">
      <c r="A1957" s="3">
        <v>14</v>
      </c>
      <c r="B1957" s="3">
        <v>4</v>
      </c>
      <c r="C1957" s="3">
        <v>41</v>
      </c>
      <c r="D1957" s="3">
        <v>34</v>
      </c>
      <c r="E1957" s="3">
        <v>-2853.066</v>
      </c>
      <c r="F1957" s="4" t="str">
        <f>HYPERLINK("http://141.218.60.56/~jnz1568/getInfo.php?workbook=14_04.xlsx&amp;sheet=A0&amp;row=1957&amp;col=6&amp;number=0.3019&amp;sourceID=14","0.3019")</f>
        <v>0.3019</v>
      </c>
      <c r="G1957" s="4" t="str">
        <f>HYPERLINK("http://141.218.60.56/~jnz1568/getInfo.php?workbook=14_04.xlsx&amp;sheet=A0&amp;row=1957&amp;col=7&amp;number=0&amp;sourceID=14","0")</f>
        <v>0</v>
      </c>
    </row>
    <row r="1958" spans="1:7">
      <c r="A1958" s="3">
        <v>14</v>
      </c>
      <c r="B1958" s="3">
        <v>4</v>
      </c>
      <c r="C1958" s="3">
        <v>42</v>
      </c>
      <c r="D1958" s="3">
        <v>34</v>
      </c>
      <c r="E1958" s="3">
        <v>-2738.974</v>
      </c>
      <c r="F1958" s="4" t="str">
        <f>HYPERLINK("http://141.218.60.56/~jnz1568/getInfo.php?workbook=14_04.xlsx&amp;sheet=A0&amp;row=1958&amp;col=6&amp;number=0.48&amp;sourceID=14","0.48")</f>
        <v>0.48</v>
      </c>
      <c r="G1958" s="4" t="str">
        <f>HYPERLINK("http://141.218.60.56/~jnz1568/getInfo.php?workbook=14_04.xlsx&amp;sheet=A0&amp;row=1958&amp;col=7&amp;number=0&amp;sourceID=14","0")</f>
        <v>0</v>
      </c>
    </row>
    <row r="1959" spans="1:7">
      <c r="A1959" s="3">
        <v>14</v>
      </c>
      <c r="B1959" s="3">
        <v>4</v>
      </c>
      <c r="C1959" s="3">
        <v>45</v>
      </c>
      <c r="D1959" s="3">
        <v>34</v>
      </c>
      <c r="E1959" s="3">
        <v>-1530.766</v>
      </c>
      <c r="F1959" s="4" t="str">
        <f>HYPERLINK("http://141.218.60.56/~jnz1568/getInfo.php?workbook=14_04.xlsx&amp;sheet=A0&amp;row=1959&amp;col=6&amp;number=2.503&amp;sourceID=14","2.503")</f>
        <v>2.503</v>
      </c>
      <c r="G1959" s="4" t="str">
        <f>HYPERLINK("http://141.218.60.56/~jnz1568/getInfo.php?workbook=14_04.xlsx&amp;sheet=A0&amp;row=1959&amp;col=7&amp;number=0&amp;sourceID=14","0")</f>
        <v>0</v>
      </c>
    </row>
    <row r="1960" spans="1:7">
      <c r="A1960" s="3">
        <v>14</v>
      </c>
      <c r="B1960" s="3">
        <v>4</v>
      </c>
      <c r="C1960" s="3">
        <v>46</v>
      </c>
      <c r="D1960" s="3">
        <v>34</v>
      </c>
      <c r="E1960" s="3">
        <v>-1412.697</v>
      </c>
      <c r="F1960" s="4" t="str">
        <f>HYPERLINK("http://141.218.60.56/~jnz1568/getInfo.php?workbook=14_04.xlsx&amp;sheet=A0&amp;row=1960&amp;col=6&amp;number=0.04482&amp;sourceID=14","0.04482")</f>
        <v>0.04482</v>
      </c>
      <c r="G1960" s="4" t="str">
        <f>HYPERLINK("http://141.218.60.56/~jnz1568/getInfo.php?workbook=14_04.xlsx&amp;sheet=A0&amp;row=1960&amp;col=7&amp;number=0&amp;sourceID=14","0")</f>
        <v>0</v>
      </c>
    </row>
    <row r="1961" spans="1:7">
      <c r="A1961" s="3">
        <v>14</v>
      </c>
      <c r="B1961" s="3">
        <v>4</v>
      </c>
      <c r="C1961" s="3">
        <v>50</v>
      </c>
      <c r="D1961" s="3">
        <v>34</v>
      </c>
      <c r="E1961" s="3">
        <v>-218.411</v>
      </c>
      <c r="F1961" s="4" t="str">
        <f>HYPERLINK("http://141.218.60.56/~jnz1568/getInfo.php?workbook=14_04.xlsx&amp;sheet=A0&amp;row=1961&amp;col=6&amp;number=5144&amp;sourceID=14","5144")</f>
        <v>5144</v>
      </c>
      <c r="G1961" s="4" t="str">
        <f>HYPERLINK("http://141.218.60.56/~jnz1568/getInfo.php?workbook=14_04.xlsx&amp;sheet=A0&amp;row=1961&amp;col=7&amp;number=0&amp;sourceID=14","0")</f>
        <v>0</v>
      </c>
    </row>
    <row r="1962" spans="1:7">
      <c r="A1962" s="3">
        <v>14</v>
      </c>
      <c r="B1962" s="3">
        <v>4</v>
      </c>
      <c r="C1962" s="3">
        <v>51</v>
      </c>
      <c r="D1962" s="3">
        <v>34</v>
      </c>
      <c r="E1962" s="3">
        <v>-218.119</v>
      </c>
      <c r="F1962" s="4" t="str">
        <f>HYPERLINK("http://141.218.60.56/~jnz1568/getInfo.php?workbook=14_04.xlsx&amp;sheet=A0&amp;row=1962&amp;col=6&amp;number=1845&amp;sourceID=14","1845")</f>
        <v>1845</v>
      </c>
      <c r="G1962" s="4" t="str">
        <f>HYPERLINK("http://141.218.60.56/~jnz1568/getInfo.php?workbook=14_04.xlsx&amp;sheet=A0&amp;row=1962&amp;col=7&amp;number=0&amp;sourceID=14","0")</f>
        <v>0</v>
      </c>
    </row>
    <row r="1963" spans="1:7">
      <c r="A1963" s="3">
        <v>14</v>
      </c>
      <c r="B1963" s="3">
        <v>4</v>
      </c>
      <c r="C1963" s="3">
        <v>52</v>
      </c>
      <c r="D1963" s="3">
        <v>34</v>
      </c>
      <c r="E1963" s="3">
        <v>-216.775</v>
      </c>
      <c r="F1963" s="4" t="str">
        <f>HYPERLINK("http://141.218.60.56/~jnz1568/getInfo.php?workbook=14_04.xlsx&amp;sheet=A0&amp;row=1963&amp;col=6&amp;number=386.2&amp;sourceID=14","386.2")</f>
        <v>386.2</v>
      </c>
      <c r="G1963" s="4" t="str">
        <f>HYPERLINK("http://141.218.60.56/~jnz1568/getInfo.php?workbook=14_04.xlsx&amp;sheet=A0&amp;row=1963&amp;col=7&amp;number=0&amp;sourceID=14","0")</f>
        <v>0</v>
      </c>
    </row>
    <row r="1964" spans="1:7">
      <c r="A1964" s="3">
        <v>14</v>
      </c>
      <c r="B1964" s="3">
        <v>4</v>
      </c>
      <c r="C1964" s="3">
        <v>54</v>
      </c>
      <c r="D1964" s="3">
        <v>34</v>
      </c>
      <c r="E1964" s="3">
        <v>-210.314</v>
      </c>
      <c r="F1964" s="4" t="str">
        <f>HYPERLINK("http://141.218.60.56/~jnz1568/getInfo.php?workbook=14_04.xlsx&amp;sheet=A0&amp;row=1964&amp;col=6&amp;number=231200000&amp;sourceID=14","231200000")</f>
        <v>231200000</v>
      </c>
      <c r="G1964" s="4" t="str">
        <f>HYPERLINK("http://141.218.60.56/~jnz1568/getInfo.php?workbook=14_04.xlsx&amp;sheet=A0&amp;row=1964&amp;col=7&amp;number=0&amp;sourceID=14","0")</f>
        <v>0</v>
      </c>
    </row>
    <row r="1965" spans="1:7">
      <c r="A1965" s="3">
        <v>14</v>
      </c>
      <c r="B1965" s="3">
        <v>4</v>
      </c>
      <c r="C1965" s="3">
        <v>55</v>
      </c>
      <c r="D1965" s="3">
        <v>34</v>
      </c>
      <c r="E1965" s="3">
        <v>-210.242</v>
      </c>
      <c r="F1965" s="4" t="str">
        <f>HYPERLINK("http://141.218.60.56/~jnz1568/getInfo.php?workbook=14_04.xlsx&amp;sheet=A0&amp;row=1965&amp;col=6&amp;number=19980000&amp;sourceID=14","19980000")</f>
        <v>19980000</v>
      </c>
      <c r="G1965" s="4" t="str">
        <f>HYPERLINK("http://141.218.60.56/~jnz1568/getInfo.php?workbook=14_04.xlsx&amp;sheet=A0&amp;row=1965&amp;col=7&amp;number=0&amp;sourceID=14","0")</f>
        <v>0</v>
      </c>
    </row>
    <row r="1966" spans="1:7">
      <c r="A1966" s="3">
        <v>14</v>
      </c>
      <c r="B1966" s="3">
        <v>4</v>
      </c>
      <c r="C1966" s="3">
        <v>56</v>
      </c>
      <c r="D1966" s="3">
        <v>34</v>
      </c>
      <c r="E1966" s="3">
        <v>-205.704</v>
      </c>
      <c r="F1966" s="4" t="str">
        <f>HYPERLINK("http://141.218.60.56/~jnz1568/getInfo.php?workbook=14_04.xlsx&amp;sheet=A0&amp;row=1966&amp;col=6&amp;number=1359000&amp;sourceID=14","1359000")</f>
        <v>1359000</v>
      </c>
      <c r="G1966" s="4" t="str">
        <f>HYPERLINK("http://141.218.60.56/~jnz1568/getInfo.php?workbook=14_04.xlsx&amp;sheet=A0&amp;row=1966&amp;col=7&amp;number=0&amp;sourceID=14","0")</f>
        <v>0</v>
      </c>
    </row>
    <row r="1967" spans="1:7">
      <c r="A1967" s="3">
        <v>14</v>
      </c>
      <c r="B1967" s="3">
        <v>4</v>
      </c>
      <c r="C1967" s="3">
        <v>58</v>
      </c>
      <c r="D1967" s="3">
        <v>34</v>
      </c>
      <c r="E1967" s="3">
        <v>-159.154</v>
      </c>
      <c r="F1967" s="4" t="str">
        <f>HYPERLINK("http://141.218.60.56/~jnz1568/getInfo.php?workbook=14_04.xlsx&amp;sheet=A0&amp;row=1967&amp;col=6&amp;number=680500&amp;sourceID=14","680500")</f>
        <v>680500</v>
      </c>
      <c r="G1967" s="4" t="str">
        <f>HYPERLINK("http://141.218.60.56/~jnz1568/getInfo.php?workbook=14_04.xlsx&amp;sheet=A0&amp;row=1967&amp;col=7&amp;number=0&amp;sourceID=14","0")</f>
        <v>0</v>
      </c>
    </row>
    <row r="1968" spans="1:7">
      <c r="A1968" s="3">
        <v>14</v>
      </c>
      <c r="B1968" s="3">
        <v>4</v>
      </c>
      <c r="C1968" s="3">
        <v>59</v>
      </c>
      <c r="D1968" s="3">
        <v>34</v>
      </c>
      <c r="E1968" s="3">
        <v>-157.491</v>
      </c>
      <c r="F1968" s="4" t="str">
        <f>HYPERLINK("http://141.218.60.56/~jnz1568/getInfo.php?workbook=14_04.xlsx&amp;sheet=A0&amp;row=1968&amp;col=6&amp;number=124200&amp;sourceID=14","124200")</f>
        <v>124200</v>
      </c>
      <c r="G1968" s="4" t="str">
        <f>HYPERLINK("http://141.218.60.56/~jnz1568/getInfo.php?workbook=14_04.xlsx&amp;sheet=A0&amp;row=1968&amp;col=7&amp;number=0&amp;sourceID=14","0")</f>
        <v>0</v>
      </c>
    </row>
    <row r="1969" spans="1:7">
      <c r="A1969" s="3">
        <v>14</v>
      </c>
      <c r="B1969" s="3">
        <v>4</v>
      </c>
      <c r="C1969" s="3">
        <v>60</v>
      </c>
      <c r="D1969" s="3">
        <v>34</v>
      </c>
      <c r="E1969" s="3">
        <v>-155.961</v>
      </c>
      <c r="F1969" s="4" t="str">
        <f>HYPERLINK("http://141.218.60.56/~jnz1568/getInfo.php?workbook=14_04.xlsx&amp;sheet=A0&amp;row=1969&amp;col=6&amp;number=45060&amp;sourceID=14","45060")</f>
        <v>45060</v>
      </c>
      <c r="G1969" s="4" t="str">
        <f>HYPERLINK("http://141.218.60.56/~jnz1568/getInfo.php?workbook=14_04.xlsx&amp;sheet=A0&amp;row=1969&amp;col=7&amp;number=0&amp;sourceID=14","0")</f>
        <v>0</v>
      </c>
    </row>
    <row r="1970" spans="1:7">
      <c r="A1970" s="3">
        <v>14</v>
      </c>
      <c r="B1970" s="3">
        <v>4</v>
      </c>
      <c r="C1970" s="3">
        <v>63</v>
      </c>
      <c r="D1970" s="3">
        <v>34</v>
      </c>
      <c r="E1970" s="3">
        <v>-153.051</v>
      </c>
      <c r="F1970" s="4" t="str">
        <f>HYPERLINK("http://141.218.60.56/~jnz1568/getInfo.php?workbook=14_04.xlsx&amp;sheet=A0&amp;row=1970&amp;col=6&amp;number=4772000000&amp;sourceID=14","4772000000")</f>
        <v>4772000000</v>
      </c>
      <c r="G1970" s="4" t="str">
        <f>HYPERLINK("http://141.218.60.56/~jnz1568/getInfo.php?workbook=14_04.xlsx&amp;sheet=A0&amp;row=1970&amp;col=7&amp;number=0&amp;sourceID=14","0")</f>
        <v>0</v>
      </c>
    </row>
    <row r="1971" spans="1:7">
      <c r="A1971" s="3">
        <v>14</v>
      </c>
      <c r="B1971" s="3">
        <v>4</v>
      </c>
      <c r="C1971" s="3">
        <v>64</v>
      </c>
      <c r="D1971" s="3">
        <v>34</v>
      </c>
      <c r="E1971" s="3">
        <v>-151.79</v>
      </c>
      <c r="F1971" s="4" t="str">
        <f>HYPERLINK("http://141.218.60.56/~jnz1568/getInfo.php?workbook=14_04.xlsx&amp;sheet=A0&amp;row=1971&amp;col=6&amp;number=315700000&amp;sourceID=14","315700000")</f>
        <v>315700000</v>
      </c>
      <c r="G1971" s="4" t="str">
        <f>HYPERLINK("http://141.218.60.56/~jnz1568/getInfo.php?workbook=14_04.xlsx&amp;sheet=A0&amp;row=1971&amp;col=7&amp;number=0&amp;sourceID=14","0")</f>
        <v>0</v>
      </c>
    </row>
    <row r="1972" spans="1:7">
      <c r="A1972" s="3">
        <v>14</v>
      </c>
      <c r="B1972" s="3">
        <v>4</v>
      </c>
      <c r="C1972" s="3">
        <v>68</v>
      </c>
      <c r="D1972" s="3">
        <v>34</v>
      </c>
      <c r="E1972" s="3">
        <v>-150.208</v>
      </c>
      <c r="F1972" s="4" t="str">
        <f>HYPERLINK("http://141.218.60.56/~jnz1568/getInfo.php?workbook=14_04.xlsx&amp;sheet=A0&amp;row=1972&amp;col=6&amp;number=75920000&amp;sourceID=14","75920000")</f>
        <v>75920000</v>
      </c>
      <c r="G1972" s="4" t="str">
        <f>HYPERLINK("http://141.218.60.56/~jnz1568/getInfo.php?workbook=14_04.xlsx&amp;sheet=A0&amp;row=1972&amp;col=7&amp;number=0&amp;sourceID=14","0")</f>
        <v>0</v>
      </c>
    </row>
    <row r="1973" spans="1:7">
      <c r="A1973" s="3">
        <v>14</v>
      </c>
      <c r="B1973" s="3">
        <v>4</v>
      </c>
      <c r="C1973" s="3">
        <v>69</v>
      </c>
      <c r="D1973" s="3">
        <v>34</v>
      </c>
      <c r="E1973" s="3">
        <v>-150.025</v>
      </c>
      <c r="F1973" s="4" t="str">
        <f>HYPERLINK("http://141.218.60.56/~jnz1568/getInfo.php?workbook=14_04.xlsx&amp;sheet=A0&amp;row=1973&amp;col=6&amp;number=327500&amp;sourceID=14","327500")</f>
        <v>327500</v>
      </c>
      <c r="G1973" s="4" t="str">
        <f>HYPERLINK("http://141.218.60.56/~jnz1568/getInfo.php?workbook=14_04.xlsx&amp;sheet=A0&amp;row=1973&amp;col=7&amp;number=0&amp;sourceID=14","0")</f>
        <v>0</v>
      </c>
    </row>
    <row r="1974" spans="1:7">
      <c r="A1974" s="3">
        <v>14</v>
      </c>
      <c r="B1974" s="3">
        <v>4</v>
      </c>
      <c r="C1974" s="3">
        <v>70</v>
      </c>
      <c r="D1974" s="3">
        <v>34</v>
      </c>
      <c r="E1974" s="3">
        <v>-149.256</v>
      </c>
      <c r="F1974" s="4" t="str">
        <f>HYPERLINK("http://141.218.60.56/~jnz1568/getInfo.php?workbook=14_04.xlsx&amp;sheet=A0&amp;row=1974&amp;col=6&amp;number=1087000&amp;sourceID=14","1087000")</f>
        <v>1087000</v>
      </c>
      <c r="G1974" s="4" t="str">
        <f>HYPERLINK("http://141.218.60.56/~jnz1568/getInfo.php?workbook=14_04.xlsx&amp;sheet=A0&amp;row=1974&amp;col=7&amp;number=0&amp;sourceID=14","0")</f>
        <v>0</v>
      </c>
    </row>
    <row r="1975" spans="1:7">
      <c r="A1975" s="3">
        <v>14</v>
      </c>
      <c r="B1975" s="3">
        <v>4</v>
      </c>
      <c r="C1975" s="3">
        <v>71</v>
      </c>
      <c r="D1975" s="3">
        <v>34</v>
      </c>
      <c r="E1975" s="3">
        <v>-148.943</v>
      </c>
      <c r="F1975" s="4" t="str">
        <f>HYPERLINK("http://141.218.60.56/~jnz1568/getInfo.php?workbook=14_04.xlsx&amp;sheet=A0&amp;row=1975&amp;col=6&amp;number=3026&amp;sourceID=14","3026")</f>
        <v>3026</v>
      </c>
      <c r="G1975" s="4" t="str">
        <f>HYPERLINK("http://141.218.60.56/~jnz1568/getInfo.php?workbook=14_04.xlsx&amp;sheet=A0&amp;row=1975&amp;col=7&amp;number=0&amp;sourceID=14","0")</f>
        <v>0</v>
      </c>
    </row>
    <row r="1976" spans="1:7">
      <c r="A1976" s="3">
        <v>14</v>
      </c>
      <c r="B1976" s="3">
        <v>4</v>
      </c>
      <c r="C1976" s="3">
        <v>72</v>
      </c>
      <c r="D1976" s="3">
        <v>34</v>
      </c>
      <c r="E1976" s="3">
        <v>-148.461</v>
      </c>
      <c r="F1976" s="4" t="str">
        <f>HYPERLINK("http://141.218.60.56/~jnz1568/getInfo.php?workbook=14_04.xlsx&amp;sheet=A0&amp;row=1976&amp;col=6&amp;number=7396000&amp;sourceID=14","7396000")</f>
        <v>7396000</v>
      </c>
      <c r="G1976" s="4" t="str">
        <f>HYPERLINK("http://141.218.60.56/~jnz1568/getInfo.php?workbook=14_04.xlsx&amp;sheet=A0&amp;row=1976&amp;col=7&amp;number=0&amp;sourceID=14","0")</f>
        <v>0</v>
      </c>
    </row>
    <row r="1977" spans="1:7">
      <c r="A1977" s="3">
        <v>14</v>
      </c>
      <c r="B1977" s="3">
        <v>4</v>
      </c>
      <c r="C1977" s="3">
        <v>73</v>
      </c>
      <c r="D1977" s="3">
        <v>34</v>
      </c>
      <c r="E1977" s="3">
        <v>-148.172</v>
      </c>
      <c r="F1977" s="4" t="str">
        <f>HYPERLINK("http://141.218.60.56/~jnz1568/getInfo.php?workbook=14_04.xlsx&amp;sheet=A0&amp;row=1977&amp;col=6&amp;number=190800&amp;sourceID=14","190800")</f>
        <v>190800</v>
      </c>
      <c r="G1977" s="4" t="str">
        <f>HYPERLINK("http://141.218.60.56/~jnz1568/getInfo.php?workbook=14_04.xlsx&amp;sheet=A0&amp;row=1977&amp;col=7&amp;number=0&amp;sourceID=14","0")</f>
        <v>0</v>
      </c>
    </row>
    <row r="1978" spans="1:7">
      <c r="A1978" s="3">
        <v>14</v>
      </c>
      <c r="B1978" s="3">
        <v>4</v>
      </c>
      <c r="C1978" s="3">
        <v>74</v>
      </c>
      <c r="D1978" s="3">
        <v>34</v>
      </c>
      <c r="E1978" s="3">
        <v>-147.84</v>
      </c>
      <c r="F1978" s="4" t="str">
        <f>HYPERLINK("http://141.218.60.56/~jnz1568/getInfo.php?workbook=14_04.xlsx&amp;sheet=A0&amp;row=1978&amp;col=6&amp;number=139000&amp;sourceID=14","139000")</f>
        <v>139000</v>
      </c>
      <c r="G1978" s="4" t="str">
        <f>HYPERLINK("http://141.218.60.56/~jnz1568/getInfo.php?workbook=14_04.xlsx&amp;sheet=A0&amp;row=1978&amp;col=7&amp;number=0&amp;sourceID=14","0")</f>
        <v>0</v>
      </c>
    </row>
    <row r="1979" spans="1:7">
      <c r="A1979" s="3">
        <v>14</v>
      </c>
      <c r="B1979" s="3">
        <v>4</v>
      </c>
      <c r="C1979" s="3">
        <v>75</v>
      </c>
      <c r="D1979" s="3">
        <v>34</v>
      </c>
      <c r="E1979" s="3">
        <v>-147.423</v>
      </c>
      <c r="F1979" s="4" t="str">
        <f>HYPERLINK("http://141.218.60.56/~jnz1568/getInfo.php?workbook=14_04.xlsx&amp;sheet=A0&amp;row=1979&amp;col=6&amp;number=571000&amp;sourceID=14","571000")</f>
        <v>571000</v>
      </c>
      <c r="G1979" s="4" t="str">
        <f>HYPERLINK("http://141.218.60.56/~jnz1568/getInfo.php?workbook=14_04.xlsx&amp;sheet=A0&amp;row=1979&amp;col=7&amp;number=0&amp;sourceID=14","0")</f>
        <v>0</v>
      </c>
    </row>
    <row r="1980" spans="1:7">
      <c r="A1980" s="3">
        <v>14</v>
      </c>
      <c r="B1980" s="3">
        <v>4</v>
      </c>
      <c r="C1980" s="3">
        <v>76</v>
      </c>
      <c r="D1980" s="3">
        <v>34</v>
      </c>
      <c r="E1980" s="3">
        <v>-146.839</v>
      </c>
      <c r="F1980" s="4" t="str">
        <f>HYPERLINK("http://141.218.60.56/~jnz1568/getInfo.php?workbook=14_04.xlsx&amp;sheet=A0&amp;row=1980&amp;col=6&amp;number=46870&amp;sourceID=14","46870")</f>
        <v>46870</v>
      </c>
      <c r="G1980" s="4" t="str">
        <f>HYPERLINK("http://141.218.60.56/~jnz1568/getInfo.php?workbook=14_04.xlsx&amp;sheet=A0&amp;row=1980&amp;col=7&amp;number=0&amp;sourceID=14","0")</f>
        <v>0</v>
      </c>
    </row>
    <row r="1981" spans="1:7">
      <c r="A1981" s="3">
        <v>14</v>
      </c>
      <c r="B1981" s="3">
        <v>4</v>
      </c>
      <c r="C1981" s="3">
        <v>77</v>
      </c>
      <c r="D1981" s="3">
        <v>34</v>
      </c>
      <c r="E1981" s="3">
        <v>-146.314</v>
      </c>
      <c r="F1981" s="4" t="str">
        <f>HYPERLINK("http://141.218.60.56/~jnz1568/getInfo.php?workbook=14_04.xlsx&amp;sheet=A0&amp;row=1981&amp;col=6&amp;number=29540&amp;sourceID=14","29540")</f>
        <v>29540</v>
      </c>
      <c r="G1981" s="4" t="str">
        <f>HYPERLINK("http://141.218.60.56/~jnz1568/getInfo.php?workbook=14_04.xlsx&amp;sheet=A0&amp;row=1981&amp;col=7&amp;number=0&amp;sourceID=14","0")</f>
        <v>0</v>
      </c>
    </row>
    <row r="1982" spans="1:7">
      <c r="A1982" s="3">
        <v>14</v>
      </c>
      <c r="B1982" s="3">
        <v>4</v>
      </c>
      <c r="C1982" s="3">
        <v>78</v>
      </c>
      <c r="D1982" s="3">
        <v>34</v>
      </c>
      <c r="E1982" s="3">
        <v>-146.149</v>
      </c>
      <c r="F1982" s="4" t="str">
        <f>HYPERLINK("http://141.218.60.56/~jnz1568/getInfo.php?workbook=14_04.xlsx&amp;sheet=A0&amp;row=1982&amp;col=6&amp;number=224200&amp;sourceID=14","224200")</f>
        <v>224200</v>
      </c>
      <c r="G1982" s="4" t="str">
        <f>HYPERLINK("http://141.218.60.56/~jnz1568/getInfo.php?workbook=14_04.xlsx&amp;sheet=A0&amp;row=1982&amp;col=7&amp;number=0&amp;sourceID=14","0")</f>
        <v>0</v>
      </c>
    </row>
    <row r="1983" spans="1:7">
      <c r="A1983" s="3">
        <v>14</v>
      </c>
      <c r="B1983" s="3">
        <v>4</v>
      </c>
      <c r="C1983" s="3">
        <v>81</v>
      </c>
      <c r="D1983" s="3">
        <v>34</v>
      </c>
      <c r="E1983" s="3">
        <v>-143.929</v>
      </c>
      <c r="F1983" s="4" t="str">
        <f>HYPERLINK("http://141.218.60.56/~jnz1568/getInfo.php?workbook=14_04.xlsx&amp;sheet=A0&amp;row=1983&amp;col=6&amp;number=14030&amp;sourceID=14","14030")</f>
        <v>14030</v>
      </c>
      <c r="G1983" s="4" t="str">
        <f>HYPERLINK("http://141.218.60.56/~jnz1568/getInfo.php?workbook=14_04.xlsx&amp;sheet=A0&amp;row=1983&amp;col=7&amp;number=0&amp;sourceID=14","0")</f>
        <v>0</v>
      </c>
    </row>
    <row r="1984" spans="1:7">
      <c r="A1984" s="3">
        <v>14</v>
      </c>
      <c r="B1984" s="3">
        <v>4</v>
      </c>
      <c r="C1984" s="3">
        <v>82</v>
      </c>
      <c r="D1984" s="3">
        <v>34</v>
      </c>
      <c r="E1984" s="3">
        <v>-143.571</v>
      </c>
      <c r="F1984" s="4" t="str">
        <f>HYPERLINK("http://141.218.60.56/~jnz1568/getInfo.php?workbook=14_04.xlsx&amp;sheet=A0&amp;row=1984&amp;col=6&amp;number=1108&amp;sourceID=14","1108")</f>
        <v>1108</v>
      </c>
      <c r="G1984" s="4" t="str">
        <f>HYPERLINK("http://141.218.60.56/~jnz1568/getInfo.php?workbook=14_04.xlsx&amp;sheet=A0&amp;row=1984&amp;col=7&amp;number=0&amp;sourceID=14","0")</f>
        <v>0</v>
      </c>
    </row>
    <row r="1985" spans="1:7">
      <c r="A1985" s="3">
        <v>14</v>
      </c>
      <c r="B1985" s="3">
        <v>4</v>
      </c>
      <c r="C1985" s="3">
        <v>86</v>
      </c>
      <c r="D1985" s="3">
        <v>34</v>
      </c>
      <c r="E1985" s="3">
        <v>-129.52</v>
      </c>
      <c r="F1985" s="4" t="str">
        <f>HYPERLINK("http://141.218.60.56/~jnz1568/getInfo.php?workbook=14_04.xlsx&amp;sheet=A0&amp;row=1985&amp;col=6&amp;number=147200&amp;sourceID=14","147200")</f>
        <v>147200</v>
      </c>
      <c r="G1985" s="4" t="str">
        <f>HYPERLINK("http://141.218.60.56/~jnz1568/getInfo.php?workbook=14_04.xlsx&amp;sheet=A0&amp;row=1985&amp;col=7&amp;number=0&amp;sourceID=14","0")</f>
        <v>0</v>
      </c>
    </row>
    <row r="1986" spans="1:7">
      <c r="A1986" s="3">
        <v>14</v>
      </c>
      <c r="B1986" s="3">
        <v>4</v>
      </c>
      <c r="C1986" s="3">
        <v>87</v>
      </c>
      <c r="D1986" s="3">
        <v>34</v>
      </c>
      <c r="E1986" s="3">
        <v>-129.472</v>
      </c>
      <c r="F1986" s="4" t="str">
        <f>HYPERLINK("http://141.218.60.56/~jnz1568/getInfo.php?workbook=14_04.xlsx&amp;sheet=A0&amp;row=1986&amp;col=6&amp;number=43850&amp;sourceID=14","43850")</f>
        <v>43850</v>
      </c>
      <c r="G1986" s="4" t="str">
        <f>HYPERLINK("http://141.218.60.56/~jnz1568/getInfo.php?workbook=14_04.xlsx&amp;sheet=A0&amp;row=1986&amp;col=7&amp;number=0&amp;sourceID=14","0")</f>
        <v>0</v>
      </c>
    </row>
    <row r="1987" spans="1:7">
      <c r="A1987" s="3">
        <v>14</v>
      </c>
      <c r="B1987" s="3">
        <v>4</v>
      </c>
      <c r="C1987" s="3">
        <v>88</v>
      </c>
      <c r="D1987" s="3">
        <v>34</v>
      </c>
      <c r="E1987" s="3">
        <v>-129.044</v>
      </c>
      <c r="F1987" s="4" t="str">
        <f>HYPERLINK("http://141.218.60.56/~jnz1568/getInfo.php?workbook=14_04.xlsx&amp;sheet=A0&amp;row=1987&amp;col=6&amp;number=4470&amp;sourceID=14","4470")</f>
        <v>4470</v>
      </c>
      <c r="G1987" s="4" t="str">
        <f>HYPERLINK("http://141.218.60.56/~jnz1568/getInfo.php?workbook=14_04.xlsx&amp;sheet=A0&amp;row=1987&amp;col=7&amp;number=0&amp;sourceID=14","0")</f>
        <v>0</v>
      </c>
    </row>
    <row r="1988" spans="1:7">
      <c r="A1988" s="3">
        <v>14</v>
      </c>
      <c r="B1988" s="3">
        <v>4</v>
      </c>
      <c r="C1988" s="3">
        <v>90</v>
      </c>
      <c r="D1988" s="3">
        <v>34</v>
      </c>
      <c r="E1988" s="3">
        <v>-128.108</v>
      </c>
      <c r="F1988" s="4" t="str">
        <f>HYPERLINK("http://141.218.60.56/~jnz1568/getInfo.php?workbook=14_04.xlsx&amp;sheet=A0&amp;row=1988&amp;col=6&amp;number=609000000&amp;sourceID=14","609000000")</f>
        <v>609000000</v>
      </c>
      <c r="G1988" s="4" t="str">
        <f>HYPERLINK("http://141.218.60.56/~jnz1568/getInfo.php?workbook=14_04.xlsx&amp;sheet=A0&amp;row=1988&amp;col=7&amp;number=0&amp;sourceID=14","0")</f>
        <v>0</v>
      </c>
    </row>
    <row r="1989" spans="1:7">
      <c r="A1989" s="3">
        <v>14</v>
      </c>
      <c r="B1989" s="3">
        <v>4</v>
      </c>
      <c r="C1989" s="3">
        <v>91</v>
      </c>
      <c r="D1989" s="3">
        <v>34</v>
      </c>
      <c r="E1989" s="3">
        <v>-128.095</v>
      </c>
      <c r="F1989" s="4" t="str">
        <f>HYPERLINK("http://141.218.60.56/~jnz1568/getInfo.php?workbook=14_04.xlsx&amp;sheet=A0&amp;row=1989&amp;col=6&amp;number=51150000&amp;sourceID=14","51150000")</f>
        <v>51150000</v>
      </c>
      <c r="G1989" s="4" t="str">
        <f>HYPERLINK("http://141.218.60.56/~jnz1568/getInfo.php?workbook=14_04.xlsx&amp;sheet=A0&amp;row=1989&amp;col=7&amp;number=0&amp;sourceID=14","0")</f>
        <v>0</v>
      </c>
    </row>
    <row r="1990" spans="1:7">
      <c r="A1990" s="3">
        <v>14</v>
      </c>
      <c r="B1990" s="3">
        <v>4</v>
      </c>
      <c r="C1990" s="3">
        <v>92</v>
      </c>
      <c r="D1990" s="3">
        <v>34</v>
      </c>
      <c r="E1990" s="3">
        <v>-127.303</v>
      </c>
      <c r="F1990" s="4" t="str">
        <f>HYPERLINK("http://141.218.60.56/~jnz1568/getInfo.php?workbook=14_04.xlsx&amp;sheet=A0&amp;row=1990&amp;col=6&amp;number=5439000&amp;sourceID=14","5439000")</f>
        <v>5439000</v>
      </c>
      <c r="G1990" s="4" t="str">
        <f>HYPERLINK("http://141.218.60.56/~jnz1568/getInfo.php?workbook=14_04.xlsx&amp;sheet=A0&amp;row=1990&amp;col=7&amp;number=0&amp;sourceID=14","0")</f>
        <v>0</v>
      </c>
    </row>
    <row r="1991" spans="1:7">
      <c r="A1991" s="3">
        <v>14</v>
      </c>
      <c r="B1991" s="3">
        <v>4</v>
      </c>
      <c r="C1991" s="3">
        <v>36</v>
      </c>
      <c r="D1991" s="3">
        <v>35</v>
      </c>
      <c r="E1991" s="3">
        <v>-56272.741</v>
      </c>
      <c r="F1991" s="4" t="str">
        <f>HYPERLINK("http://141.218.60.56/~jnz1568/getInfo.php?workbook=14_04.xlsx&amp;sheet=A0&amp;row=1991&amp;col=6&amp;number=2.034e-09&amp;sourceID=14","2.034e-09")</f>
        <v>2.034e-09</v>
      </c>
      <c r="G1991" s="4" t="str">
        <f>HYPERLINK("http://141.218.60.56/~jnz1568/getInfo.php?workbook=14_04.xlsx&amp;sheet=A0&amp;row=1991&amp;col=7&amp;number=0&amp;sourceID=14","0")</f>
        <v>0</v>
      </c>
    </row>
    <row r="1992" spans="1:7">
      <c r="A1992" s="3">
        <v>14</v>
      </c>
      <c r="B1992" s="3">
        <v>4</v>
      </c>
      <c r="C1992" s="3">
        <v>37</v>
      </c>
      <c r="D1992" s="3">
        <v>35</v>
      </c>
      <c r="E1992" s="3">
        <v>13550.16</v>
      </c>
      <c r="F1992" s="4" t="str">
        <f>HYPERLINK("http://141.218.60.56/~jnz1568/getInfo.php?workbook=14_04.xlsx&amp;sheet=A0&amp;row=1992&amp;col=6&amp;number=42360&amp;sourceID=14","42360")</f>
        <v>42360</v>
      </c>
      <c r="G1992" s="4" t="str">
        <f>HYPERLINK("http://141.218.60.56/~jnz1568/getInfo.php?workbook=14_04.xlsx&amp;sheet=A0&amp;row=1992&amp;col=7&amp;number=0&amp;sourceID=14","0")</f>
        <v>0</v>
      </c>
    </row>
    <row r="1993" spans="1:7">
      <c r="A1993" s="3">
        <v>14</v>
      </c>
      <c r="B1993" s="3">
        <v>4</v>
      </c>
      <c r="C1993" s="3">
        <v>38</v>
      </c>
      <c r="D1993" s="3">
        <v>35</v>
      </c>
      <c r="E1993" s="3">
        <v>-4724.784</v>
      </c>
      <c r="F1993" s="4" t="str">
        <f>HYPERLINK("http://141.218.60.56/~jnz1568/getInfo.php?workbook=14_04.xlsx&amp;sheet=A0&amp;row=1993&amp;col=6&amp;number=3.357&amp;sourceID=14","3.357")</f>
        <v>3.357</v>
      </c>
      <c r="G1993" s="4" t="str">
        <f>HYPERLINK("http://141.218.60.56/~jnz1568/getInfo.php?workbook=14_04.xlsx&amp;sheet=A0&amp;row=1993&amp;col=7&amp;number=0&amp;sourceID=14","0")</f>
        <v>0</v>
      </c>
    </row>
    <row r="1994" spans="1:7">
      <c r="A1994" s="3">
        <v>14</v>
      </c>
      <c r="B1994" s="3">
        <v>4</v>
      </c>
      <c r="C1994" s="3">
        <v>39</v>
      </c>
      <c r="D1994" s="3">
        <v>35</v>
      </c>
      <c r="E1994" s="3">
        <v>5619.566</v>
      </c>
      <c r="F1994" s="4" t="str">
        <f>HYPERLINK("http://141.218.60.56/~jnz1568/getInfo.php?workbook=14_04.xlsx&amp;sheet=A0&amp;row=1994&amp;col=6&amp;number=1.25&amp;sourceID=14","1.25")</f>
        <v>1.25</v>
      </c>
      <c r="G1994" s="4" t="str">
        <f>HYPERLINK("http://141.218.60.56/~jnz1568/getInfo.php?workbook=14_04.xlsx&amp;sheet=A0&amp;row=1994&amp;col=7&amp;number=0&amp;sourceID=14","0")</f>
        <v>0</v>
      </c>
    </row>
    <row r="1995" spans="1:7">
      <c r="A1995" s="3">
        <v>14</v>
      </c>
      <c r="B1995" s="3">
        <v>4</v>
      </c>
      <c r="C1995" s="3">
        <v>40</v>
      </c>
      <c r="D1995" s="3">
        <v>35</v>
      </c>
      <c r="E1995" s="3">
        <v>4804.929</v>
      </c>
      <c r="F1995" s="4" t="str">
        <f>HYPERLINK("http://141.218.60.56/~jnz1568/getInfo.php?workbook=14_04.xlsx&amp;sheet=A0&amp;row=1995&amp;col=6&amp;number=0.1693&amp;sourceID=14","0.1693")</f>
        <v>0.1693</v>
      </c>
      <c r="G1995" s="4" t="str">
        <f>HYPERLINK("http://141.218.60.56/~jnz1568/getInfo.php?workbook=14_04.xlsx&amp;sheet=A0&amp;row=1995&amp;col=7&amp;number=0&amp;sourceID=14","0")</f>
        <v>0</v>
      </c>
    </row>
    <row r="1996" spans="1:7">
      <c r="A1996" s="3">
        <v>14</v>
      </c>
      <c r="B1996" s="3">
        <v>4</v>
      </c>
      <c r="C1996" s="3">
        <v>41</v>
      </c>
      <c r="D1996" s="3">
        <v>35</v>
      </c>
      <c r="E1996" s="3">
        <v>3151.597</v>
      </c>
      <c r="F1996" s="4" t="str">
        <f>HYPERLINK("http://141.218.60.56/~jnz1568/getInfo.php?workbook=14_04.xlsx&amp;sheet=A0&amp;row=1996&amp;col=6&amp;number=6.029&amp;sourceID=14","6.029")</f>
        <v>6.029</v>
      </c>
      <c r="G1996" s="4" t="str">
        <f>HYPERLINK("http://141.218.60.56/~jnz1568/getInfo.php?workbook=14_04.xlsx&amp;sheet=A0&amp;row=1996&amp;col=7&amp;number=0&amp;sourceID=14","0")</f>
        <v>0</v>
      </c>
    </row>
    <row r="1997" spans="1:7">
      <c r="A1997" s="3">
        <v>14</v>
      </c>
      <c r="B1997" s="3">
        <v>4</v>
      </c>
      <c r="C1997" s="3">
        <v>42</v>
      </c>
      <c r="D1997" s="3">
        <v>35</v>
      </c>
      <c r="E1997" s="3">
        <v>3472.831</v>
      </c>
      <c r="F1997" s="4" t="str">
        <f>HYPERLINK("http://141.218.60.56/~jnz1568/getInfo.php?workbook=14_04.xlsx&amp;sheet=A0&amp;row=1997&amp;col=6&amp;number=1.963&amp;sourceID=14","1.963")</f>
        <v>1.963</v>
      </c>
      <c r="G1997" s="4" t="str">
        <f>HYPERLINK("http://141.218.60.56/~jnz1568/getInfo.php?workbook=14_04.xlsx&amp;sheet=A0&amp;row=1997&amp;col=7&amp;number=0&amp;sourceID=14","0")</f>
        <v>0</v>
      </c>
    </row>
    <row r="1998" spans="1:7">
      <c r="A1998" s="3">
        <v>14</v>
      </c>
      <c r="B1998" s="3">
        <v>4</v>
      </c>
      <c r="C1998" s="3">
        <v>43</v>
      </c>
      <c r="D1998" s="3">
        <v>35</v>
      </c>
      <c r="E1998" s="3">
        <v>3142.782</v>
      </c>
      <c r="F1998" s="4" t="str">
        <f>HYPERLINK("http://141.218.60.56/~jnz1568/getInfo.php?workbook=14_04.xlsx&amp;sheet=A0&amp;row=1998&amp;col=6&amp;number=0.0794&amp;sourceID=14","0.0794")</f>
        <v>0.0794</v>
      </c>
      <c r="G1998" s="4" t="str">
        <f>HYPERLINK("http://141.218.60.56/~jnz1568/getInfo.php?workbook=14_04.xlsx&amp;sheet=A0&amp;row=1998&amp;col=7&amp;number=0&amp;sourceID=14","0")</f>
        <v>0</v>
      </c>
    </row>
    <row r="1999" spans="1:7">
      <c r="A1999" s="3">
        <v>14</v>
      </c>
      <c r="B1999" s="3">
        <v>4</v>
      </c>
      <c r="C1999" s="3">
        <v>45</v>
      </c>
      <c r="D1999" s="3">
        <v>35</v>
      </c>
      <c r="E1999" s="3">
        <v>1727.417</v>
      </c>
      <c r="F1999" s="4" t="str">
        <f>HYPERLINK("http://141.218.60.56/~jnz1568/getInfo.php?workbook=14_04.xlsx&amp;sheet=A0&amp;row=1999&amp;col=6&amp;number=5.156&amp;sourceID=14","5.156")</f>
        <v>5.156</v>
      </c>
      <c r="G1999" s="4" t="str">
        <f>HYPERLINK("http://141.218.60.56/~jnz1568/getInfo.php?workbook=14_04.xlsx&amp;sheet=A0&amp;row=1999&amp;col=7&amp;number=0&amp;sourceID=14","0")</f>
        <v>0</v>
      </c>
    </row>
    <row r="2000" spans="1:7">
      <c r="A2000" s="3">
        <v>14</v>
      </c>
      <c r="B2000" s="3">
        <v>4</v>
      </c>
      <c r="C2000" s="3">
        <v>46</v>
      </c>
      <c r="D2000" s="3">
        <v>35</v>
      </c>
      <c r="E2000" s="3">
        <v>1701.002</v>
      </c>
      <c r="F2000" s="4" t="str">
        <f>HYPERLINK("http://141.218.60.56/~jnz1568/getInfo.php?workbook=14_04.xlsx&amp;sheet=A0&amp;row=2000&amp;col=6&amp;number=14.95&amp;sourceID=14","14.95")</f>
        <v>14.95</v>
      </c>
      <c r="G2000" s="4" t="str">
        <f>HYPERLINK("http://141.218.60.56/~jnz1568/getInfo.php?workbook=14_04.xlsx&amp;sheet=A0&amp;row=2000&amp;col=7&amp;number=0&amp;sourceID=14","0")</f>
        <v>0</v>
      </c>
    </row>
    <row r="2001" spans="1:7">
      <c r="A2001" s="3">
        <v>14</v>
      </c>
      <c r="B2001" s="3">
        <v>4</v>
      </c>
      <c r="C2001" s="3">
        <v>47</v>
      </c>
      <c r="D2001" s="3">
        <v>35</v>
      </c>
      <c r="E2001" s="3">
        <v>242.835</v>
      </c>
      <c r="F2001" s="4" t="str">
        <f>HYPERLINK("http://141.218.60.56/~jnz1568/getInfo.php?workbook=14_04.xlsx&amp;sheet=A0&amp;row=2001&amp;col=6&amp;number=746500&amp;sourceID=14","746500")</f>
        <v>746500</v>
      </c>
      <c r="G2001" s="4" t="str">
        <f>HYPERLINK("http://141.218.60.56/~jnz1568/getInfo.php?workbook=14_04.xlsx&amp;sheet=A0&amp;row=2001&amp;col=7&amp;number=0&amp;sourceID=14","0")</f>
        <v>0</v>
      </c>
    </row>
    <row r="2002" spans="1:7">
      <c r="A2002" s="3">
        <v>14</v>
      </c>
      <c r="B2002" s="3">
        <v>4</v>
      </c>
      <c r="C2002" s="3">
        <v>49</v>
      </c>
      <c r="D2002" s="3">
        <v>35</v>
      </c>
      <c r="E2002" s="3">
        <v>216.988</v>
      </c>
      <c r="F2002" s="4" t="str">
        <f>HYPERLINK("http://141.218.60.56/~jnz1568/getInfo.php?workbook=14_04.xlsx&amp;sheet=A0&amp;row=2002&amp;col=6&amp;number=844.9&amp;sourceID=14","844.9")</f>
        <v>844.9</v>
      </c>
      <c r="G2002" s="4" t="str">
        <f>HYPERLINK("http://141.218.60.56/~jnz1568/getInfo.php?workbook=14_04.xlsx&amp;sheet=A0&amp;row=2002&amp;col=7&amp;number=0&amp;sourceID=14","0")</f>
        <v>0</v>
      </c>
    </row>
    <row r="2003" spans="1:7">
      <c r="A2003" s="3">
        <v>14</v>
      </c>
      <c r="B2003" s="3">
        <v>4</v>
      </c>
      <c r="C2003" s="3">
        <v>50</v>
      </c>
      <c r="D2003" s="3">
        <v>35</v>
      </c>
      <c r="E2003" s="3">
        <v>216.988</v>
      </c>
      <c r="F2003" s="4" t="str">
        <f>HYPERLINK("http://141.218.60.56/~jnz1568/getInfo.php?workbook=14_04.xlsx&amp;sheet=A0&amp;row=2003&amp;col=6&amp;number=1372&amp;sourceID=14","1372")</f>
        <v>1372</v>
      </c>
      <c r="G2003" s="4" t="str">
        <f>HYPERLINK("http://141.218.60.56/~jnz1568/getInfo.php?workbook=14_04.xlsx&amp;sheet=A0&amp;row=2003&amp;col=7&amp;number=0&amp;sourceID=14","0")</f>
        <v>0</v>
      </c>
    </row>
    <row r="2004" spans="1:7">
      <c r="A2004" s="3">
        <v>14</v>
      </c>
      <c r="B2004" s="3">
        <v>4</v>
      </c>
      <c r="C2004" s="3">
        <v>51</v>
      </c>
      <c r="D2004" s="3">
        <v>35</v>
      </c>
      <c r="E2004" s="3">
        <v>216.653</v>
      </c>
      <c r="F2004" s="4" t="str">
        <f>HYPERLINK("http://141.218.60.56/~jnz1568/getInfo.php?workbook=14_04.xlsx&amp;sheet=A0&amp;row=2004&amp;col=6&amp;number=4.966&amp;sourceID=14","4.966")</f>
        <v>4.966</v>
      </c>
      <c r="G2004" s="4" t="str">
        <f>HYPERLINK("http://141.218.60.56/~jnz1568/getInfo.php?workbook=14_04.xlsx&amp;sheet=A0&amp;row=2004&amp;col=7&amp;number=0&amp;sourceID=14","0")</f>
        <v>0</v>
      </c>
    </row>
    <row r="2005" spans="1:7">
      <c r="A2005" s="3">
        <v>14</v>
      </c>
      <c r="B2005" s="3">
        <v>4</v>
      </c>
      <c r="C2005" s="3">
        <v>52</v>
      </c>
      <c r="D2005" s="3">
        <v>35</v>
      </c>
      <c r="E2005" s="3">
        <v>218.645</v>
      </c>
      <c r="F2005" s="4" t="str">
        <f>HYPERLINK("http://141.218.60.56/~jnz1568/getInfo.php?workbook=14_04.xlsx&amp;sheet=A0&amp;row=2005&amp;col=6&amp;number=855&amp;sourceID=14","855")</f>
        <v>855</v>
      </c>
      <c r="G2005" s="4" t="str">
        <f>HYPERLINK("http://141.218.60.56/~jnz1568/getInfo.php?workbook=14_04.xlsx&amp;sheet=A0&amp;row=2005&amp;col=7&amp;number=0&amp;sourceID=14","0")</f>
        <v>0</v>
      </c>
    </row>
    <row r="2006" spans="1:7">
      <c r="A2006" s="3">
        <v>14</v>
      </c>
      <c r="B2006" s="3">
        <v>4</v>
      </c>
      <c r="C2006" s="3">
        <v>53</v>
      </c>
      <c r="D2006" s="3">
        <v>35</v>
      </c>
      <c r="E2006" s="3">
        <v>211.257</v>
      </c>
      <c r="F2006" s="4" t="str">
        <f>HYPERLINK("http://141.218.60.56/~jnz1568/getInfo.php?workbook=14_04.xlsx&amp;sheet=A0&amp;row=2006&amp;col=6&amp;number=45440000&amp;sourceID=14","45440000")</f>
        <v>45440000</v>
      </c>
      <c r="G2006" s="4" t="str">
        <f>HYPERLINK("http://141.218.60.56/~jnz1568/getInfo.php?workbook=14_04.xlsx&amp;sheet=A0&amp;row=2006&amp;col=7&amp;number=0&amp;sourceID=14","0")</f>
        <v>0</v>
      </c>
    </row>
    <row r="2007" spans="1:7">
      <c r="A2007" s="3">
        <v>14</v>
      </c>
      <c r="B2007" s="3">
        <v>4</v>
      </c>
      <c r="C2007" s="3">
        <v>54</v>
      </c>
      <c r="D2007" s="3">
        <v>35</v>
      </c>
      <c r="E2007" s="3">
        <v>211.27</v>
      </c>
      <c r="F2007" s="4" t="str">
        <f>HYPERLINK("http://141.218.60.56/~jnz1568/getInfo.php?workbook=14_04.xlsx&amp;sheet=A0&amp;row=2007&amp;col=6&amp;number=12280000&amp;sourceID=14","12280000")</f>
        <v>12280000</v>
      </c>
      <c r="G2007" s="4" t="str">
        <f>HYPERLINK("http://141.218.60.56/~jnz1568/getInfo.php?workbook=14_04.xlsx&amp;sheet=A0&amp;row=2007&amp;col=7&amp;number=0&amp;sourceID=14","0")</f>
        <v>0</v>
      </c>
    </row>
    <row r="2008" spans="1:7">
      <c r="A2008" s="3">
        <v>14</v>
      </c>
      <c r="B2008" s="3">
        <v>4</v>
      </c>
      <c r="C2008" s="3">
        <v>55</v>
      </c>
      <c r="D2008" s="3">
        <v>35</v>
      </c>
      <c r="E2008" s="3">
        <v>210.902</v>
      </c>
      <c r="F2008" s="4" t="str">
        <f>HYPERLINK("http://141.218.60.56/~jnz1568/getInfo.php?workbook=14_04.xlsx&amp;sheet=A0&amp;row=2008&amp;col=6&amp;number=4345000&amp;sourceID=14","4345000")</f>
        <v>4345000</v>
      </c>
      <c r="G2008" s="4" t="str">
        <f>HYPERLINK("http://141.218.60.56/~jnz1568/getInfo.php?workbook=14_04.xlsx&amp;sheet=A0&amp;row=2008&amp;col=7&amp;number=0&amp;sourceID=14","0")</f>
        <v>0</v>
      </c>
    </row>
    <row r="2009" spans="1:7">
      <c r="A2009" s="3">
        <v>14</v>
      </c>
      <c r="B2009" s="3">
        <v>4</v>
      </c>
      <c r="C2009" s="3">
        <v>56</v>
      </c>
      <c r="D2009" s="3">
        <v>35</v>
      </c>
      <c r="E2009" s="3">
        <v>206.234</v>
      </c>
      <c r="F2009" s="4" t="str">
        <f>HYPERLINK("http://141.218.60.56/~jnz1568/getInfo.php?workbook=14_04.xlsx&amp;sheet=A0&amp;row=2009&amp;col=6&amp;number=2948000&amp;sourceID=14","2948000")</f>
        <v>2948000</v>
      </c>
      <c r="G2009" s="4" t="str">
        <f>HYPERLINK("http://141.218.60.56/~jnz1568/getInfo.php?workbook=14_04.xlsx&amp;sheet=A0&amp;row=2009&amp;col=7&amp;number=0&amp;sourceID=14","0")</f>
        <v>0</v>
      </c>
    </row>
    <row r="2010" spans="1:7">
      <c r="A2010" s="3">
        <v>14</v>
      </c>
      <c r="B2010" s="3">
        <v>4</v>
      </c>
      <c r="C2010" s="3">
        <v>57</v>
      </c>
      <c r="D2010" s="3">
        <v>35</v>
      </c>
      <c r="E2010" s="3">
        <v>-160.178</v>
      </c>
      <c r="F2010" s="4" t="str">
        <f>HYPERLINK("http://141.218.60.56/~jnz1568/getInfo.php?workbook=14_04.xlsx&amp;sheet=A0&amp;row=2010&amp;col=6&amp;number=309800&amp;sourceID=14","309800")</f>
        <v>309800</v>
      </c>
      <c r="G2010" s="4" t="str">
        <f>HYPERLINK("http://141.218.60.56/~jnz1568/getInfo.php?workbook=14_04.xlsx&amp;sheet=A0&amp;row=2010&amp;col=7&amp;number=0&amp;sourceID=14","0")</f>
        <v>0</v>
      </c>
    </row>
    <row r="2011" spans="1:7">
      <c r="A2011" s="3">
        <v>14</v>
      </c>
      <c r="B2011" s="3">
        <v>4</v>
      </c>
      <c r="C2011" s="3">
        <v>58</v>
      </c>
      <c r="D2011" s="3">
        <v>35</v>
      </c>
      <c r="E2011" s="3">
        <v>-159.806</v>
      </c>
      <c r="F2011" s="4" t="str">
        <f>HYPERLINK("http://141.218.60.56/~jnz1568/getInfo.php?workbook=14_04.xlsx&amp;sheet=A0&amp;row=2011&amp;col=6&amp;number=2576&amp;sourceID=14","2576")</f>
        <v>2576</v>
      </c>
      <c r="G2011" s="4" t="str">
        <f>HYPERLINK("http://141.218.60.56/~jnz1568/getInfo.php?workbook=14_04.xlsx&amp;sheet=A0&amp;row=2011&amp;col=7&amp;number=0&amp;sourceID=14","0")</f>
        <v>0</v>
      </c>
    </row>
    <row r="2012" spans="1:7">
      <c r="A2012" s="3">
        <v>14</v>
      </c>
      <c r="B2012" s="3">
        <v>4</v>
      </c>
      <c r="C2012" s="3">
        <v>59</v>
      </c>
      <c r="D2012" s="3">
        <v>35</v>
      </c>
      <c r="E2012" s="3">
        <v>160.195</v>
      </c>
      <c r="F2012" s="4" t="str">
        <f>HYPERLINK("http://141.218.60.56/~jnz1568/getInfo.php?workbook=14_04.xlsx&amp;sheet=A0&amp;row=2012&amp;col=6&amp;number=1664&amp;sourceID=14","1664")</f>
        <v>1664</v>
      </c>
      <c r="G2012" s="4" t="str">
        <f>HYPERLINK("http://141.218.60.56/~jnz1568/getInfo.php?workbook=14_04.xlsx&amp;sheet=A0&amp;row=2012&amp;col=7&amp;number=0&amp;sourceID=14","0")</f>
        <v>0</v>
      </c>
    </row>
    <row r="2013" spans="1:7">
      <c r="A2013" s="3">
        <v>14</v>
      </c>
      <c r="B2013" s="3">
        <v>4</v>
      </c>
      <c r="C2013" s="3">
        <v>60</v>
      </c>
      <c r="D2013" s="3">
        <v>35</v>
      </c>
      <c r="E2013" s="3">
        <v>-156.587</v>
      </c>
      <c r="F2013" s="4" t="str">
        <f>HYPERLINK("http://141.218.60.56/~jnz1568/getInfo.php?workbook=14_04.xlsx&amp;sheet=A0&amp;row=2013&amp;col=6&amp;number=539900&amp;sourceID=14","539900")</f>
        <v>539900</v>
      </c>
      <c r="G2013" s="4" t="str">
        <f>HYPERLINK("http://141.218.60.56/~jnz1568/getInfo.php?workbook=14_04.xlsx&amp;sheet=A0&amp;row=2013&amp;col=7&amp;number=0&amp;sourceID=14","0")</f>
        <v>0</v>
      </c>
    </row>
    <row r="2014" spans="1:7">
      <c r="A2014" s="3">
        <v>14</v>
      </c>
      <c r="B2014" s="3">
        <v>4</v>
      </c>
      <c r="C2014" s="3">
        <v>61</v>
      </c>
      <c r="D2014" s="3">
        <v>35</v>
      </c>
      <c r="E2014" s="3">
        <v>-153.714</v>
      </c>
      <c r="F2014" s="4" t="str">
        <f>HYPERLINK("http://141.218.60.56/~jnz1568/getInfo.php?workbook=14_04.xlsx&amp;sheet=A0&amp;row=2014&amp;col=6&amp;number=4580000000&amp;sourceID=14","4580000000")</f>
        <v>4580000000</v>
      </c>
      <c r="G2014" s="4" t="str">
        <f>HYPERLINK("http://141.218.60.56/~jnz1568/getInfo.php?workbook=14_04.xlsx&amp;sheet=A0&amp;row=2014&amp;col=7&amp;number=0&amp;sourceID=14","0")</f>
        <v>0</v>
      </c>
    </row>
    <row r="2015" spans="1:7">
      <c r="A2015" s="3">
        <v>14</v>
      </c>
      <c r="B2015" s="3">
        <v>4</v>
      </c>
      <c r="C2015" s="3">
        <v>62</v>
      </c>
      <c r="D2015" s="3">
        <v>35</v>
      </c>
      <c r="E2015" s="3">
        <v>-154.755</v>
      </c>
      <c r="F2015" s="4" t="str">
        <f>HYPERLINK("http://141.218.60.56/~jnz1568/getInfo.php?workbook=14_04.xlsx&amp;sheet=A0&amp;row=2015&amp;col=6&amp;number=508500000&amp;sourceID=14","508500000")</f>
        <v>508500000</v>
      </c>
      <c r="G2015" s="4" t="str">
        <f>HYPERLINK("http://141.218.60.56/~jnz1568/getInfo.php?workbook=14_04.xlsx&amp;sheet=A0&amp;row=2015&amp;col=7&amp;number=0&amp;sourceID=14","0")</f>
        <v>0</v>
      </c>
    </row>
    <row r="2016" spans="1:7">
      <c r="A2016" s="3">
        <v>14</v>
      </c>
      <c r="B2016" s="3">
        <v>4</v>
      </c>
      <c r="C2016" s="3">
        <v>63</v>
      </c>
      <c r="D2016" s="3">
        <v>35</v>
      </c>
      <c r="E2016" s="3">
        <v>-153.654</v>
      </c>
      <c r="F2016" s="4" t="str">
        <f>HYPERLINK("http://141.218.60.56/~jnz1568/getInfo.php?workbook=14_04.xlsx&amp;sheet=A0&amp;row=2016&amp;col=6&amp;number=11870000&amp;sourceID=14","11870000")</f>
        <v>11870000</v>
      </c>
      <c r="G2016" s="4" t="str">
        <f>HYPERLINK("http://141.218.60.56/~jnz1568/getInfo.php?workbook=14_04.xlsx&amp;sheet=A0&amp;row=2016&amp;col=7&amp;number=0&amp;sourceID=14","0")</f>
        <v>0</v>
      </c>
    </row>
    <row r="2017" spans="1:7">
      <c r="A2017" s="3">
        <v>14</v>
      </c>
      <c r="B2017" s="3">
        <v>4</v>
      </c>
      <c r="C2017" s="3">
        <v>64</v>
      </c>
      <c r="D2017" s="3">
        <v>35</v>
      </c>
      <c r="E2017" s="3">
        <v>-152.383</v>
      </c>
      <c r="F2017" s="4" t="str">
        <f>HYPERLINK("http://141.218.60.56/~jnz1568/getInfo.php?workbook=14_04.xlsx&amp;sheet=A0&amp;row=2017&amp;col=6&amp;number=45400000&amp;sourceID=14","45400000")</f>
        <v>45400000</v>
      </c>
      <c r="G2017" s="4" t="str">
        <f>HYPERLINK("http://141.218.60.56/~jnz1568/getInfo.php?workbook=14_04.xlsx&amp;sheet=A0&amp;row=2017&amp;col=7&amp;number=0&amp;sourceID=14","0")</f>
        <v>0</v>
      </c>
    </row>
    <row r="2018" spans="1:7">
      <c r="A2018" s="3">
        <v>14</v>
      </c>
      <c r="B2018" s="3">
        <v>4</v>
      </c>
      <c r="C2018" s="3">
        <v>65</v>
      </c>
      <c r="D2018" s="3">
        <v>35</v>
      </c>
      <c r="E2018" s="3">
        <v>-151.972</v>
      </c>
      <c r="F2018" s="4" t="str">
        <f>HYPERLINK("http://141.218.60.56/~jnz1568/getInfo.php?workbook=14_04.xlsx&amp;sheet=A0&amp;row=2018&amp;col=6&amp;number=543400000&amp;sourceID=14","543400000")</f>
        <v>543400000</v>
      </c>
      <c r="G2018" s="4" t="str">
        <f>HYPERLINK("http://141.218.60.56/~jnz1568/getInfo.php?workbook=14_04.xlsx&amp;sheet=A0&amp;row=2018&amp;col=7&amp;number=0&amp;sourceID=14","0")</f>
        <v>0</v>
      </c>
    </row>
    <row r="2019" spans="1:7">
      <c r="A2019" s="3">
        <v>14</v>
      </c>
      <c r="B2019" s="3">
        <v>4</v>
      </c>
      <c r="C2019" s="3">
        <v>67</v>
      </c>
      <c r="D2019" s="3">
        <v>35</v>
      </c>
      <c r="E2019" s="3">
        <v>-150.969</v>
      </c>
      <c r="F2019" s="4" t="str">
        <f>HYPERLINK("http://141.218.60.56/~jnz1568/getInfo.php?workbook=14_04.xlsx&amp;sheet=A0&amp;row=2019&amp;col=6&amp;number=16930000&amp;sourceID=14","16930000")</f>
        <v>16930000</v>
      </c>
      <c r="G2019" s="4" t="str">
        <f>HYPERLINK("http://141.218.60.56/~jnz1568/getInfo.php?workbook=14_04.xlsx&amp;sheet=A0&amp;row=2019&amp;col=7&amp;number=0&amp;sourceID=14","0")</f>
        <v>0</v>
      </c>
    </row>
    <row r="2020" spans="1:7">
      <c r="A2020" s="3">
        <v>14</v>
      </c>
      <c r="B2020" s="3">
        <v>4</v>
      </c>
      <c r="C2020" s="3">
        <v>68</v>
      </c>
      <c r="D2020" s="3">
        <v>35</v>
      </c>
      <c r="E2020" s="3">
        <v>-150.789</v>
      </c>
      <c r="F2020" s="4" t="str">
        <f>HYPERLINK("http://141.218.60.56/~jnz1568/getInfo.php?workbook=14_04.xlsx&amp;sheet=A0&amp;row=2020&amp;col=6&amp;number=3185000&amp;sourceID=14","3185000")</f>
        <v>3185000</v>
      </c>
      <c r="G2020" s="4" t="str">
        <f>HYPERLINK("http://141.218.60.56/~jnz1568/getInfo.php?workbook=14_04.xlsx&amp;sheet=A0&amp;row=2020&amp;col=7&amp;number=0&amp;sourceID=14","0")</f>
        <v>0</v>
      </c>
    </row>
    <row r="2021" spans="1:7">
      <c r="A2021" s="3">
        <v>14</v>
      </c>
      <c r="B2021" s="3">
        <v>4</v>
      </c>
      <c r="C2021" s="3">
        <v>69</v>
      </c>
      <c r="D2021" s="3">
        <v>35</v>
      </c>
      <c r="E2021" s="3">
        <v>-150.604</v>
      </c>
      <c r="F2021" s="4" t="str">
        <f>HYPERLINK("http://141.218.60.56/~jnz1568/getInfo.php?workbook=14_04.xlsx&amp;sheet=A0&amp;row=2021&amp;col=6&amp;number=14690&amp;sourceID=14","14690")</f>
        <v>14690</v>
      </c>
      <c r="G2021" s="4" t="str">
        <f>HYPERLINK("http://141.218.60.56/~jnz1568/getInfo.php?workbook=14_04.xlsx&amp;sheet=A0&amp;row=2021&amp;col=7&amp;number=0&amp;sourceID=14","0")</f>
        <v>0</v>
      </c>
    </row>
    <row r="2022" spans="1:7">
      <c r="A2022" s="3">
        <v>14</v>
      </c>
      <c r="B2022" s="3">
        <v>4</v>
      </c>
      <c r="C2022" s="3">
        <v>70</v>
      </c>
      <c r="D2022" s="3">
        <v>35</v>
      </c>
      <c r="E2022" s="3">
        <v>-149.83</v>
      </c>
      <c r="F2022" s="4" t="str">
        <f>HYPERLINK("http://141.218.60.56/~jnz1568/getInfo.php?workbook=14_04.xlsx&amp;sheet=A0&amp;row=2022&amp;col=6&amp;number=5829&amp;sourceID=14","5829")</f>
        <v>5829</v>
      </c>
      <c r="G2022" s="4" t="str">
        <f>HYPERLINK("http://141.218.60.56/~jnz1568/getInfo.php?workbook=14_04.xlsx&amp;sheet=A0&amp;row=2022&amp;col=7&amp;number=0&amp;sourceID=14","0")</f>
        <v>0</v>
      </c>
    </row>
    <row r="2023" spans="1:7">
      <c r="A2023" s="3">
        <v>14</v>
      </c>
      <c r="B2023" s="3">
        <v>4</v>
      </c>
      <c r="C2023" s="3">
        <v>71</v>
      </c>
      <c r="D2023" s="3">
        <v>35</v>
      </c>
      <c r="E2023" s="3">
        <v>-149.513</v>
      </c>
      <c r="F2023" s="4" t="str">
        <f>HYPERLINK("http://141.218.60.56/~jnz1568/getInfo.php?workbook=14_04.xlsx&amp;sheet=A0&amp;row=2023&amp;col=6&amp;number=758300&amp;sourceID=14","758300")</f>
        <v>758300</v>
      </c>
      <c r="G2023" s="4" t="str">
        <f>HYPERLINK("http://141.218.60.56/~jnz1568/getInfo.php?workbook=14_04.xlsx&amp;sheet=A0&amp;row=2023&amp;col=7&amp;number=0&amp;sourceID=14","0")</f>
        <v>0</v>
      </c>
    </row>
    <row r="2024" spans="1:7">
      <c r="A2024" s="3">
        <v>14</v>
      </c>
      <c r="B2024" s="3">
        <v>4</v>
      </c>
      <c r="C2024" s="3">
        <v>72</v>
      </c>
      <c r="D2024" s="3">
        <v>35</v>
      </c>
      <c r="E2024" s="3">
        <v>-149.028</v>
      </c>
      <c r="F2024" s="4" t="str">
        <f>HYPERLINK("http://141.218.60.56/~jnz1568/getInfo.php?workbook=14_04.xlsx&amp;sheet=A0&amp;row=2024&amp;col=6&amp;number=13600000&amp;sourceID=14","13600000")</f>
        <v>13600000</v>
      </c>
      <c r="G2024" s="4" t="str">
        <f>HYPERLINK("http://141.218.60.56/~jnz1568/getInfo.php?workbook=14_04.xlsx&amp;sheet=A0&amp;row=2024&amp;col=7&amp;number=0&amp;sourceID=14","0")</f>
        <v>0</v>
      </c>
    </row>
    <row r="2025" spans="1:7">
      <c r="A2025" s="3">
        <v>14</v>
      </c>
      <c r="B2025" s="3">
        <v>4</v>
      </c>
      <c r="C2025" s="3">
        <v>73</v>
      </c>
      <c r="D2025" s="3">
        <v>35</v>
      </c>
      <c r="E2025" s="3">
        <v>-148.736</v>
      </c>
      <c r="F2025" s="4" t="str">
        <f>HYPERLINK("http://141.218.60.56/~jnz1568/getInfo.php?workbook=14_04.xlsx&amp;sheet=A0&amp;row=2025&amp;col=6&amp;number=5522&amp;sourceID=14","5522")</f>
        <v>5522</v>
      </c>
      <c r="G2025" s="4" t="str">
        <f>HYPERLINK("http://141.218.60.56/~jnz1568/getInfo.php?workbook=14_04.xlsx&amp;sheet=A0&amp;row=2025&amp;col=7&amp;number=0&amp;sourceID=14","0")</f>
        <v>0</v>
      </c>
    </row>
    <row r="2026" spans="1:7">
      <c r="A2026" s="3">
        <v>14</v>
      </c>
      <c r="B2026" s="3">
        <v>4</v>
      </c>
      <c r="C2026" s="3">
        <v>74</v>
      </c>
      <c r="D2026" s="3">
        <v>35</v>
      </c>
      <c r="E2026" s="3">
        <v>-148.403</v>
      </c>
      <c r="F2026" s="4" t="str">
        <f>HYPERLINK("http://141.218.60.56/~jnz1568/getInfo.php?workbook=14_04.xlsx&amp;sheet=A0&amp;row=2026&amp;col=6&amp;number=4164&amp;sourceID=14","4164")</f>
        <v>4164</v>
      </c>
      <c r="G2026" s="4" t="str">
        <f>HYPERLINK("http://141.218.60.56/~jnz1568/getInfo.php?workbook=14_04.xlsx&amp;sheet=A0&amp;row=2026&amp;col=7&amp;number=0&amp;sourceID=14","0")</f>
        <v>0</v>
      </c>
    </row>
    <row r="2027" spans="1:7">
      <c r="A2027" s="3">
        <v>14</v>
      </c>
      <c r="B2027" s="3">
        <v>4</v>
      </c>
      <c r="C2027" s="3">
        <v>75</v>
      </c>
      <c r="D2027" s="3">
        <v>35</v>
      </c>
      <c r="E2027" s="3">
        <v>-147.982</v>
      </c>
      <c r="F2027" s="4" t="str">
        <f>HYPERLINK("http://141.218.60.56/~jnz1568/getInfo.php?workbook=14_04.xlsx&amp;sheet=A0&amp;row=2027&amp;col=6&amp;number=12560&amp;sourceID=14","12560")</f>
        <v>12560</v>
      </c>
      <c r="G2027" s="4" t="str">
        <f>HYPERLINK("http://141.218.60.56/~jnz1568/getInfo.php?workbook=14_04.xlsx&amp;sheet=A0&amp;row=2027&amp;col=7&amp;number=0&amp;sourceID=14","0")</f>
        <v>0</v>
      </c>
    </row>
    <row r="2028" spans="1:7">
      <c r="A2028" s="3">
        <v>14</v>
      </c>
      <c r="B2028" s="3">
        <v>4</v>
      </c>
      <c r="C2028" s="3">
        <v>76</v>
      </c>
      <c r="D2028" s="3">
        <v>35</v>
      </c>
      <c r="E2028" s="3">
        <v>147.188</v>
      </c>
      <c r="F2028" s="4" t="str">
        <f>HYPERLINK("http://141.218.60.56/~jnz1568/getInfo.php?workbook=14_04.xlsx&amp;sheet=A0&amp;row=2028&amp;col=6&amp;number=3575&amp;sourceID=14","3575")</f>
        <v>3575</v>
      </c>
      <c r="G2028" s="4" t="str">
        <f>HYPERLINK("http://141.218.60.56/~jnz1568/getInfo.php?workbook=14_04.xlsx&amp;sheet=A0&amp;row=2028&amp;col=7&amp;number=0&amp;sourceID=14","0")</f>
        <v>0</v>
      </c>
    </row>
    <row r="2029" spans="1:7">
      <c r="A2029" s="3">
        <v>14</v>
      </c>
      <c r="B2029" s="3">
        <v>4</v>
      </c>
      <c r="C2029" s="3">
        <v>77</v>
      </c>
      <c r="D2029" s="3">
        <v>35</v>
      </c>
      <c r="E2029" s="3">
        <v>146.991</v>
      </c>
      <c r="F2029" s="4" t="str">
        <f>HYPERLINK("http://141.218.60.56/~jnz1568/getInfo.php?workbook=14_04.xlsx&amp;sheet=A0&amp;row=2029&amp;col=6&amp;number=7307&amp;sourceID=14","7307")</f>
        <v>7307</v>
      </c>
      <c r="G2029" s="4" t="str">
        <f>HYPERLINK("http://141.218.60.56/~jnz1568/getInfo.php?workbook=14_04.xlsx&amp;sheet=A0&amp;row=2029&amp;col=7&amp;number=0&amp;sourceID=14","0")</f>
        <v>0</v>
      </c>
    </row>
    <row r="2030" spans="1:7">
      <c r="A2030" s="3">
        <v>14</v>
      </c>
      <c r="B2030" s="3">
        <v>4</v>
      </c>
      <c r="C2030" s="3">
        <v>78</v>
      </c>
      <c r="D2030" s="3">
        <v>35</v>
      </c>
      <c r="E2030" s="3">
        <v>-146.698</v>
      </c>
      <c r="F2030" s="4" t="str">
        <f>HYPERLINK("http://141.218.60.56/~jnz1568/getInfo.php?workbook=14_04.xlsx&amp;sheet=A0&amp;row=2030&amp;col=6&amp;number=12320&amp;sourceID=14","12320")</f>
        <v>12320</v>
      </c>
      <c r="G2030" s="4" t="str">
        <f>HYPERLINK("http://141.218.60.56/~jnz1568/getInfo.php?workbook=14_04.xlsx&amp;sheet=A0&amp;row=2030&amp;col=7&amp;number=0&amp;sourceID=14","0")</f>
        <v>0</v>
      </c>
    </row>
    <row r="2031" spans="1:7">
      <c r="A2031" s="3">
        <v>14</v>
      </c>
      <c r="B2031" s="3">
        <v>4</v>
      </c>
      <c r="C2031" s="3">
        <v>79</v>
      </c>
      <c r="D2031" s="3">
        <v>35</v>
      </c>
      <c r="E2031" s="3">
        <v>-146.604</v>
      </c>
      <c r="F2031" s="4" t="str">
        <f>HYPERLINK("http://141.218.60.56/~jnz1568/getInfo.php?workbook=14_04.xlsx&amp;sheet=A0&amp;row=2031&amp;col=6&amp;number=47370&amp;sourceID=14","47370")</f>
        <v>47370</v>
      </c>
      <c r="G2031" s="4" t="str">
        <f>HYPERLINK("http://141.218.60.56/~jnz1568/getInfo.php?workbook=14_04.xlsx&amp;sheet=A0&amp;row=2031&amp;col=7&amp;number=0&amp;sourceID=14","0")</f>
        <v>0</v>
      </c>
    </row>
    <row r="2032" spans="1:7">
      <c r="A2032" s="3">
        <v>14</v>
      </c>
      <c r="B2032" s="3">
        <v>4</v>
      </c>
      <c r="C2032" s="3">
        <v>81</v>
      </c>
      <c r="D2032" s="3">
        <v>35</v>
      </c>
      <c r="E2032" s="3">
        <v>144.835</v>
      </c>
      <c r="F2032" s="4" t="str">
        <f>HYPERLINK("http://141.218.60.56/~jnz1568/getInfo.php?workbook=14_04.xlsx&amp;sheet=A0&amp;row=2032&amp;col=6&amp;number=534100&amp;sourceID=14","534100")</f>
        <v>534100</v>
      </c>
      <c r="G2032" s="4" t="str">
        <f>HYPERLINK("http://141.218.60.56/~jnz1568/getInfo.php?workbook=14_04.xlsx&amp;sheet=A0&amp;row=2032&amp;col=7&amp;number=0&amp;sourceID=14","0")</f>
        <v>0</v>
      </c>
    </row>
    <row r="2033" spans="1:7">
      <c r="A2033" s="3">
        <v>14</v>
      </c>
      <c r="B2033" s="3">
        <v>4</v>
      </c>
      <c r="C2033" s="3">
        <v>82</v>
      </c>
      <c r="D2033" s="3">
        <v>35</v>
      </c>
      <c r="E2033" s="3">
        <v>-144.101</v>
      </c>
      <c r="F2033" s="4" t="str">
        <f>HYPERLINK("http://141.218.60.56/~jnz1568/getInfo.php?workbook=14_04.xlsx&amp;sheet=A0&amp;row=2033&amp;col=6&amp;number=1115000&amp;sourceID=14","1115000")</f>
        <v>1115000</v>
      </c>
      <c r="G2033" s="4" t="str">
        <f>HYPERLINK("http://141.218.60.56/~jnz1568/getInfo.php?workbook=14_04.xlsx&amp;sheet=A0&amp;row=2033&amp;col=7&amp;number=0&amp;sourceID=14","0")</f>
        <v>0</v>
      </c>
    </row>
    <row r="2034" spans="1:7">
      <c r="A2034" s="3">
        <v>14</v>
      </c>
      <c r="B2034" s="3">
        <v>4</v>
      </c>
      <c r="C2034" s="3">
        <v>83</v>
      </c>
      <c r="D2034" s="3">
        <v>35</v>
      </c>
      <c r="E2034" s="3">
        <v>-132.473</v>
      </c>
      <c r="F2034" s="4" t="str">
        <f>HYPERLINK("http://141.218.60.56/~jnz1568/getInfo.php?workbook=14_04.xlsx&amp;sheet=A0&amp;row=2034&amp;col=6&amp;number=2500000&amp;sourceID=14","2500000")</f>
        <v>2500000</v>
      </c>
      <c r="G2034" s="4" t="str">
        <f>HYPERLINK("http://141.218.60.56/~jnz1568/getInfo.php?workbook=14_04.xlsx&amp;sheet=A0&amp;row=2034&amp;col=7&amp;number=0&amp;sourceID=14","0")</f>
        <v>0</v>
      </c>
    </row>
    <row r="2035" spans="1:7">
      <c r="A2035" s="3">
        <v>14</v>
      </c>
      <c r="B2035" s="3">
        <v>4</v>
      </c>
      <c r="C2035" s="3">
        <v>85</v>
      </c>
      <c r="D2035" s="3">
        <v>35</v>
      </c>
      <c r="E2035" s="3">
        <v>-129.972</v>
      </c>
      <c r="F2035" s="4" t="str">
        <f>HYPERLINK("http://141.218.60.56/~jnz1568/getInfo.php?workbook=14_04.xlsx&amp;sheet=A0&amp;row=2035&amp;col=6&amp;number=35060&amp;sourceID=14","35060")</f>
        <v>35060</v>
      </c>
      <c r="G2035" s="4" t="str">
        <f>HYPERLINK("http://141.218.60.56/~jnz1568/getInfo.php?workbook=14_04.xlsx&amp;sheet=A0&amp;row=2035&amp;col=7&amp;number=0&amp;sourceID=14","0")</f>
        <v>0</v>
      </c>
    </row>
    <row r="2036" spans="1:7">
      <c r="A2036" s="3">
        <v>14</v>
      </c>
      <c r="B2036" s="3">
        <v>4</v>
      </c>
      <c r="C2036" s="3">
        <v>86</v>
      </c>
      <c r="D2036" s="3">
        <v>35</v>
      </c>
      <c r="E2036" s="3">
        <v>-129.952</v>
      </c>
      <c r="F2036" s="4" t="str">
        <f>HYPERLINK("http://141.218.60.56/~jnz1568/getInfo.php?workbook=14_04.xlsx&amp;sheet=A0&amp;row=2036&amp;col=6&amp;number=19670&amp;sourceID=14","19670")</f>
        <v>19670</v>
      </c>
      <c r="G2036" s="4" t="str">
        <f>HYPERLINK("http://141.218.60.56/~jnz1568/getInfo.php?workbook=14_04.xlsx&amp;sheet=A0&amp;row=2036&amp;col=7&amp;number=0&amp;sourceID=14","0")</f>
        <v>0</v>
      </c>
    </row>
    <row r="2037" spans="1:7">
      <c r="A2037" s="3">
        <v>14</v>
      </c>
      <c r="B2037" s="3">
        <v>4</v>
      </c>
      <c r="C2037" s="3">
        <v>87</v>
      </c>
      <c r="D2037" s="3">
        <v>35</v>
      </c>
      <c r="E2037" s="3">
        <v>129.067</v>
      </c>
      <c r="F2037" s="4" t="str">
        <f>HYPERLINK("http://141.218.60.56/~jnz1568/getInfo.php?workbook=14_04.xlsx&amp;sheet=A0&amp;row=2037&amp;col=6&amp;number=412.3&amp;sourceID=14","412.3")</f>
        <v>412.3</v>
      </c>
      <c r="G2037" s="4" t="str">
        <f>HYPERLINK("http://141.218.60.56/~jnz1568/getInfo.php?workbook=14_04.xlsx&amp;sheet=A0&amp;row=2037&amp;col=7&amp;number=0&amp;sourceID=14","0")</f>
        <v>0</v>
      </c>
    </row>
    <row r="2038" spans="1:7">
      <c r="A2038" s="3">
        <v>14</v>
      </c>
      <c r="B2038" s="3">
        <v>4</v>
      </c>
      <c r="C2038" s="3">
        <v>88</v>
      </c>
      <c r="D2038" s="3">
        <v>35</v>
      </c>
      <c r="E2038" s="3">
        <v>-129.472</v>
      </c>
      <c r="F2038" s="4" t="str">
        <f>HYPERLINK("http://141.218.60.56/~jnz1568/getInfo.php?workbook=14_04.xlsx&amp;sheet=A0&amp;row=2038&amp;col=6&amp;number=143.1&amp;sourceID=14","143.1")</f>
        <v>143.1</v>
      </c>
      <c r="G2038" s="4" t="str">
        <f>HYPERLINK("http://141.218.60.56/~jnz1568/getInfo.php?workbook=14_04.xlsx&amp;sheet=A0&amp;row=2038&amp;col=7&amp;number=0&amp;sourceID=14","0")</f>
        <v>0</v>
      </c>
    </row>
    <row r="2039" spans="1:7">
      <c r="A2039" s="3">
        <v>14</v>
      </c>
      <c r="B2039" s="3">
        <v>4</v>
      </c>
      <c r="C2039" s="3">
        <v>89</v>
      </c>
      <c r="D2039" s="3">
        <v>35</v>
      </c>
      <c r="E2039" s="3">
        <v>-128.539</v>
      </c>
      <c r="F2039" s="4" t="str">
        <f>HYPERLINK("http://141.218.60.56/~jnz1568/getInfo.php?workbook=14_04.xlsx&amp;sheet=A0&amp;row=2039&amp;col=6&amp;number=127000000&amp;sourceID=14","127000000")</f>
        <v>127000000</v>
      </c>
      <c r="G2039" s="4" t="str">
        <f>HYPERLINK("http://141.218.60.56/~jnz1568/getInfo.php?workbook=14_04.xlsx&amp;sheet=A0&amp;row=2039&amp;col=7&amp;number=0&amp;sourceID=14","0")</f>
        <v>0</v>
      </c>
    </row>
    <row r="2040" spans="1:7">
      <c r="A2040" s="3">
        <v>14</v>
      </c>
      <c r="B2040" s="3">
        <v>4</v>
      </c>
      <c r="C2040" s="3">
        <v>90</v>
      </c>
      <c r="D2040" s="3">
        <v>35</v>
      </c>
      <c r="E2040" s="3">
        <v>128.308</v>
      </c>
      <c r="F2040" s="4" t="str">
        <f>HYPERLINK("http://141.218.60.56/~jnz1568/getInfo.php?workbook=14_04.xlsx&amp;sheet=A0&amp;row=2040&amp;col=6&amp;number=22170000&amp;sourceID=14","22170000")</f>
        <v>22170000</v>
      </c>
      <c r="G2040" s="4" t="str">
        <f>HYPERLINK("http://141.218.60.56/~jnz1568/getInfo.php?workbook=14_04.xlsx&amp;sheet=A0&amp;row=2040&amp;col=7&amp;number=0&amp;sourceID=14","0")</f>
        <v>0</v>
      </c>
    </row>
    <row r="2041" spans="1:7">
      <c r="A2041" s="3">
        <v>14</v>
      </c>
      <c r="B2041" s="3">
        <v>4</v>
      </c>
      <c r="C2041" s="3">
        <v>91</v>
      </c>
      <c r="D2041" s="3">
        <v>35</v>
      </c>
      <c r="E2041" s="3">
        <v>128.322</v>
      </c>
      <c r="F2041" s="4" t="str">
        <f>HYPERLINK("http://141.218.60.56/~jnz1568/getInfo.php?workbook=14_04.xlsx&amp;sheet=A0&amp;row=2041&amp;col=6&amp;number=2935000&amp;sourceID=14","2935000")</f>
        <v>2935000</v>
      </c>
      <c r="G2041" s="4" t="str">
        <f>HYPERLINK("http://141.218.60.56/~jnz1568/getInfo.php?workbook=14_04.xlsx&amp;sheet=A0&amp;row=2041&amp;col=7&amp;number=0&amp;sourceID=14","0")</f>
        <v>0</v>
      </c>
    </row>
    <row r="2042" spans="1:7">
      <c r="A2042" s="3">
        <v>14</v>
      </c>
      <c r="B2042" s="3">
        <v>4</v>
      </c>
      <c r="C2042" s="3">
        <v>92</v>
      </c>
      <c r="D2042" s="3">
        <v>35</v>
      </c>
      <c r="E2042" s="3">
        <v>127.678</v>
      </c>
      <c r="F2042" s="4" t="str">
        <f>HYPERLINK("http://141.218.60.56/~jnz1568/getInfo.php?workbook=14_04.xlsx&amp;sheet=A0&amp;row=2042&amp;col=6&amp;number=30230000&amp;sourceID=14","30230000")</f>
        <v>30230000</v>
      </c>
      <c r="G2042" s="4" t="str">
        <f>HYPERLINK("http://141.218.60.56/~jnz1568/getInfo.php?workbook=14_04.xlsx&amp;sheet=A0&amp;row=2042&amp;col=7&amp;number=0&amp;sourceID=14","0")</f>
        <v>0</v>
      </c>
    </row>
    <row r="2043" spans="1:7">
      <c r="A2043" s="3">
        <v>14</v>
      </c>
      <c r="B2043" s="3">
        <v>4</v>
      </c>
      <c r="C2043" s="3">
        <v>39</v>
      </c>
      <c r="D2043" s="3">
        <v>36</v>
      </c>
      <c r="E2043" s="3">
        <v>-4866.697</v>
      </c>
      <c r="F2043" s="4" t="str">
        <f>HYPERLINK("http://141.218.60.56/~jnz1568/getInfo.php?workbook=14_04.xlsx&amp;sheet=A0&amp;row=2043&amp;col=6&amp;number=0.0002582&amp;sourceID=14","0.0002582")</f>
        <v>0.0002582</v>
      </c>
      <c r="G2043" s="4" t="str">
        <f>HYPERLINK("http://141.218.60.56/~jnz1568/getInfo.php?workbook=14_04.xlsx&amp;sheet=A0&amp;row=2043&amp;col=7&amp;number=0&amp;sourceID=14","0")</f>
        <v>0</v>
      </c>
    </row>
    <row r="2044" spans="1:7">
      <c r="A2044" s="3">
        <v>14</v>
      </c>
      <c r="B2044" s="3">
        <v>4</v>
      </c>
      <c r="C2044" s="3">
        <v>40</v>
      </c>
      <c r="D2044" s="3">
        <v>36</v>
      </c>
      <c r="E2044" s="3">
        <v>-4346.297</v>
      </c>
      <c r="F2044" s="4" t="str">
        <f>HYPERLINK("http://141.218.60.56/~jnz1568/getInfo.php?workbook=14_04.xlsx&amp;sheet=A0&amp;row=2044&amp;col=6&amp;number=2.965&amp;sourceID=14","2.965")</f>
        <v>2.965</v>
      </c>
      <c r="G2044" s="4" t="str">
        <f>HYPERLINK("http://141.218.60.56/~jnz1568/getInfo.php?workbook=14_04.xlsx&amp;sheet=A0&amp;row=2044&amp;col=7&amp;number=0&amp;sourceID=14","0")</f>
        <v>0</v>
      </c>
    </row>
    <row r="2045" spans="1:7">
      <c r="A2045" s="3">
        <v>14</v>
      </c>
      <c r="B2045" s="3">
        <v>4</v>
      </c>
      <c r="C2045" s="3">
        <v>41</v>
      </c>
      <c r="D2045" s="3">
        <v>36</v>
      </c>
      <c r="E2045" s="3">
        <v>-3256.328</v>
      </c>
      <c r="F2045" s="4" t="str">
        <f>HYPERLINK("http://141.218.60.56/~jnz1568/getInfo.php?workbook=14_04.xlsx&amp;sheet=A0&amp;row=2045&amp;col=6&amp;number=0.2874&amp;sourceID=14","0.2874")</f>
        <v>0.2874</v>
      </c>
      <c r="G2045" s="4" t="str">
        <f>HYPERLINK("http://141.218.60.56/~jnz1568/getInfo.php?workbook=14_04.xlsx&amp;sheet=A0&amp;row=2045&amp;col=7&amp;number=0&amp;sourceID=14","0")</f>
        <v>0</v>
      </c>
    </row>
    <row r="2046" spans="1:7">
      <c r="A2046" s="3">
        <v>14</v>
      </c>
      <c r="B2046" s="3">
        <v>4</v>
      </c>
      <c r="C2046" s="3">
        <v>45</v>
      </c>
      <c r="D2046" s="3">
        <v>36</v>
      </c>
      <c r="E2046" s="3">
        <v>-1639.716</v>
      </c>
      <c r="F2046" s="4" t="str">
        <f>HYPERLINK("http://141.218.60.56/~jnz1568/getInfo.php?workbook=14_04.xlsx&amp;sheet=A0&amp;row=2046&amp;col=6&amp;number=10.24&amp;sourceID=14","10.24")</f>
        <v>10.24</v>
      </c>
      <c r="G2046" s="4" t="str">
        <f>HYPERLINK("http://141.218.60.56/~jnz1568/getInfo.php?workbook=14_04.xlsx&amp;sheet=A0&amp;row=2046&amp;col=7&amp;number=0&amp;sourceID=14","0")</f>
        <v>0</v>
      </c>
    </row>
    <row r="2047" spans="1:7">
      <c r="A2047" s="3">
        <v>14</v>
      </c>
      <c r="B2047" s="3">
        <v>4</v>
      </c>
      <c r="C2047" s="3">
        <v>51</v>
      </c>
      <c r="D2047" s="3">
        <v>36</v>
      </c>
      <c r="E2047" s="3">
        <v>-220.204</v>
      </c>
      <c r="F2047" s="4" t="str">
        <f>HYPERLINK("http://141.218.60.56/~jnz1568/getInfo.php?workbook=14_04.xlsx&amp;sheet=A0&amp;row=2047&amp;col=6&amp;number=6354&amp;sourceID=14","6354")</f>
        <v>6354</v>
      </c>
      <c r="G2047" s="4" t="str">
        <f>HYPERLINK("http://141.218.60.56/~jnz1568/getInfo.php?workbook=14_04.xlsx&amp;sheet=A0&amp;row=2047&amp;col=7&amp;number=0&amp;sourceID=14","0")</f>
        <v>0</v>
      </c>
    </row>
    <row r="2048" spans="1:7">
      <c r="A2048" s="3">
        <v>14</v>
      </c>
      <c r="B2048" s="3">
        <v>4</v>
      </c>
      <c r="C2048" s="3">
        <v>55</v>
      </c>
      <c r="D2048" s="3">
        <v>36</v>
      </c>
      <c r="E2048" s="3">
        <v>-212.178</v>
      </c>
      <c r="F2048" s="4" t="str">
        <f>HYPERLINK("http://141.218.60.56/~jnz1568/getInfo.php?workbook=14_04.xlsx&amp;sheet=A0&amp;row=2048&amp;col=6&amp;number=236500000&amp;sourceID=14","236500000")</f>
        <v>236500000</v>
      </c>
      <c r="G2048" s="4" t="str">
        <f>HYPERLINK("http://141.218.60.56/~jnz1568/getInfo.php?workbook=14_04.xlsx&amp;sheet=A0&amp;row=2048&amp;col=7&amp;number=0&amp;sourceID=14","0")</f>
        <v>0</v>
      </c>
    </row>
    <row r="2049" spans="1:7">
      <c r="A2049" s="3">
        <v>14</v>
      </c>
      <c r="B2049" s="3">
        <v>4</v>
      </c>
      <c r="C2049" s="3">
        <v>59</v>
      </c>
      <c r="D2049" s="3">
        <v>36</v>
      </c>
      <c r="E2049" s="3">
        <v>-158.575</v>
      </c>
      <c r="F2049" s="4" t="str">
        <f>HYPERLINK("http://141.218.60.56/~jnz1568/getInfo.php?workbook=14_04.xlsx&amp;sheet=A0&amp;row=2049&amp;col=6&amp;number=717900&amp;sourceID=14","717900")</f>
        <v>717900</v>
      </c>
      <c r="G2049" s="4" t="str">
        <f>HYPERLINK("http://141.218.60.56/~jnz1568/getInfo.php?workbook=14_04.xlsx&amp;sheet=A0&amp;row=2049&amp;col=7&amp;number=0&amp;sourceID=14","0")</f>
        <v>0</v>
      </c>
    </row>
    <row r="2050" spans="1:7">
      <c r="A2050" s="3">
        <v>14</v>
      </c>
      <c r="B2050" s="3">
        <v>4</v>
      </c>
      <c r="C2050" s="3">
        <v>64</v>
      </c>
      <c r="D2050" s="3">
        <v>36</v>
      </c>
      <c r="E2050" s="3">
        <v>-152.797</v>
      </c>
      <c r="F2050" s="4" t="str">
        <f>HYPERLINK("http://141.218.60.56/~jnz1568/getInfo.php?workbook=14_04.xlsx&amp;sheet=A0&amp;row=2050&amp;col=6&amp;number=4840000000&amp;sourceID=14","4840000000")</f>
        <v>4840000000</v>
      </c>
      <c r="G2050" s="4" t="str">
        <f>HYPERLINK("http://141.218.60.56/~jnz1568/getInfo.php?workbook=14_04.xlsx&amp;sheet=A0&amp;row=2050&amp;col=7&amp;number=0&amp;sourceID=14","0")</f>
        <v>0</v>
      </c>
    </row>
    <row r="2051" spans="1:7">
      <c r="A2051" s="3">
        <v>14</v>
      </c>
      <c r="B2051" s="3">
        <v>4</v>
      </c>
      <c r="C2051" s="3">
        <v>69</v>
      </c>
      <c r="D2051" s="3">
        <v>36</v>
      </c>
      <c r="E2051" s="3">
        <v>-151.009</v>
      </c>
      <c r="F2051" s="4" t="str">
        <f>HYPERLINK("http://141.218.60.56/~jnz1568/getInfo.php?workbook=14_04.xlsx&amp;sheet=A0&amp;row=2051&amp;col=6&amp;number=3066&amp;sourceID=14","3066")</f>
        <v>3066</v>
      </c>
      <c r="G2051" s="4" t="str">
        <f>HYPERLINK("http://141.218.60.56/~jnz1568/getInfo.php?workbook=14_04.xlsx&amp;sheet=A0&amp;row=2051&amp;col=7&amp;number=0&amp;sourceID=14","0")</f>
        <v>0</v>
      </c>
    </row>
    <row r="2052" spans="1:7">
      <c r="A2052" s="3">
        <v>14</v>
      </c>
      <c r="B2052" s="3">
        <v>4</v>
      </c>
      <c r="C2052" s="3">
        <v>70</v>
      </c>
      <c r="D2052" s="3">
        <v>36</v>
      </c>
      <c r="E2052" s="3">
        <v>-150.23</v>
      </c>
      <c r="F2052" s="4" t="str">
        <f>HYPERLINK("http://141.218.60.56/~jnz1568/getInfo.php?workbook=14_04.xlsx&amp;sheet=A0&amp;row=2052&amp;col=6&amp;number=112100&amp;sourceID=14","112100")</f>
        <v>112100</v>
      </c>
      <c r="G2052" s="4" t="str">
        <f>HYPERLINK("http://141.218.60.56/~jnz1568/getInfo.php?workbook=14_04.xlsx&amp;sheet=A0&amp;row=2052&amp;col=7&amp;number=0&amp;sourceID=14","0")</f>
        <v>0</v>
      </c>
    </row>
    <row r="2053" spans="1:7">
      <c r="A2053" s="3">
        <v>14</v>
      </c>
      <c r="B2053" s="3">
        <v>4</v>
      </c>
      <c r="C2053" s="3">
        <v>71</v>
      </c>
      <c r="D2053" s="3">
        <v>36</v>
      </c>
      <c r="E2053" s="3">
        <v>-149.912</v>
      </c>
      <c r="F2053" s="4" t="str">
        <f>HYPERLINK("http://141.218.60.56/~jnz1568/getInfo.php?workbook=14_04.xlsx&amp;sheet=A0&amp;row=2053&amp;col=6&amp;number=2333&amp;sourceID=14","2333")</f>
        <v>2333</v>
      </c>
      <c r="G2053" s="4" t="str">
        <f>HYPERLINK("http://141.218.60.56/~jnz1568/getInfo.php?workbook=14_04.xlsx&amp;sheet=A0&amp;row=2053&amp;col=7&amp;number=0&amp;sourceID=14","0")</f>
        <v>0</v>
      </c>
    </row>
    <row r="2054" spans="1:7">
      <c r="A2054" s="3">
        <v>14</v>
      </c>
      <c r="B2054" s="3">
        <v>4</v>
      </c>
      <c r="C2054" s="3">
        <v>73</v>
      </c>
      <c r="D2054" s="3">
        <v>36</v>
      </c>
      <c r="E2054" s="3">
        <v>-149.131</v>
      </c>
      <c r="F2054" s="4" t="str">
        <f>HYPERLINK("http://141.218.60.56/~jnz1568/getInfo.php?workbook=14_04.xlsx&amp;sheet=A0&amp;row=2054&amp;col=6&amp;number=1214000&amp;sourceID=14","1214000")</f>
        <v>1214000</v>
      </c>
      <c r="G2054" s="4" t="str">
        <f>HYPERLINK("http://141.218.60.56/~jnz1568/getInfo.php?workbook=14_04.xlsx&amp;sheet=A0&amp;row=2054&amp;col=7&amp;number=0&amp;sourceID=14","0")</f>
        <v>0</v>
      </c>
    </row>
    <row r="2055" spans="1:7">
      <c r="A2055" s="3">
        <v>14</v>
      </c>
      <c r="B2055" s="3">
        <v>4</v>
      </c>
      <c r="C2055" s="3">
        <v>75</v>
      </c>
      <c r="D2055" s="3">
        <v>36</v>
      </c>
      <c r="E2055" s="3">
        <v>-148.372</v>
      </c>
      <c r="F2055" s="4" t="str">
        <f>HYPERLINK("http://141.218.60.56/~jnz1568/getInfo.php?workbook=14_04.xlsx&amp;sheet=A0&amp;row=2055&amp;col=6&amp;number=26590&amp;sourceID=14","26590")</f>
        <v>26590</v>
      </c>
      <c r="G2055" s="4" t="str">
        <f>HYPERLINK("http://141.218.60.56/~jnz1568/getInfo.php?workbook=14_04.xlsx&amp;sheet=A0&amp;row=2055&amp;col=7&amp;number=0&amp;sourceID=14","0")</f>
        <v>0</v>
      </c>
    </row>
    <row r="2056" spans="1:7">
      <c r="A2056" s="3">
        <v>14</v>
      </c>
      <c r="B2056" s="3">
        <v>4</v>
      </c>
      <c r="C2056" s="3">
        <v>76</v>
      </c>
      <c r="D2056" s="3">
        <v>36</v>
      </c>
      <c r="E2056" s="3">
        <v>-147.78</v>
      </c>
      <c r="F2056" s="4" t="str">
        <f>HYPERLINK("http://141.218.60.56/~jnz1568/getInfo.php?workbook=14_04.xlsx&amp;sheet=A0&amp;row=2056&amp;col=6&amp;number=902800&amp;sourceID=14","902800")</f>
        <v>902800</v>
      </c>
      <c r="G2056" s="4" t="str">
        <f>HYPERLINK("http://141.218.60.56/~jnz1568/getInfo.php?workbook=14_04.xlsx&amp;sheet=A0&amp;row=2056&amp;col=7&amp;number=0&amp;sourceID=14","0")</f>
        <v>0</v>
      </c>
    </row>
    <row r="2057" spans="1:7">
      <c r="A2057" s="3">
        <v>14</v>
      </c>
      <c r="B2057" s="3">
        <v>4</v>
      </c>
      <c r="C2057" s="3">
        <v>77</v>
      </c>
      <c r="D2057" s="3">
        <v>36</v>
      </c>
      <c r="E2057" s="3">
        <v>-147.249</v>
      </c>
      <c r="F2057" s="4" t="str">
        <f>HYPERLINK("http://141.218.60.56/~jnz1568/getInfo.php?workbook=14_04.xlsx&amp;sheet=A0&amp;row=2057&amp;col=6&amp;number=345600&amp;sourceID=14","345600")</f>
        <v>345600</v>
      </c>
      <c r="G2057" s="4" t="str">
        <f>HYPERLINK("http://141.218.60.56/~jnz1568/getInfo.php?workbook=14_04.xlsx&amp;sheet=A0&amp;row=2057&amp;col=7&amp;number=0&amp;sourceID=14","0")</f>
        <v>0</v>
      </c>
    </row>
    <row r="2058" spans="1:7">
      <c r="A2058" s="3">
        <v>14</v>
      </c>
      <c r="B2058" s="3">
        <v>4</v>
      </c>
      <c r="C2058" s="3">
        <v>81</v>
      </c>
      <c r="D2058" s="3">
        <v>36</v>
      </c>
      <c r="E2058" s="3">
        <v>-144.834</v>
      </c>
      <c r="F2058" s="4" t="str">
        <f>HYPERLINK("http://141.218.60.56/~jnz1568/getInfo.php?workbook=14_04.xlsx&amp;sheet=A0&amp;row=2058&amp;col=6&amp;number=2476&amp;sourceID=14","2476")</f>
        <v>2476</v>
      </c>
      <c r="G2058" s="4" t="str">
        <f>HYPERLINK("http://141.218.60.56/~jnz1568/getInfo.php?workbook=14_04.xlsx&amp;sheet=A0&amp;row=2058&amp;col=7&amp;number=0&amp;sourceID=14","0")</f>
        <v>0</v>
      </c>
    </row>
    <row r="2059" spans="1:7">
      <c r="A2059" s="3">
        <v>14</v>
      </c>
      <c r="B2059" s="3">
        <v>4</v>
      </c>
      <c r="C2059" s="3">
        <v>87</v>
      </c>
      <c r="D2059" s="3">
        <v>36</v>
      </c>
      <c r="E2059" s="3">
        <v>-130.204</v>
      </c>
      <c r="F2059" s="4" t="str">
        <f>HYPERLINK("http://141.218.60.56/~jnz1568/getInfo.php?workbook=14_04.xlsx&amp;sheet=A0&amp;row=2059&amp;col=6&amp;number=169800&amp;sourceID=14","169800")</f>
        <v>169800</v>
      </c>
      <c r="G2059" s="4" t="str">
        <f>HYPERLINK("http://141.218.60.56/~jnz1568/getInfo.php?workbook=14_04.xlsx&amp;sheet=A0&amp;row=2059&amp;col=7&amp;number=0&amp;sourceID=14","0")</f>
        <v>0</v>
      </c>
    </row>
    <row r="2060" spans="1:7">
      <c r="A2060" s="3">
        <v>14</v>
      </c>
      <c r="B2060" s="3">
        <v>4</v>
      </c>
      <c r="C2060" s="3">
        <v>91</v>
      </c>
      <c r="D2060" s="3">
        <v>36</v>
      </c>
      <c r="E2060" s="3">
        <v>-128.812</v>
      </c>
      <c r="F2060" s="4" t="str">
        <f>HYPERLINK("http://141.218.60.56/~jnz1568/getInfo.php?workbook=14_04.xlsx&amp;sheet=A0&amp;row=2060&amp;col=6&amp;number=625700000&amp;sourceID=14","625700000")</f>
        <v>625700000</v>
      </c>
      <c r="G2060" s="4" t="str">
        <f>HYPERLINK("http://141.218.60.56/~jnz1568/getInfo.php?workbook=14_04.xlsx&amp;sheet=A0&amp;row=2060&amp;col=7&amp;number=0&amp;sourceID=14","0")</f>
        <v>0</v>
      </c>
    </row>
    <row r="2061" spans="1:7">
      <c r="A2061" s="3">
        <v>14</v>
      </c>
      <c r="B2061" s="3">
        <v>4</v>
      </c>
      <c r="C2061" s="3">
        <v>38</v>
      </c>
      <c r="D2061" s="3">
        <v>37</v>
      </c>
      <c r="E2061" s="3">
        <v>-10393.542</v>
      </c>
      <c r="F2061" s="4" t="str">
        <f>HYPERLINK("http://141.218.60.56/~jnz1568/getInfo.php?workbook=14_04.xlsx&amp;sheet=A0&amp;row=2061&amp;col=6&amp;number=324.3&amp;sourceID=14","324.3")</f>
        <v>324.3</v>
      </c>
      <c r="G2061" s="4" t="str">
        <f>HYPERLINK("http://141.218.60.56/~jnz1568/getInfo.php?workbook=14_04.xlsx&amp;sheet=A0&amp;row=2061&amp;col=7&amp;number=0&amp;sourceID=14","0")</f>
        <v>0</v>
      </c>
    </row>
    <row r="2062" spans="1:7">
      <c r="A2062" s="3">
        <v>14</v>
      </c>
      <c r="B2062" s="3">
        <v>4</v>
      </c>
      <c r="C2062" s="3">
        <v>39</v>
      </c>
      <c r="D2062" s="3">
        <v>37</v>
      </c>
      <c r="E2062" s="3">
        <v>9601.554</v>
      </c>
      <c r="F2062" s="4" t="str">
        <f>HYPERLINK("http://141.218.60.56/~jnz1568/getInfo.php?workbook=14_04.xlsx&amp;sheet=A0&amp;row=2062&amp;col=6&amp;number=460.3&amp;sourceID=14","460.3")</f>
        <v>460.3</v>
      </c>
      <c r="G2062" s="4" t="str">
        <f>HYPERLINK("http://141.218.60.56/~jnz1568/getInfo.php?workbook=14_04.xlsx&amp;sheet=A0&amp;row=2062&amp;col=7&amp;number=0&amp;sourceID=14","0")</f>
        <v>0</v>
      </c>
    </row>
    <row r="2063" spans="1:7">
      <c r="A2063" s="3">
        <v>14</v>
      </c>
      <c r="B2063" s="3">
        <v>4</v>
      </c>
      <c r="C2063" s="3">
        <v>40</v>
      </c>
      <c r="D2063" s="3">
        <v>37</v>
      </c>
      <c r="E2063" s="3">
        <v>7444.921</v>
      </c>
      <c r="F2063" s="4" t="str">
        <f>HYPERLINK("http://141.218.60.56/~jnz1568/getInfo.php?workbook=14_04.xlsx&amp;sheet=A0&amp;row=2063&amp;col=6&amp;number=1970&amp;sourceID=14","1970")</f>
        <v>1970</v>
      </c>
      <c r="G2063" s="4" t="str">
        <f>HYPERLINK("http://141.218.60.56/~jnz1568/getInfo.php?workbook=14_04.xlsx&amp;sheet=A0&amp;row=2063&amp;col=7&amp;number=0&amp;sourceID=14","0")</f>
        <v>0</v>
      </c>
    </row>
    <row r="2064" spans="1:7">
      <c r="A2064" s="3">
        <v>14</v>
      </c>
      <c r="B2064" s="3">
        <v>4</v>
      </c>
      <c r="C2064" s="3">
        <v>41</v>
      </c>
      <c r="D2064" s="3">
        <v>37</v>
      </c>
      <c r="E2064" s="3">
        <v>4106.784</v>
      </c>
      <c r="F2064" s="4" t="str">
        <f>HYPERLINK("http://141.218.60.56/~jnz1568/getInfo.php?workbook=14_04.xlsx&amp;sheet=A0&amp;row=2064&amp;col=6&amp;number=82490&amp;sourceID=14","82490")</f>
        <v>82490</v>
      </c>
      <c r="G2064" s="4" t="str">
        <f>HYPERLINK("http://141.218.60.56/~jnz1568/getInfo.php?workbook=14_04.xlsx&amp;sheet=A0&amp;row=2064&amp;col=7&amp;number=0&amp;sourceID=14","0")</f>
        <v>0</v>
      </c>
    </row>
    <row r="2065" spans="1:7">
      <c r="A2065" s="3">
        <v>14</v>
      </c>
      <c r="B2065" s="3">
        <v>4</v>
      </c>
      <c r="C2065" s="3">
        <v>42</v>
      </c>
      <c r="D2065" s="3">
        <v>37</v>
      </c>
      <c r="E2065" s="3">
        <v>4669.633</v>
      </c>
      <c r="F2065" s="4" t="str">
        <f>HYPERLINK("http://141.218.60.56/~jnz1568/getInfo.php?workbook=14_04.xlsx&amp;sheet=A0&amp;row=2065&amp;col=6&amp;number=353.7&amp;sourceID=14","353.7")</f>
        <v>353.7</v>
      </c>
      <c r="G2065" s="4" t="str">
        <f>HYPERLINK("http://141.218.60.56/~jnz1568/getInfo.php?workbook=14_04.xlsx&amp;sheet=A0&amp;row=2065&amp;col=7&amp;number=0&amp;sourceID=14","0")</f>
        <v>0</v>
      </c>
    </row>
    <row r="2066" spans="1:7">
      <c r="A2066" s="3">
        <v>14</v>
      </c>
      <c r="B2066" s="3">
        <v>4</v>
      </c>
      <c r="C2066" s="3">
        <v>44</v>
      </c>
      <c r="D2066" s="3">
        <v>37</v>
      </c>
      <c r="E2066" s="3">
        <v>-2523.735</v>
      </c>
      <c r="F2066" s="4" t="str">
        <f>HYPERLINK("http://141.218.60.56/~jnz1568/getInfo.php?workbook=14_04.xlsx&amp;sheet=A0&amp;row=2066&amp;col=6&amp;number=11.29&amp;sourceID=14","11.29")</f>
        <v>11.29</v>
      </c>
      <c r="G2066" s="4" t="str">
        <f>HYPERLINK("http://141.218.60.56/~jnz1568/getInfo.php?workbook=14_04.xlsx&amp;sheet=A0&amp;row=2066&amp;col=7&amp;number=0&amp;sourceID=14","0")</f>
        <v>0</v>
      </c>
    </row>
    <row r="2067" spans="1:7">
      <c r="A2067" s="3">
        <v>14</v>
      </c>
      <c r="B2067" s="3">
        <v>4</v>
      </c>
      <c r="C2067" s="3">
        <v>45</v>
      </c>
      <c r="D2067" s="3">
        <v>37</v>
      </c>
      <c r="E2067" s="3">
        <v>1979.81</v>
      </c>
      <c r="F2067" s="4" t="str">
        <f>HYPERLINK("http://141.218.60.56/~jnz1568/getInfo.php?workbook=14_04.xlsx&amp;sheet=A0&amp;row=2067&amp;col=6&amp;number=97430000&amp;sourceID=14","97430000")</f>
        <v>97430000</v>
      </c>
      <c r="G2067" s="4" t="str">
        <f>HYPERLINK("http://141.218.60.56/~jnz1568/getInfo.php?workbook=14_04.xlsx&amp;sheet=A0&amp;row=2067&amp;col=7&amp;number=0&amp;sourceID=14","0")</f>
        <v>0</v>
      </c>
    </row>
    <row r="2068" spans="1:7">
      <c r="A2068" s="3">
        <v>14</v>
      </c>
      <c r="B2068" s="3">
        <v>4</v>
      </c>
      <c r="C2068" s="3">
        <v>46</v>
      </c>
      <c r="D2068" s="3">
        <v>37</v>
      </c>
      <c r="E2068" s="3">
        <v>1945.188</v>
      </c>
      <c r="F2068" s="4" t="str">
        <f>HYPERLINK("http://141.218.60.56/~jnz1568/getInfo.php?workbook=14_04.xlsx&amp;sheet=A0&amp;row=2068&amp;col=6&amp;number=5536000&amp;sourceID=14","5536000")</f>
        <v>5536000</v>
      </c>
      <c r="G2068" s="4" t="str">
        <f>HYPERLINK("http://141.218.60.56/~jnz1568/getInfo.php?workbook=14_04.xlsx&amp;sheet=A0&amp;row=2068&amp;col=7&amp;number=0&amp;sourceID=14","0")</f>
        <v>0</v>
      </c>
    </row>
    <row r="2069" spans="1:7">
      <c r="A2069" s="3">
        <v>14</v>
      </c>
      <c r="B2069" s="3">
        <v>4</v>
      </c>
      <c r="C2069" s="3">
        <v>47</v>
      </c>
      <c r="D2069" s="3">
        <v>37</v>
      </c>
      <c r="E2069" s="3">
        <v>247.266</v>
      </c>
      <c r="F2069" s="4" t="str">
        <f>HYPERLINK("http://141.218.60.56/~jnz1568/getInfo.php?workbook=14_04.xlsx&amp;sheet=A0&amp;row=2069&amp;col=6&amp;number=0.1613&amp;sourceID=14","0.1613")</f>
        <v>0.1613</v>
      </c>
      <c r="G2069" s="4" t="str">
        <f>HYPERLINK("http://141.218.60.56/~jnz1568/getInfo.php?workbook=14_04.xlsx&amp;sheet=A0&amp;row=2069&amp;col=7&amp;number=0&amp;sourceID=14","0")</f>
        <v>0</v>
      </c>
    </row>
    <row r="2070" spans="1:7">
      <c r="A2070" s="3">
        <v>14</v>
      </c>
      <c r="B2070" s="3">
        <v>4</v>
      </c>
      <c r="C2070" s="3">
        <v>48</v>
      </c>
      <c r="D2070" s="3">
        <v>37</v>
      </c>
      <c r="E2070" s="3">
        <v>246.444</v>
      </c>
      <c r="F2070" s="4" t="str">
        <f>HYPERLINK("http://141.218.60.56/~jnz1568/getInfo.php?workbook=14_04.xlsx&amp;sheet=A0&amp;row=2070&amp;col=6&amp;number=8049&amp;sourceID=14","8049")</f>
        <v>8049</v>
      </c>
      <c r="G2070" s="4" t="str">
        <f>HYPERLINK("http://141.218.60.56/~jnz1568/getInfo.php?workbook=14_04.xlsx&amp;sheet=A0&amp;row=2070&amp;col=7&amp;number=0&amp;sourceID=14","0")</f>
        <v>0</v>
      </c>
    </row>
    <row r="2071" spans="1:7">
      <c r="A2071" s="3">
        <v>14</v>
      </c>
      <c r="B2071" s="3">
        <v>4</v>
      </c>
      <c r="C2071" s="3">
        <v>50</v>
      </c>
      <c r="D2071" s="3">
        <v>37</v>
      </c>
      <c r="E2071" s="3">
        <v>220.52</v>
      </c>
      <c r="F2071" s="4" t="str">
        <f>HYPERLINK("http://141.218.60.56/~jnz1568/getInfo.php?workbook=14_04.xlsx&amp;sheet=A0&amp;row=2071&amp;col=6&amp;number=4227000&amp;sourceID=14","4227000")</f>
        <v>4227000</v>
      </c>
      <c r="G2071" s="4" t="str">
        <f>HYPERLINK("http://141.218.60.56/~jnz1568/getInfo.php?workbook=14_04.xlsx&amp;sheet=A0&amp;row=2071&amp;col=7&amp;number=0&amp;sourceID=14","0")</f>
        <v>0</v>
      </c>
    </row>
    <row r="2072" spans="1:7">
      <c r="A2072" s="3">
        <v>14</v>
      </c>
      <c r="B2072" s="3">
        <v>4</v>
      </c>
      <c r="C2072" s="3">
        <v>51</v>
      </c>
      <c r="D2072" s="3">
        <v>37</v>
      </c>
      <c r="E2072" s="3">
        <v>220.173</v>
      </c>
      <c r="F2072" s="4" t="str">
        <f>HYPERLINK("http://141.218.60.56/~jnz1568/getInfo.php?workbook=14_04.xlsx&amp;sheet=A0&amp;row=2072&amp;col=6&amp;number=239300&amp;sourceID=14","239300")</f>
        <v>239300</v>
      </c>
      <c r="G2072" s="4" t="str">
        <f>HYPERLINK("http://141.218.60.56/~jnz1568/getInfo.php?workbook=14_04.xlsx&amp;sheet=A0&amp;row=2072&amp;col=7&amp;number=0&amp;sourceID=14","0")</f>
        <v>0</v>
      </c>
    </row>
    <row r="2073" spans="1:7">
      <c r="A2073" s="3">
        <v>14</v>
      </c>
      <c r="B2073" s="3">
        <v>4</v>
      </c>
      <c r="C2073" s="3">
        <v>52</v>
      </c>
      <c r="D2073" s="3">
        <v>37</v>
      </c>
      <c r="E2073" s="3">
        <v>222.231</v>
      </c>
      <c r="F2073" s="4" t="str">
        <f>HYPERLINK("http://141.218.60.56/~jnz1568/getInfo.php?workbook=14_04.xlsx&amp;sheet=A0&amp;row=2073&amp;col=6&amp;number=428500000&amp;sourceID=14","428500000")</f>
        <v>428500000</v>
      </c>
      <c r="G2073" s="4" t="str">
        <f>HYPERLINK("http://141.218.60.56/~jnz1568/getInfo.php?workbook=14_04.xlsx&amp;sheet=A0&amp;row=2073&amp;col=7&amp;number=0&amp;sourceID=14","0")</f>
        <v>0</v>
      </c>
    </row>
    <row r="2074" spans="1:7">
      <c r="A2074" s="3">
        <v>14</v>
      </c>
      <c r="B2074" s="3">
        <v>4</v>
      </c>
      <c r="C2074" s="3">
        <v>53</v>
      </c>
      <c r="D2074" s="3">
        <v>37</v>
      </c>
      <c r="E2074" s="3">
        <v>214.603</v>
      </c>
      <c r="F2074" s="4" t="str">
        <f>HYPERLINK("http://141.218.60.56/~jnz1568/getInfo.php?workbook=14_04.xlsx&amp;sheet=A0&amp;row=2074&amp;col=6&amp;number=0.7168&amp;sourceID=14","0.7168")</f>
        <v>0.7168</v>
      </c>
      <c r="G2074" s="4" t="str">
        <f>HYPERLINK("http://141.218.60.56/~jnz1568/getInfo.php?workbook=14_04.xlsx&amp;sheet=A0&amp;row=2074&amp;col=7&amp;number=0&amp;sourceID=14","0")</f>
        <v>0</v>
      </c>
    </row>
    <row r="2075" spans="1:7">
      <c r="A2075" s="3">
        <v>14</v>
      </c>
      <c r="B2075" s="3">
        <v>4</v>
      </c>
      <c r="C2075" s="3">
        <v>54</v>
      </c>
      <c r="D2075" s="3">
        <v>37</v>
      </c>
      <c r="E2075" s="3">
        <v>214.616</v>
      </c>
      <c r="F2075" s="4" t="str">
        <f>HYPERLINK("http://141.218.60.56/~jnz1568/getInfo.php?workbook=14_04.xlsx&amp;sheet=A0&amp;row=2075&amp;col=6&amp;number=0.07119&amp;sourceID=14","0.07119")</f>
        <v>0.07119</v>
      </c>
      <c r="G2075" s="4" t="str">
        <f>HYPERLINK("http://141.218.60.56/~jnz1568/getInfo.php?workbook=14_04.xlsx&amp;sheet=A0&amp;row=2075&amp;col=7&amp;number=0&amp;sourceID=14","0")</f>
        <v>0</v>
      </c>
    </row>
    <row r="2076" spans="1:7">
      <c r="A2076" s="3">
        <v>14</v>
      </c>
      <c r="B2076" s="3">
        <v>4</v>
      </c>
      <c r="C2076" s="3">
        <v>55</v>
      </c>
      <c r="D2076" s="3">
        <v>37</v>
      </c>
      <c r="E2076" s="3">
        <v>214.236</v>
      </c>
      <c r="F2076" s="4" t="str">
        <f>HYPERLINK("http://141.218.60.56/~jnz1568/getInfo.php?workbook=14_04.xlsx&amp;sheet=A0&amp;row=2076&amp;col=6&amp;number=3.302&amp;sourceID=14","3.302")</f>
        <v>3.302</v>
      </c>
      <c r="G2076" s="4" t="str">
        <f>HYPERLINK("http://141.218.60.56/~jnz1568/getInfo.php?workbook=14_04.xlsx&amp;sheet=A0&amp;row=2076&amp;col=7&amp;number=0&amp;sourceID=14","0")</f>
        <v>0</v>
      </c>
    </row>
    <row r="2077" spans="1:7">
      <c r="A2077" s="3">
        <v>14</v>
      </c>
      <c r="B2077" s="3">
        <v>4</v>
      </c>
      <c r="C2077" s="3">
        <v>56</v>
      </c>
      <c r="D2077" s="3">
        <v>37</v>
      </c>
      <c r="E2077" s="3">
        <v>209.422</v>
      </c>
      <c r="F2077" s="4" t="str">
        <f>HYPERLINK("http://141.218.60.56/~jnz1568/getInfo.php?workbook=14_04.xlsx&amp;sheet=A0&amp;row=2077&amp;col=6&amp;number=1894&amp;sourceID=14","1894")</f>
        <v>1894</v>
      </c>
      <c r="G2077" s="4" t="str">
        <f>HYPERLINK("http://141.218.60.56/~jnz1568/getInfo.php?workbook=14_04.xlsx&amp;sheet=A0&amp;row=2077&amp;col=7&amp;number=0&amp;sourceID=14","0")</f>
        <v>0</v>
      </c>
    </row>
    <row r="2078" spans="1:7">
      <c r="A2078" s="3">
        <v>14</v>
      </c>
      <c r="B2078" s="3">
        <v>4</v>
      </c>
      <c r="C2078" s="3">
        <v>58</v>
      </c>
      <c r="D2078" s="3">
        <v>37</v>
      </c>
      <c r="E2078" s="3">
        <v>-162.809</v>
      </c>
      <c r="F2078" s="4" t="str">
        <f>HYPERLINK("http://141.218.60.56/~jnz1568/getInfo.php?workbook=14_04.xlsx&amp;sheet=A0&amp;row=2078&amp;col=6&amp;number=1281000000&amp;sourceID=14","1281000000")</f>
        <v>1281000000</v>
      </c>
      <c r="G2078" s="4" t="str">
        <f>HYPERLINK("http://141.218.60.56/~jnz1568/getInfo.php?workbook=14_04.xlsx&amp;sheet=A0&amp;row=2078&amp;col=7&amp;number=0&amp;sourceID=14","0")</f>
        <v>0</v>
      </c>
    </row>
    <row r="2079" spans="1:7">
      <c r="A2079" s="3">
        <v>14</v>
      </c>
      <c r="B2079" s="3">
        <v>4</v>
      </c>
      <c r="C2079" s="3">
        <v>59</v>
      </c>
      <c r="D2079" s="3">
        <v>37</v>
      </c>
      <c r="E2079" s="3">
        <v>162.112</v>
      </c>
      <c r="F2079" s="4" t="str">
        <f>HYPERLINK("http://141.218.60.56/~jnz1568/getInfo.php?workbook=14_04.xlsx&amp;sheet=A0&amp;row=2079&amp;col=6&amp;number=103500000&amp;sourceID=14","103500000")</f>
        <v>103500000</v>
      </c>
      <c r="G2079" s="4" t="str">
        <f>HYPERLINK("http://141.218.60.56/~jnz1568/getInfo.php?workbook=14_04.xlsx&amp;sheet=A0&amp;row=2079&amp;col=7&amp;number=0&amp;sourceID=14","0")</f>
        <v>0</v>
      </c>
    </row>
    <row r="2080" spans="1:7">
      <c r="A2080" s="3">
        <v>14</v>
      </c>
      <c r="B2080" s="3">
        <v>4</v>
      </c>
      <c r="C2080" s="3">
        <v>60</v>
      </c>
      <c r="D2080" s="3">
        <v>37</v>
      </c>
      <c r="E2080" s="3">
        <v>-159.469</v>
      </c>
      <c r="F2080" s="4" t="str">
        <f>HYPERLINK("http://141.218.60.56/~jnz1568/getInfo.php?workbook=14_04.xlsx&amp;sheet=A0&amp;row=2080&amp;col=6&amp;number=24790000000&amp;sourceID=14","24790000000")</f>
        <v>24790000000</v>
      </c>
      <c r="G2080" s="4" t="str">
        <f>HYPERLINK("http://141.218.60.56/~jnz1568/getInfo.php?workbook=14_04.xlsx&amp;sheet=A0&amp;row=2080&amp;col=7&amp;number=0&amp;sourceID=14","0")</f>
        <v>0</v>
      </c>
    </row>
    <row r="2081" spans="1:7">
      <c r="A2081" s="3">
        <v>14</v>
      </c>
      <c r="B2081" s="3">
        <v>4</v>
      </c>
      <c r="C2081" s="3">
        <v>61</v>
      </c>
      <c r="D2081" s="3">
        <v>37</v>
      </c>
      <c r="E2081" s="3">
        <v>-156.491</v>
      </c>
      <c r="F2081" s="4" t="str">
        <f>HYPERLINK("http://141.218.60.56/~jnz1568/getInfo.php?workbook=14_04.xlsx&amp;sheet=A0&amp;row=2081&amp;col=6&amp;number=1419000&amp;sourceID=14","1419000")</f>
        <v>1419000</v>
      </c>
      <c r="G2081" s="4" t="str">
        <f>HYPERLINK("http://141.218.60.56/~jnz1568/getInfo.php?workbook=14_04.xlsx&amp;sheet=A0&amp;row=2081&amp;col=7&amp;number=0&amp;sourceID=14","0")</f>
        <v>0</v>
      </c>
    </row>
    <row r="2082" spans="1:7">
      <c r="A2082" s="3">
        <v>14</v>
      </c>
      <c r="B2082" s="3">
        <v>4</v>
      </c>
      <c r="C2082" s="3">
        <v>62</v>
      </c>
      <c r="D2082" s="3">
        <v>37</v>
      </c>
      <c r="E2082" s="3">
        <v>-157.57</v>
      </c>
      <c r="F2082" s="4" t="str">
        <f>HYPERLINK("http://141.218.60.56/~jnz1568/getInfo.php?workbook=14_04.xlsx&amp;sheet=A0&amp;row=2082&amp;col=6&amp;number=1460000&amp;sourceID=14","1460000")</f>
        <v>1460000</v>
      </c>
      <c r="G2082" s="4" t="str">
        <f>HYPERLINK("http://141.218.60.56/~jnz1568/getInfo.php?workbook=14_04.xlsx&amp;sheet=A0&amp;row=2082&amp;col=7&amp;number=0&amp;sourceID=14","0")</f>
        <v>0</v>
      </c>
    </row>
    <row r="2083" spans="1:7">
      <c r="A2083" s="3">
        <v>14</v>
      </c>
      <c r="B2083" s="3">
        <v>4</v>
      </c>
      <c r="C2083" s="3">
        <v>63</v>
      </c>
      <c r="D2083" s="3">
        <v>37</v>
      </c>
      <c r="E2083" s="3">
        <v>-156.429</v>
      </c>
      <c r="F2083" s="4" t="str">
        <f>HYPERLINK("http://141.218.60.56/~jnz1568/getInfo.php?workbook=14_04.xlsx&amp;sheet=A0&amp;row=2083&amp;col=6&amp;number=7665&amp;sourceID=14","7665")</f>
        <v>7665</v>
      </c>
      <c r="G2083" s="4" t="str">
        <f>HYPERLINK("http://141.218.60.56/~jnz1568/getInfo.php?workbook=14_04.xlsx&amp;sheet=A0&amp;row=2083&amp;col=7&amp;number=0&amp;sourceID=14","0")</f>
        <v>0</v>
      </c>
    </row>
    <row r="2084" spans="1:7">
      <c r="A2084" s="3">
        <v>14</v>
      </c>
      <c r="B2084" s="3">
        <v>4</v>
      </c>
      <c r="C2084" s="3">
        <v>64</v>
      </c>
      <c r="D2084" s="3">
        <v>37</v>
      </c>
      <c r="E2084" s="3">
        <v>-155.112</v>
      </c>
      <c r="F2084" s="4" t="str">
        <f>HYPERLINK("http://141.218.60.56/~jnz1568/getInfo.php?workbook=14_04.xlsx&amp;sheet=A0&amp;row=2084&amp;col=6&amp;number=9756&amp;sourceID=14","9756")</f>
        <v>9756</v>
      </c>
      <c r="G2084" s="4" t="str">
        <f>HYPERLINK("http://141.218.60.56/~jnz1568/getInfo.php?workbook=14_04.xlsx&amp;sheet=A0&amp;row=2084&amp;col=7&amp;number=0&amp;sourceID=14","0")</f>
        <v>0</v>
      </c>
    </row>
    <row r="2085" spans="1:7">
      <c r="A2085" s="3">
        <v>14</v>
      </c>
      <c r="B2085" s="3">
        <v>4</v>
      </c>
      <c r="C2085" s="3">
        <v>65</v>
      </c>
      <c r="D2085" s="3">
        <v>37</v>
      </c>
      <c r="E2085" s="3">
        <v>-154.686</v>
      </c>
      <c r="F2085" s="4" t="str">
        <f>HYPERLINK("http://141.218.60.56/~jnz1568/getInfo.php?workbook=14_04.xlsx&amp;sheet=A0&amp;row=2085&amp;col=6&amp;number=736900&amp;sourceID=14","736900")</f>
        <v>736900</v>
      </c>
      <c r="G2085" s="4" t="str">
        <f>HYPERLINK("http://141.218.60.56/~jnz1568/getInfo.php?workbook=14_04.xlsx&amp;sheet=A0&amp;row=2085&amp;col=7&amp;number=0&amp;sourceID=14","0")</f>
        <v>0</v>
      </c>
    </row>
    <row r="2086" spans="1:7">
      <c r="A2086" s="3">
        <v>14</v>
      </c>
      <c r="B2086" s="3">
        <v>4</v>
      </c>
      <c r="C2086" s="3">
        <v>66</v>
      </c>
      <c r="D2086" s="3">
        <v>37</v>
      </c>
      <c r="E2086" s="3">
        <v>-154.722</v>
      </c>
      <c r="F2086" s="4" t="str">
        <f>HYPERLINK("http://141.218.60.56/~jnz1568/getInfo.php?workbook=14_04.xlsx&amp;sheet=A0&amp;row=2086&amp;col=6&amp;number=20720&amp;sourceID=14","20720")</f>
        <v>20720</v>
      </c>
      <c r="G2086" s="4" t="str">
        <f>HYPERLINK("http://141.218.60.56/~jnz1568/getInfo.php?workbook=14_04.xlsx&amp;sheet=A0&amp;row=2086&amp;col=7&amp;number=0&amp;sourceID=14","0")</f>
        <v>0</v>
      </c>
    </row>
    <row r="2087" spans="1:7">
      <c r="A2087" s="3">
        <v>14</v>
      </c>
      <c r="B2087" s="3">
        <v>4</v>
      </c>
      <c r="C2087" s="3">
        <v>67</v>
      </c>
      <c r="D2087" s="3">
        <v>37</v>
      </c>
      <c r="E2087" s="3">
        <v>-153.646</v>
      </c>
      <c r="F2087" s="4" t="str">
        <f>HYPERLINK("http://141.218.60.56/~jnz1568/getInfo.php?workbook=14_04.xlsx&amp;sheet=A0&amp;row=2087&amp;col=6&amp;number=11010&amp;sourceID=14","11010")</f>
        <v>11010</v>
      </c>
      <c r="G2087" s="4" t="str">
        <f>HYPERLINK("http://141.218.60.56/~jnz1568/getInfo.php?workbook=14_04.xlsx&amp;sheet=A0&amp;row=2087&amp;col=7&amp;number=0&amp;sourceID=14","0")</f>
        <v>0</v>
      </c>
    </row>
    <row r="2088" spans="1:7">
      <c r="A2088" s="3">
        <v>14</v>
      </c>
      <c r="B2088" s="3">
        <v>4</v>
      </c>
      <c r="C2088" s="3">
        <v>68</v>
      </c>
      <c r="D2088" s="3">
        <v>37</v>
      </c>
      <c r="E2088" s="3">
        <v>-153.46</v>
      </c>
      <c r="F2088" s="4" t="str">
        <f>HYPERLINK("http://141.218.60.56/~jnz1568/getInfo.php?workbook=14_04.xlsx&amp;sheet=A0&amp;row=2088&amp;col=6&amp;number=101200&amp;sourceID=14","101200")</f>
        <v>101200</v>
      </c>
      <c r="G2088" s="4" t="str">
        <f>HYPERLINK("http://141.218.60.56/~jnz1568/getInfo.php?workbook=14_04.xlsx&amp;sheet=A0&amp;row=2088&amp;col=7&amp;number=0&amp;sourceID=14","0")</f>
        <v>0</v>
      </c>
    </row>
    <row r="2089" spans="1:7">
      <c r="A2089" s="3">
        <v>14</v>
      </c>
      <c r="B2089" s="3">
        <v>4</v>
      </c>
      <c r="C2089" s="3">
        <v>69</v>
      </c>
      <c r="D2089" s="3">
        <v>37</v>
      </c>
      <c r="E2089" s="3">
        <v>-153.269</v>
      </c>
      <c r="F2089" s="4" t="str">
        <f>HYPERLINK("http://141.218.60.56/~jnz1568/getInfo.php?workbook=14_04.xlsx&amp;sheet=A0&amp;row=2089&amp;col=6&amp;number=5486000000&amp;sourceID=14","5486000000")</f>
        <v>5486000000</v>
      </c>
      <c r="G2089" s="4" t="str">
        <f>HYPERLINK("http://141.218.60.56/~jnz1568/getInfo.php?workbook=14_04.xlsx&amp;sheet=A0&amp;row=2089&amp;col=7&amp;number=0&amp;sourceID=14","0")</f>
        <v>0</v>
      </c>
    </row>
    <row r="2090" spans="1:7">
      <c r="A2090" s="3">
        <v>14</v>
      </c>
      <c r="B2090" s="3">
        <v>4</v>
      </c>
      <c r="C2090" s="3">
        <v>70</v>
      </c>
      <c r="D2090" s="3">
        <v>37</v>
      </c>
      <c r="E2090" s="3">
        <v>-152.467</v>
      </c>
      <c r="F2090" s="4" t="str">
        <f>HYPERLINK("http://141.218.60.56/~jnz1568/getInfo.php?workbook=14_04.xlsx&amp;sheet=A0&amp;row=2090&amp;col=6&amp;number=551900000&amp;sourceID=14","551900000")</f>
        <v>551900000</v>
      </c>
      <c r="G2090" s="4" t="str">
        <f>HYPERLINK("http://141.218.60.56/~jnz1568/getInfo.php?workbook=14_04.xlsx&amp;sheet=A0&amp;row=2090&amp;col=7&amp;number=0&amp;sourceID=14","0")</f>
        <v>0</v>
      </c>
    </row>
    <row r="2091" spans="1:7">
      <c r="A2091" s="3">
        <v>14</v>
      </c>
      <c r="B2091" s="3">
        <v>4</v>
      </c>
      <c r="C2091" s="3">
        <v>71</v>
      </c>
      <c r="D2091" s="3">
        <v>37</v>
      </c>
      <c r="E2091" s="3">
        <v>-152.139</v>
      </c>
      <c r="F2091" s="4" t="str">
        <f>HYPERLINK("http://141.218.60.56/~jnz1568/getInfo.php?workbook=14_04.xlsx&amp;sheet=A0&amp;row=2091&amp;col=6&amp;number=15820000000&amp;sourceID=14","15820000000")</f>
        <v>15820000000</v>
      </c>
      <c r="G2091" s="4" t="str">
        <f>HYPERLINK("http://141.218.60.56/~jnz1568/getInfo.php?workbook=14_04.xlsx&amp;sheet=A0&amp;row=2091&amp;col=7&amp;number=0&amp;sourceID=14","0")</f>
        <v>0</v>
      </c>
    </row>
    <row r="2092" spans="1:7">
      <c r="A2092" s="3">
        <v>14</v>
      </c>
      <c r="B2092" s="3">
        <v>4</v>
      </c>
      <c r="C2092" s="3">
        <v>72</v>
      </c>
      <c r="D2092" s="3">
        <v>37</v>
      </c>
      <c r="E2092" s="3">
        <v>-151.637</v>
      </c>
      <c r="F2092" s="4" t="str">
        <f>HYPERLINK("http://141.218.60.56/~jnz1568/getInfo.php?workbook=14_04.xlsx&amp;sheet=A0&amp;row=2092&amp;col=6&amp;number=1836000&amp;sourceID=14","1836000")</f>
        <v>1836000</v>
      </c>
      <c r="G2092" s="4" t="str">
        <f>HYPERLINK("http://141.218.60.56/~jnz1568/getInfo.php?workbook=14_04.xlsx&amp;sheet=A0&amp;row=2092&amp;col=7&amp;number=0&amp;sourceID=14","0")</f>
        <v>0</v>
      </c>
    </row>
    <row r="2093" spans="1:7">
      <c r="A2093" s="3">
        <v>14</v>
      </c>
      <c r="B2093" s="3">
        <v>4</v>
      </c>
      <c r="C2093" s="3">
        <v>74</v>
      </c>
      <c r="D2093" s="3">
        <v>37</v>
      </c>
      <c r="E2093" s="3">
        <v>-150.989</v>
      </c>
      <c r="F2093" s="4" t="str">
        <f>HYPERLINK("http://141.218.60.56/~jnz1568/getInfo.php?workbook=14_04.xlsx&amp;sheet=A0&amp;row=2093&amp;col=6&amp;number=27860000&amp;sourceID=14","27860000")</f>
        <v>27860000</v>
      </c>
      <c r="G2093" s="4" t="str">
        <f>HYPERLINK("http://141.218.60.56/~jnz1568/getInfo.php?workbook=14_04.xlsx&amp;sheet=A0&amp;row=2093&amp;col=7&amp;number=0&amp;sourceID=14","0")</f>
        <v>0</v>
      </c>
    </row>
    <row r="2094" spans="1:7">
      <c r="A2094" s="3">
        <v>14</v>
      </c>
      <c r="B2094" s="3">
        <v>4</v>
      </c>
      <c r="C2094" s="3">
        <v>75</v>
      </c>
      <c r="D2094" s="3">
        <v>37</v>
      </c>
      <c r="E2094" s="3">
        <v>-150.554</v>
      </c>
      <c r="F2094" s="4" t="str">
        <f>HYPERLINK("http://141.218.60.56/~jnz1568/getInfo.php?workbook=14_04.xlsx&amp;sheet=A0&amp;row=2094&amp;col=6&amp;number=4702000000&amp;sourceID=14","4702000000")</f>
        <v>4702000000</v>
      </c>
      <c r="G2094" s="4" t="str">
        <f>HYPERLINK("http://141.218.60.56/~jnz1568/getInfo.php?workbook=14_04.xlsx&amp;sheet=A0&amp;row=2094&amp;col=7&amp;number=0&amp;sourceID=14","0")</f>
        <v>0</v>
      </c>
    </row>
    <row r="2095" spans="1:7">
      <c r="A2095" s="3">
        <v>14</v>
      </c>
      <c r="B2095" s="3">
        <v>4</v>
      </c>
      <c r="C2095" s="3">
        <v>76</v>
      </c>
      <c r="D2095" s="3">
        <v>37</v>
      </c>
      <c r="E2095" s="3">
        <v>148.804</v>
      </c>
      <c r="F2095" s="4" t="str">
        <f>HYPERLINK("http://141.218.60.56/~jnz1568/getInfo.php?workbook=14_04.xlsx&amp;sheet=A0&amp;row=2095&amp;col=6&amp;number=23440000&amp;sourceID=14","23440000")</f>
        <v>23440000</v>
      </c>
      <c r="G2095" s="4" t="str">
        <f>HYPERLINK("http://141.218.60.56/~jnz1568/getInfo.php?workbook=14_04.xlsx&amp;sheet=A0&amp;row=2095&amp;col=7&amp;number=0&amp;sourceID=14","0")</f>
        <v>0</v>
      </c>
    </row>
    <row r="2096" spans="1:7">
      <c r="A2096" s="3">
        <v>14</v>
      </c>
      <c r="B2096" s="3">
        <v>4</v>
      </c>
      <c r="C2096" s="3">
        <v>77</v>
      </c>
      <c r="D2096" s="3">
        <v>37</v>
      </c>
      <c r="E2096" s="3">
        <v>148.603</v>
      </c>
      <c r="F2096" s="4" t="str">
        <f>HYPERLINK("http://141.218.60.56/~jnz1568/getInfo.php?workbook=14_04.xlsx&amp;sheet=A0&amp;row=2096&amp;col=6&amp;number=1548000000&amp;sourceID=14","1548000000")</f>
        <v>1548000000</v>
      </c>
      <c r="G2096" s="4" t="str">
        <f>HYPERLINK("http://141.218.60.56/~jnz1568/getInfo.php?workbook=14_04.xlsx&amp;sheet=A0&amp;row=2096&amp;col=7&amp;number=0&amp;sourceID=14","0")</f>
        <v>0</v>
      </c>
    </row>
    <row r="2097" spans="1:7">
      <c r="A2097" s="3">
        <v>14</v>
      </c>
      <c r="B2097" s="3">
        <v>4</v>
      </c>
      <c r="C2097" s="3">
        <v>78</v>
      </c>
      <c r="D2097" s="3">
        <v>37</v>
      </c>
      <c r="E2097" s="3">
        <v>-149.225</v>
      </c>
      <c r="F2097" s="4" t="str">
        <f>HYPERLINK("http://141.218.60.56/~jnz1568/getInfo.php?workbook=14_04.xlsx&amp;sheet=A0&amp;row=2097&amp;col=6&amp;number=62350000&amp;sourceID=14","62350000")</f>
        <v>62350000</v>
      </c>
      <c r="G2097" s="4" t="str">
        <f>HYPERLINK("http://141.218.60.56/~jnz1568/getInfo.php?workbook=14_04.xlsx&amp;sheet=A0&amp;row=2097&amp;col=7&amp;number=0&amp;sourceID=14","0")</f>
        <v>0</v>
      </c>
    </row>
    <row r="2098" spans="1:7">
      <c r="A2098" s="3">
        <v>14</v>
      </c>
      <c r="B2098" s="3">
        <v>4</v>
      </c>
      <c r="C2098" s="3">
        <v>80</v>
      </c>
      <c r="D2098" s="3">
        <v>37</v>
      </c>
      <c r="E2098" s="3">
        <v>150.924</v>
      </c>
      <c r="F2098" s="4" t="str">
        <f>HYPERLINK("http://141.218.60.56/~jnz1568/getInfo.php?workbook=14_04.xlsx&amp;sheet=A0&amp;row=2098&amp;col=6&amp;number=4136000&amp;sourceID=14","4136000")</f>
        <v>4136000</v>
      </c>
      <c r="G2098" s="4" t="str">
        <f>HYPERLINK("http://141.218.60.56/~jnz1568/getInfo.php?workbook=14_04.xlsx&amp;sheet=A0&amp;row=2098&amp;col=7&amp;number=0&amp;sourceID=14","0")</f>
        <v>0</v>
      </c>
    </row>
    <row r="2099" spans="1:7">
      <c r="A2099" s="3">
        <v>14</v>
      </c>
      <c r="B2099" s="3">
        <v>4</v>
      </c>
      <c r="C2099" s="3">
        <v>81</v>
      </c>
      <c r="D2099" s="3">
        <v>37</v>
      </c>
      <c r="E2099" s="3">
        <v>146.4</v>
      </c>
      <c r="F2099" s="4" t="str">
        <f>HYPERLINK("http://141.218.60.56/~jnz1568/getInfo.php?workbook=14_04.xlsx&amp;sheet=A0&amp;row=2099&amp;col=6&amp;number=94230000000&amp;sourceID=14","94230000000")</f>
        <v>94230000000</v>
      </c>
      <c r="G2099" s="4" t="str">
        <f>HYPERLINK("http://141.218.60.56/~jnz1568/getInfo.php?workbook=14_04.xlsx&amp;sheet=A0&amp;row=2099&amp;col=7&amp;number=0&amp;sourceID=14","0")</f>
        <v>0</v>
      </c>
    </row>
    <row r="2100" spans="1:7">
      <c r="A2100" s="3">
        <v>14</v>
      </c>
      <c r="B2100" s="3">
        <v>4</v>
      </c>
      <c r="C2100" s="3">
        <v>82</v>
      </c>
      <c r="D2100" s="3">
        <v>37</v>
      </c>
      <c r="E2100" s="3">
        <v>-146.539</v>
      </c>
      <c r="F2100" s="4" t="str">
        <f>HYPERLINK("http://141.218.60.56/~jnz1568/getInfo.php?workbook=14_04.xlsx&amp;sheet=A0&amp;row=2100&amp;col=6&amp;number=1677000000&amp;sourceID=14","1677000000")</f>
        <v>1677000000</v>
      </c>
      <c r="G2100" s="4" t="str">
        <f>HYPERLINK("http://141.218.60.56/~jnz1568/getInfo.php?workbook=14_04.xlsx&amp;sheet=A0&amp;row=2100&amp;col=7&amp;number=0&amp;sourceID=14","0")</f>
        <v>0</v>
      </c>
    </row>
    <row r="2101" spans="1:7">
      <c r="A2101" s="3">
        <v>14</v>
      </c>
      <c r="B2101" s="3">
        <v>4</v>
      </c>
      <c r="C2101" s="3">
        <v>83</v>
      </c>
      <c r="D2101" s="3">
        <v>37</v>
      </c>
      <c r="E2101" s="3">
        <v>-134.53</v>
      </c>
      <c r="F2101" s="4" t="str">
        <f>HYPERLINK("http://141.218.60.56/~jnz1568/getInfo.php?workbook=14_04.xlsx&amp;sheet=A0&amp;row=2101&amp;col=6&amp;number=23.83&amp;sourceID=14","23.83")</f>
        <v>23.83</v>
      </c>
      <c r="G2101" s="4" t="str">
        <f>HYPERLINK("http://141.218.60.56/~jnz1568/getInfo.php?workbook=14_04.xlsx&amp;sheet=A0&amp;row=2101&amp;col=7&amp;number=0&amp;sourceID=14","0")</f>
        <v>0</v>
      </c>
    </row>
    <row r="2102" spans="1:7">
      <c r="A2102" s="3">
        <v>14</v>
      </c>
      <c r="B2102" s="3">
        <v>4</v>
      </c>
      <c r="C2102" s="3">
        <v>84</v>
      </c>
      <c r="D2102" s="3">
        <v>37</v>
      </c>
      <c r="E2102" s="3">
        <v>-133.241</v>
      </c>
      <c r="F2102" s="4" t="str">
        <f>HYPERLINK("http://141.218.60.56/~jnz1568/getInfo.php?workbook=14_04.xlsx&amp;sheet=A0&amp;row=2102&amp;col=6&amp;number=26250&amp;sourceID=14","26250")</f>
        <v>26250</v>
      </c>
      <c r="G2102" s="4" t="str">
        <f>HYPERLINK("http://141.218.60.56/~jnz1568/getInfo.php?workbook=14_04.xlsx&amp;sheet=A0&amp;row=2102&amp;col=7&amp;number=0&amp;sourceID=14","0")</f>
        <v>0</v>
      </c>
    </row>
    <row r="2103" spans="1:7">
      <c r="A2103" s="3">
        <v>14</v>
      </c>
      <c r="B2103" s="3">
        <v>4</v>
      </c>
      <c r="C2103" s="3">
        <v>86</v>
      </c>
      <c r="D2103" s="3">
        <v>37</v>
      </c>
      <c r="E2103" s="3">
        <v>-131.931</v>
      </c>
      <c r="F2103" s="4" t="str">
        <f>HYPERLINK("http://141.218.60.56/~jnz1568/getInfo.php?workbook=14_04.xlsx&amp;sheet=A0&amp;row=2103&amp;col=6&amp;number=560100&amp;sourceID=14","560100")</f>
        <v>560100</v>
      </c>
      <c r="G2103" s="4" t="str">
        <f>HYPERLINK("http://141.218.60.56/~jnz1568/getInfo.php?workbook=14_04.xlsx&amp;sheet=A0&amp;row=2103&amp;col=7&amp;number=0&amp;sourceID=14","0")</f>
        <v>0</v>
      </c>
    </row>
    <row r="2104" spans="1:7">
      <c r="A2104" s="3">
        <v>14</v>
      </c>
      <c r="B2104" s="3">
        <v>4</v>
      </c>
      <c r="C2104" s="3">
        <v>87</v>
      </c>
      <c r="D2104" s="3">
        <v>37</v>
      </c>
      <c r="E2104" s="3">
        <v>130.308</v>
      </c>
      <c r="F2104" s="4" t="str">
        <f>HYPERLINK("http://141.218.60.56/~jnz1568/getInfo.php?workbook=14_04.xlsx&amp;sheet=A0&amp;row=2104&amp;col=6&amp;number=1365000&amp;sourceID=14","1365000")</f>
        <v>1365000</v>
      </c>
      <c r="G2104" s="4" t="str">
        <f>HYPERLINK("http://141.218.60.56/~jnz1568/getInfo.php?workbook=14_04.xlsx&amp;sheet=A0&amp;row=2104&amp;col=7&amp;number=0&amp;sourceID=14","0")</f>
        <v>0</v>
      </c>
    </row>
    <row r="2105" spans="1:7">
      <c r="A2105" s="3">
        <v>14</v>
      </c>
      <c r="B2105" s="3">
        <v>4</v>
      </c>
      <c r="C2105" s="3">
        <v>88</v>
      </c>
      <c r="D2105" s="3">
        <v>37</v>
      </c>
      <c r="E2105" s="3">
        <v>-131.436</v>
      </c>
      <c r="F2105" s="4" t="str">
        <f>HYPERLINK("http://141.218.60.56/~jnz1568/getInfo.php?workbook=14_04.xlsx&amp;sheet=A0&amp;row=2105&amp;col=6&amp;number=54970&amp;sourceID=14","54970")</f>
        <v>54970</v>
      </c>
      <c r="G2105" s="4" t="str">
        <f>HYPERLINK("http://141.218.60.56/~jnz1568/getInfo.php?workbook=14_04.xlsx&amp;sheet=A0&amp;row=2105&amp;col=7&amp;number=0&amp;sourceID=14","0")</f>
        <v>0</v>
      </c>
    </row>
    <row r="2106" spans="1:7">
      <c r="A2106" s="3">
        <v>14</v>
      </c>
      <c r="B2106" s="3">
        <v>4</v>
      </c>
      <c r="C2106" s="3">
        <v>89</v>
      </c>
      <c r="D2106" s="3">
        <v>37</v>
      </c>
      <c r="E2106" s="3">
        <v>-130.475</v>
      </c>
      <c r="F2106" s="4" t="str">
        <f>HYPERLINK("http://141.218.60.56/~jnz1568/getInfo.php?workbook=14_04.xlsx&amp;sheet=A0&amp;row=2106&amp;col=6&amp;number=2.471&amp;sourceID=14","2.471")</f>
        <v>2.471</v>
      </c>
      <c r="G2106" s="4" t="str">
        <f>HYPERLINK("http://141.218.60.56/~jnz1568/getInfo.php?workbook=14_04.xlsx&amp;sheet=A0&amp;row=2106&amp;col=7&amp;number=0&amp;sourceID=14","0")</f>
        <v>0</v>
      </c>
    </row>
    <row r="2107" spans="1:7">
      <c r="A2107" s="3">
        <v>14</v>
      </c>
      <c r="B2107" s="3">
        <v>4</v>
      </c>
      <c r="C2107" s="3">
        <v>90</v>
      </c>
      <c r="D2107" s="3">
        <v>37</v>
      </c>
      <c r="E2107" s="3">
        <v>129.535</v>
      </c>
      <c r="F2107" s="4" t="str">
        <f>HYPERLINK("http://141.218.60.56/~jnz1568/getInfo.php?workbook=14_04.xlsx&amp;sheet=A0&amp;row=2107&amp;col=6&amp;number=9.987&amp;sourceID=14","9.987")</f>
        <v>9.987</v>
      </c>
      <c r="G2107" s="4" t="str">
        <f>HYPERLINK("http://141.218.60.56/~jnz1568/getInfo.php?workbook=14_04.xlsx&amp;sheet=A0&amp;row=2107&amp;col=7&amp;number=0&amp;sourceID=14","0")</f>
        <v>0</v>
      </c>
    </row>
    <row r="2108" spans="1:7">
      <c r="A2108" s="3">
        <v>14</v>
      </c>
      <c r="B2108" s="3">
        <v>4</v>
      </c>
      <c r="C2108" s="3">
        <v>91</v>
      </c>
      <c r="D2108" s="3">
        <v>37</v>
      </c>
      <c r="E2108" s="3">
        <v>129.549</v>
      </c>
      <c r="F2108" s="4" t="str">
        <f>HYPERLINK("http://141.218.60.56/~jnz1568/getInfo.php?workbook=14_04.xlsx&amp;sheet=A0&amp;row=2108&amp;col=6&amp;number=9.074&amp;sourceID=14","9.074")</f>
        <v>9.074</v>
      </c>
      <c r="G2108" s="4" t="str">
        <f>HYPERLINK("http://141.218.60.56/~jnz1568/getInfo.php?workbook=14_04.xlsx&amp;sheet=A0&amp;row=2108&amp;col=7&amp;number=0&amp;sourceID=14","0")</f>
        <v>0</v>
      </c>
    </row>
    <row r="2109" spans="1:7">
      <c r="A2109" s="3">
        <v>14</v>
      </c>
      <c r="B2109" s="3">
        <v>4</v>
      </c>
      <c r="C2109" s="3">
        <v>92</v>
      </c>
      <c r="D2109" s="3">
        <v>37</v>
      </c>
      <c r="E2109" s="3">
        <v>128.893</v>
      </c>
      <c r="F2109" s="4" t="str">
        <f>HYPERLINK("http://141.218.60.56/~jnz1568/getInfo.php?workbook=14_04.xlsx&amp;sheet=A0&amp;row=2109&amp;col=6&amp;number=2709&amp;sourceID=14","2709")</f>
        <v>2709</v>
      </c>
      <c r="G2109" s="4" t="str">
        <f>HYPERLINK("http://141.218.60.56/~jnz1568/getInfo.php?workbook=14_04.xlsx&amp;sheet=A0&amp;row=2109&amp;col=7&amp;number=0&amp;sourceID=14","0")</f>
        <v>0</v>
      </c>
    </row>
    <row r="2110" spans="1:7">
      <c r="A2110" s="3">
        <v>14</v>
      </c>
      <c r="B2110" s="3">
        <v>4</v>
      </c>
      <c r="C2110" s="3">
        <v>39</v>
      </c>
      <c r="D2110" s="3">
        <v>38</v>
      </c>
      <c r="E2110" s="3">
        <v>-86215.261</v>
      </c>
      <c r="F2110" s="4" t="str">
        <f>HYPERLINK("http://141.218.60.56/~jnz1568/getInfo.php?workbook=14_04.xlsx&amp;sheet=A0&amp;row=2110&amp;col=6&amp;number=0.03571&amp;sourceID=14","0.03571")</f>
        <v>0.03571</v>
      </c>
      <c r="G2110" s="4" t="str">
        <f>HYPERLINK("http://141.218.60.56/~jnz1568/getInfo.php?workbook=14_04.xlsx&amp;sheet=A0&amp;row=2110&amp;col=7&amp;number=0&amp;sourceID=14","0")</f>
        <v>0</v>
      </c>
    </row>
    <row r="2111" spans="1:7">
      <c r="A2111" s="3">
        <v>14</v>
      </c>
      <c r="B2111" s="3">
        <v>4</v>
      </c>
      <c r="C2111" s="3">
        <v>40</v>
      </c>
      <c r="D2111" s="3">
        <v>38</v>
      </c>
      <c r="E2111" s="3">
        <v>-27623.083</v>
      </c>
      <c r="F2111" s="4" t="str">
        <f>HYPERLINK("http://141.218.60.56/~jnz1568/getInfo.php?workbook=14_04.xlsx&amp;sheet=A0&amp;row=2111&amp;col=6&amp;number=1.356e-09&amp;sourceID=14","1.356e-09")</f>
        <v>1.356e-09</v>
      </c>
      <c r="G2111" s="4" t="str">
        <f>HYPERLINK("http://141.218.60.56/~jnz1568/getInfo.php?workbook=14_04.xlsx&amp;sheet=A0&amp;row=2111&amp;col=7&amp;number=0&amp;sourceID=14","0")</f>
        <v>0</v>
      </c>
    </row>
    <row r="2112" spans="1:7">
      <c r="A2112" s="3">
        <v>14</v>
      </c>
      <c r="B2112" s="3">
        <v>4</v>
      </c>
      <c r="C2112" s="3">
        <v>41</v>
      </c>
      <c r="D2112" s="3">
        <v>38</v>
      </c>
      <c r="E2112" s="3">
        <v>-8832.745</v>
      </c>
      <c r="F2112" s="4" t="str">
        <f>HYPERLINK("http://141.218.60.56/~jnz1568/getInfo.php?workbook=14_04.xlsx&amp;sheet=A0&amp;row=2112&amp;col=6&amp;number=0.854&amp;sourceID=14","0.854")</f>
        <v>0.854</v>
      </c>
      <c r="G2112" s="4" t="str">
        <f>HYPERLINK("http://141.218.60.56/~jnz1568/getInfo.php?workbook=14_04.xlsx&amp;sheet=A0&amp;row=2112&amp;col=7&amp;number=0&amp;sourceID=14","0")</f>
        <v>0</v>
      </c>
    </row>
    <row r="2113" spans="1:7">
      <c r="A2113" s="3">
        <v>14</v>
      </c>
      <c r="B2113" s="3">
        <v>4</v>
      </c>
      <c r="C2113" s="3">
        <v>42</v>
      </c>
      <c r="D2113" s="3">
        <v>38</v>
      </c>
      <c r="E2113" s="3">
        <v>-7823.793</v>
      </c>
      <c r="F2113" s="4" t="str">
        <f>HYPERLINK("http://141.218.60.56/~jnz1568/getInfo.php?workbook=14_04.xlsx&amp;sheet=A0&amp;row=2113&amp;col=6&amp;number=3.968&amp;sourceID=14","3.968")</f>
        <v>3.968</v>
      </c>
      <c r="G2113" s="4" t="str">
        <f>HYPERLINK("http://141.218.60.56/~jnz1568/getInfo.php?workbook=14_04.xlsx&amp;sheet=A0&amp;row=2113&amp;col=7&amp;number=0&amp;sourceID=14","0")</f>
        <v>0</v>
      </c>
    </row>
    <row r="2114" spans="1:7">
      <c r="A2114" s="3">
        <v>14</v>
      </c>
      <c r="B2114" s="3">
        <v>4</v>
      </c>
      <c r="C2114" s="3">
        <v>43</v>
      </c>
      <c r="D2114" s="3">
        <v>38</v>
      </c>
      <c r="E2114" s="3">
        <v>-7378.338</v>
      </c>
      <c r="F2114" s="4" t="str">
        <f>HYPERLINK("http://141.218.60.56/~jnz1568/getInfo.php?workbook=14_04.xlsx&amp;sheet=A0&amp;row=2114&amp;col=6&amp;number=4.833&amp;sourceID=14","4.833")</f>
        <v>4.833</v>
      </c>
      <c r="G2114" s="4" t="str">
        <f>HYPERLINK("http://141.218.60.56/~jnz1568/getInfo.php?workbook=14_04.xlsx&amp;sheet=A0&amp;row=2114&amp;col=7&amp;number=0&amp;sourceID=14","0")</f>
        <v>0</v>
      </c>
    </row>
    <row r="2115" spans="1:7">
      <c r="A2115" s="3">
        <v>14</v>
      </c>
      <c r="B2115" s="3">
        <v>4</v>
      </c>
      <c r="C2115" s="3">
        <v>44</v>
      </c>
      <c r="D2115" s="3">
        <v>38</v>
      </c>
      <c r="E2115" s="3">
        <v>-3333.061</v>
      </c>
      <c r="F2115" s="4" t="str">
        <f>HYPERLINK("http://141.218.60.56/~jnz1568/getInfo.php?workbook=14_04.xlsx&amp;sheet=A0&amp;row=2115&amp;col=6&amp;number=13520&amp;sourceID=14","13520")</f>
        <v>13520</v>
      </c>
      <c r="G2115" s="4" t="str">
        <f>HYPERLINK("http://141.218.60.56/~jnz1568/getInfo.php?workbook=14_04.xlsx&amp;sheet=A0&amp;row=2115&amp;col=7&amp;number=0&amp;sourceID=14","0")</f>
        <v>0</v>
      </c>
    </row>
    <row r="2116" spans="1:7">
      <c r="A2116" s="3">
        <v>14</v>
      </c>
      <c r="B2116" s="3">
        <v>4</v>
      </c>
      <c r="C2116" s="3">
        <v>45</v>
      </c>
      <c r="D2116" s="3">
        <v>38</v>
      </c>
      <c r="E2116" s="3">
        <v>-2403.947</v>
      </c>
      <c r="F2116" s="4" t="str">
        <f>HYPERLINK("http://141.218.60.56/~jnz1568/getInfo.php?workbook=14_04.xlsx&amp;sheet=A0&amp;row=2116&amp;col=6&amp;number=0.001703&amp;sourceID=14","0.001703")</f>
        <v>0.001703</v>
      </c>
      <c r="G2116" s="4" t="str">
        <f>HYPERLINK("http://141.218.60.56/~jnz1568/getInfo.php?workbook=14_04.xlsx&amp;sheet=A0&amp;row=2116&amp;col=7&amp;number=0&amp;sourceID=14","0")</f>
        <v>0</v>
      </c>
    </row>
    <row r="2117" spans="1:7">
      <c r="A2117" s="3">
        <v>14</v>
      </c>
      <c r="B2117" s="3">
        <v>4</v>
      </c>
      <c r="C2117" s="3">
        <v>46</v>
      </c>
      <c r="D2117" s="3">
        <v>38</v>
      </c>
      <c r="E2117" s="3">
        <v>-2125.033</v>
      </c>
      <c r="F2117" s="4" t="str">
        <f>HYPERLINK("http://141.218.60.56/~jnz1568/getInfo.php?workbook=14_04.xlsx&amp;sheet=A0&amp;row=2117&amp;col=6&amp;number=4.957&amp;sourceID=14","4.957")</f>
        <v>4.957</v>
      </c>
      <c r="G2117" s="4" t="str">
        <f>HYPERLINK("http://141.218.60.56/~jnz1568/getInfo.php?workbook=14_04.xlsx&amp;sheet=A0&amp;row=2117&amp;col=7&amp;number=0&amp;sourceID=14","0")</f>
        <v>0</v>
      </c>
    </row>
    <row r="2118" spans="1:7">
      <c r="A2118" s="3">
        <v>14</v>
      </c>
      <c r="B2118" s="3">
        <v>4</v>
      </c>
      <c r="C2118" s="3">
        <v>47</v>
      </c>
      <c r="D2118" s="3">
        <v>38</v>
      </c>
      <c r="E2118" s="3">
        <v>-247.832</v>
      </c>
      <c r="F2118" s="4" t="str">
        <f>HYPERLINK("http://141.218.60.56/~jnz1568/getInfo.php?workbook=14_04.xlsx&amp;sheet=A0&amp;row=2118&amp;col=6&amp;number=2155000&amp;sourceID=14","2155000")</f>
        <v>2155000</v>
      </c>
      <c r="G2118" s="4" t="str">
        <f>HYPERLINK("http://141.218.60.56/~jnz1568/getInfo.php?workbook=14_04.xlsx&amp;sheet=A0&amp;row=2118&amp;col=7&amp;number=0&amp;sourceID=14","0")</f>
        <v>0</v>
      </c>
    </row>
    <row r="2119" spans="1:7">
      <c r="A2119" s="3">
        <v>14</v>
      </c>
      <c r="B2119" s="3">
        <v>4</v>
      </c>
      <c r="C2119" s="3">
        <v>48</v>
      </c>
      <c r="D2119" s="3">
        <v>38</v>
      </c>
      <c r="E2119" s="3">
        <v>-240.87</v>
      </c>
      <c r="F2119" s="4" t="str">
        <f>HYPERLINK("http://141.218.60.56/~jnz1568/getInfo.php?workbook=14_04.xlsx&amp;sheet=A0&amp;row=2119&amp;col=6&amp;number=112100&amp;sourceID=14","112100")</f>
        <v>112100</v>
      </c>
      <c r="G2119" s="4" t="str">
        <f>HYPERLINK("http://141.218.60.56/~jnz1568/getInfo.php?workbook=14_04.xlsx&amp;sheet=A0&amp;row=2119&amp;col=7&amp;number=0&amp;sourceID=14","0")</f>
        <v>0</v>
      </c>
    </row>
    <row r="2120" spans="1:7">
      <c r="A2120" s="3">
        <v>14</v>
      </c>
      <c r="B2120" s="3">
        <v>4</v>
      </c>
      <c r="C2120" s="3">
        <v>49</v>
      </c>
      <c r="D2120" s="3">
        <v>38</v>
      </c>
      <c r="E2120" s="3">
        <v>-230.476</v>
      </c>
      <c r="F2120" s="4" t="str">
        <f>HYPERLINK("http://141.218.60.56/~jnz1568/getInfo.php?workbook=14_04.xlsx&amp;sheet=A0&amp;row=2120&amp;col=6&amp;number=0.08186&amp;sourceID=14","0.08186")</f>
        <v>0.08186</v>
      </c>
      <c r="G2120" s="4" t="str">
        <f>HYPERLINK("http://141.218.60.56/~jnz1568/getInfo.php?workbook=14_04.xlsx&amp;sheet=A0&amp;row=2120&amp;col=7&amp;number=0&amp;sourceID=14","0")</f>
        <v>0</v>
      </c>
    </row>
    <row r="2121" spans="1:7">
      <c r="A2121" s="3">
        <v>14</v>
      </c>
      <c r="B2121" s="3">
        <v>4</v>
      </c>
      <c r="C2121" s="3">
        <v>50</v>
      </c>
      <c r="D2121" s="3">
        <v>38</v>
      </c>
      <c r="E2121" s="3">
        <v>-230.35</v>
      </c>
      <c r="F2121" s="4" t="str">
        <f>HYPERLINK("http://141.218.60.56/~jnz1568/getInfo.php?workbook=14_04.xlsx&amp;sheet=A0&amp;row=2121&amp;col=6&amp;number=561.8&amp;sourceID=14","561.8")</f>
        <v>561.8</v>
      </c>
      <c r="G2121" s="4" t="str">
        <f>HYPERLINK("http://141.218.60.56/~jnz1568/getInfo.php?workbook=14_04.xlsx&amp;sheet=A0&amp;row=2121&amp;col=7&amp;number=0&amp;sourceID=14","0")</f>
        <v>0</v>
      </c>
    </row>
    <row r="2122" spans="1:7">
      <c r="A2122" s="3">
        <v>14</v>
      </c>
      <c r="B2122" s="3">
        <v>4</v>
      </c>
      <c r="C2122" s="3">
        <v>51</v>
      </c>
      <c r="D2122" s="3">
        <v>38</v>
      </c>
      <c r="E2122" s="3">
        <v>-230.024</v>
      </c>
      <c r="F2122" s="4" t="str">
        <f>HYPERLINK("http://141.218.60.56/~jnz1568/getInfo.php?workbook=14_04.xlsx&amp;sheet=A0&amp;row=2122&amp;col=6&amp;number=46.45&amp;sourceID=14","46.45")</f>
        <v>46.45</v>
      </c>
      <c r="G2122" s="4" t="str">
        <f>HYPERLINK("http://141.218.60.56/~jnz1568/getInfo.php?workbook=14_04.xlsx&amp;sheet=A0&amp;row=2122&amp;col=7&amp;number=0&amp;sourceID=14","0")</f>
        <v>0</v>
      </c>
    </row>
    <row r="2123" spans="1:7">
      <c r="A2123" s="3">
        <v>14</v>
      </c>
      <c r="B2123" s="3">
        <v>4</v>
      </c>
      <c r="C2123" s="3">
        <v>52</v>
      </c>
      <c r="D2123" s="3">
        <v>38</v>
      </c>
      <c r="E2123" s="3">
        <v>-228.53</v>
      </c>
      <c r="F2123" s="4" t="str">
        <f>HYPERLINK("http://141.218.60.56/~jnz1568/getInfo.php?workbook=14_04.xlsx&amp;sheet=A0&amp;row=2123&amp;col=6&amp;number=45.87&amp;sourceID=14","45.87")</f>
        <v>45.87</v>
      </c>
      <c r="G2123" s="4" t="str">
        <f>HYPERLINK("http://141.218.60.56/~jnz1568/getInfo.php?workbook=14_04.xlsx&amp;sheet=A0&amp;row=2123&amp;col=7&amp;number=0&amp;sourceID=14","0")</f>
        <v>0</v>
      </c>
    </row>
    <row r="2124" spans="1:7">
      <c r="A2124" s="3">
        <v>14</v>
      </c>
      <c r="B2124" s="3">
        <v>4</v>
      </c>
      <c r="C2124" s="3">
        <v>53</v>
      </c>
      <c r="D2124" s="3">
        <v>38</v>
      </c>
      <c r="E2124" s="3">
        <v>-221.414</v>
      </c>
      <c r="F2124" s="4" t="str">
        <f>HYPERLINK("http://141.218.60.56/~jnz1568/getInfo.php?workbook=14_04.xlsx&amp;sheet=A0&amp;row=2124&amp;col=6&amp;number=5880000&amp;sourceID=14","5880000")</f>
        <v>5880000</v>
      </c>
      <c r="G2124" s="4" t="str">
        <f>HYPERLINK("http://141.218.60.56/~jnz1568/getInfo.php?workbook=14_04.xlsx&amp;sheet=A0&amp;row=2124&amp;col=7&amp;number=0&amp;sourceID=14","0")</f>
        <v>0</v>
      </c>
    </row>
    <row r="2125" spans="1:7">
      <c r="A2125" s="3">
        <v>14</v>
      </c>
      <c r="B2125" s="3">
        <v>4</v>
      </c>
      <c r="C2125" s="3">
        <v>54</v>
      </c>
      <c r="D2125" s="3">
        <v>38</v>
      </c>
      <c r="E2125" s="3">
        <v>-221.361</v>
      </c>
      <c r="F2125" s="4" t="str">
        <f>HYPERLINK("http://141.218.60.56/~jnz1568/getInfo.php?workbook=14_04.xlsx&amp;sheet=A0&amp;row=2125&amp;col=6&amp;number=20890000&amp;sourceID=14","20890000")</f>
        <v>20890000</v>
      </c>
      <c r="G2125" s="4" t="str">
        <f>HYPERLINK("http://141.218.60.56/~jnz1568/getInfo.php?workbook=14_04.xlsx&amp;sheet=A0&amp;row=2125&amp;col=7&amp;number=0&amp;sourceID=14","0")</f>
        <v>0</v>
      </c>
    </row>
    <row r="2126" spans="1:7">
      <c r="A2126" s="3">
        <v>14</v>
      </c>
      <c r="B2126" s="3">
        <v>4</v>
      </c>
      <c r="C2126" s="3">
        <v>56</v>
      </c>
      <c r="D2126" s="3">
        <v>38</v>
      </c>
      <c r="E2126" s="3">
        <v>-216.26</v>
      </c>
      <c r="F2126" s="4" t="str">
        <f>HYPERLINK("http://141.218.60.56/~jnz1568/getInfo.php?workbook=14_04.xlsx&amp;sheet=A0&amp;row=2126&amp;col=6&amp;number=6510000&amp;sourceID=14","6510000")</f>
        <v>6510000</v>
      </c>
      <c r="G2126" s="4" t="str">
        <f>HYPERLINK("http://141.218.60.56/~jnz1568/getInfo.php?workbook=14_04.xlsx&amp;sheet=A0&amp;row=2126&amp;col=7&amp;number=0&amp;sourceID=14","0")</f>
        <v>0</v>
      </c>
    </row>
    <row r="2127" spans="1:7">
      <c r="A2127" s="3">
        <v>14</v>
      </c>
      <c r="B2127" s="3">
        <v>4</v>
      </c>
      <c r="C2127" s="3">
        <v>57</v>
      </c>
      <c r="D2127" s="3">
        <v>38</v>
      </c>
      <c r="E2127" s="3">
        <v>-165.798</v>
      </c>
      <c r="F2127" s="4" t="str">
        <f>HYPERLINK("http://141.218.60.56/~jnz1568/getInfo.php?workbook=14_04.xlsx&amp;sheet=A0&amp;row=2127&amp;col=6&amp;number=0.04468&amp;sourceID=14","0.04468")</f>
        <v>0.04468</v>
      </c>
      <c r="G2127" s="4" t="str">
        <f>HYPERLINK("http://141.218.60.56/~jnz1568/getInfo.php?workbook=14_04.xlsx&amp;sheet=A0&amp;row=2127&amp;col=7&amp;number=0&amp;sourceID=14","0")</f>
        <v>0</v>
      </c>
    </row>
    <row r="2128" spans="1:7">
      <c r="A2128" s="3">
        <v>14</v>
      </c>
      <c r="B2128" s="3">
        <v>4</v>
      </c>
      <c r="C2128" s="3">
        <v>58</v>
      </c>
      <c r="D2128" s="3">
        <v>38</v>
      </c>
      <c r="E2128" s="3">
        <v>-165.4</v>
      </c>
      <c r="F2128" s="4" t="str">
        <f>HYPERLINK("http://141.218.60.56/~jnz1568/getInfo.php?workbook=14_04.xlsx&amp;sheet=A0&amp;row=2128&amp;col=6&amp;number=461000&amp;sourceID=14","461000")</f>
        <v>461000</v>
      </c>
      <c r="G2128" s="4" t="str">
        <f>HYPERLINK("http://141.218.60.56/~jnz1568/getInfo.php?workbook=14_04.xlsx&amp;sheet=A0&amp;row=2128&amp;col=7&amp;number=0&amp;sourceID=14","0")</f>
        <v>0</v>
      </c>
    </row>
    <row r="2129" spans="1:7">
      <c r="A2129" s="3">
        <v>14</v>
      </c>
      <c r="B2129" s="3">
        <v>4</v>
      </c>
      <c r="C2129" s="3">
        <v>59</v>
      </c>
      <c r="D2129" s="3">
        <v>38</v>
      </c>
      <c r="E2129" s="3">
        <v>-163.605</v>
      </c>
      <c r="F2129" s="4" t="str">
        <f>HYPERLINK("http://141.218.60.56/~jnz1568/getInfo.php?workbook=14_04.xlsx&amp;sheet=A0&amp;row=2129&amp;col=6&amp;number=50350&amp;sourceID=14","50350")</f>
        <v>50350</v>
      </c>
      <c r="G2129" s="4" t="str">
        <f>HYPERLINK("http://141.218.60.56/~jnz1568/getInfo.php?workbook=14_04.xlsx&amp;sheet=A0&amp;row=2129&amp;col=7&amp;number=0&amp;sourceID=14","0")</f>
        <v>0</v>
      </c>
    </row>
    <row r="2130" spans="1:7">
      <c r="A2130" s="3">
        <v>14</v>
      </c>
      <c r="B2130" s="3">
        <v>4</v>
      </c>
      <c r="C2130" s="3">
        <v>60</v>
      </c>
      <c r="D2130" s="3">
        <v>38</v>
      </c>
      <c r="E2130" s="3">
        <v>-161.954</v>
      </c>
      <c r="F2130" s="4" t="str">
        <f>HYPERLINK("http://141.218.60.56/~jnz1568/getInfo.php?workbook=14_04.xlsx&amp;sheet=A0&amp;row=2130&amp;col=6&amp;number=26520&amp;sourceID=14","26520")</f>
        <v>26520</v>
      </c>
      <c r="G2130" s="4" t="str">
        <f>HYPERLINK("http://141.218.60.56/~jnz1568/getInfo.php?workbook=14_04.xlsx&amp;sheet=A0&amp;row=2130&amp;col=7&amp;number=0&amp;sourceID=14","0")</f>
        <v>0</v>
      </c>
    </row>
    <row r="2131" spans="1:7">
      <c r="A2131" s="3">
        <v>14</v>
      </c>
      <c r="B2131" s="3">
        <v>4</v>
      </c>
      <c r="C2131" s="3">
        <v>61</v>
      </c>
      <c r="D2131" s="3">
        <v>38</v>
      </c>
      <c r="E2131" s="3">
        <v>-158.883</v>
      </c>
      <c r="F2131" s="4" t="str">
        <f>HYPERLINK("http://141.218.60.56/~jnz1568/getInfo.php?workbook=14_04.xlsx&amp;sheet=A0&amp;row=2131&amp;col=6&amp;number=37780000&amp;sourceID=14","37780000")</f>
        <v>37780000</v>
      </c>
      <c r="G2131" s="4" t="str">
        <f>HYPERLINK("http://141.218.60.56/~jnz1568/getInfo.php?workbook=14_04.xlsx&amp;sheet=A0&amp;row=2131&amp;col=7&amp;number=0&amp;sourceID=14","0")</f>
        <v>0</v>
      </c>
    </row>
    <row r="2132" spans="1:7">
      <c r="A2132" s="3">
        <v>14</v>
      </c>
      <c r="B2132" s="3">
        <v>4</v>
      </c>
      <c r="C2132" s="3">
        <v>62</v>
      </c>
      <c r="D2132" s="3">
        <v>38</v>
      </c>
      <c r="E2132" s="3">
        <v>-159.996</v>
      </c>
      <c r="F2132" s="4" t="str">
        <f>HYPERLINK("http://141.218.60.56/~jnz1568/getInfo.php?workbook=14_04.xlsx&amp;sheet=A0&amp;row=2132&amp;col=6&amp;number=1057000000&amp;sourceID=14","1057000000")</f>
        <v>1057000000</v>
      </c>
      <c r="G2132" s="4" t="str">
        <f>HYPERLINK("http://141.218.60.56/~jnz1568/getInfo.php?workbook=14_04.xlsx&amp;sheet=A0&amp;row=2132&amp;col=7&amp;number=0&amp;sourceID=14","0")</f>
        <v>0</v>
      </c>
    </row>
    <row r="2133" spans="1:7">
      <c r="A2133" s="3">
        <v>14</v>
      </c>
      <c r="B2133" s="3">
        <v>4</v>
      </c>
      <c r="C2133" s="3">
        <v>63</v>
      </c>
      <c r="D2133" s="3">
        <v>38</v>
      </c>
      <c r="E2133" s="3">
        <v>-158.819</v>
      </c>
      <c r="F2133" s="4" t="str">
        <f>HYPERLINK("http://141.218.60.56/~jnz1568/getInfo.php?workbook=14_04.xlsx&amp;sheet=A0&amp;row=2133&amp;col=6&amp;number=21160000&amp;sourceID=14","21160000")</f>
        <v>21160000</v>
      </c>
      <c r="G2133" s="4" t="str">
        <f>HYPERLINK("http://141.218.60.56/~jnz1568/getInfo.php?workbook=14_04.xlsx&amp;sheet=A0&amp;row=2133&amp;col=7&amp;number=0&amp;sourceID=14","0")</f>
        <v>0</v>
      </c>
    </row>
    <row r="2134" spans="1:7">
      <c r="A2134" s="3">
        <v>14</v>
      </c>
      <c r="B2134" s="3">
        <v>4</v>
      </c>
      <c r="C2134" s="3">
        <v>65</v>
      </c>
      <c r="D2134" s="3">
        <v>38</v>
      </c>
      <c r="E2134" s="3">
        <v>-157.023</v>
      </c>
      <c r="F2134" s="4" t="str">
        <f>HYPERLINK("http://141.218.60.56/~jnz1568/getInfo.php?workbook=14_04.xlsx&amp;sheet=A0&amp;row=2134&amp;col=6&amp;number=1092000000&amp;sourceID=14","1092000000")</f>
        <v>1092000000</v>
      </c>
      <c r="G2134" s="4" t="str">
        <f>HYPERLINK("http://141.218.60.56/~jnz1568/getInfo.php?workbook=14_04.xlsx&amp;sheet=A0&amp;row=2134&amp;col=7&amp;number=0&amp;sourceID=14","0")</f>
        <v>0</v>
      </c>
    </row>
    <row r="2135" spans="1:7">
      <c r="A2135" s="3">
        <v>14</v>
      </c>
      <c r="B2135" s="3">
        <v>4</v>
      </c>
      <c r="C2135" s="3">
        <v>66</v>
      </c>
      <c r="D2135" s="3">
        <v>38</v>
      </c>
      <c r="E2135" s="3">
        <v>-157.06</v>
      </c>
      <c r="F2135" s="4" t="str">
        <f>HYPERLINK("http://141.218.60.56/~jnz1568/getInfo.php?workbook=14_04.xlsx&amp;sheet=A0&amp;row=2135&amp;col=6&amp;number=6188000000&amp;sourceID=14","6188000000")</f>
        <v>6188000000</v>
      </c>
      <c r="G2135" s="4" t="str">
        <f>HYPERLINK("http://141.218.60.56/~jnz1568/getInfo.php?workbook=14_04.xlsx&amp;sheet=A0&amp;row=2135&amp;col=7&amp;number=0&amp;sourceID=14","0")</f>
        <v>0</v>
      </c>
    </row>
    <row r="2136" spans="1:7">
      <c r="A2136" s="3">
        <v>14</v>
      </c>
      <c r="B2136" s="3">
        <v>4</v>
      </c>
      <c r="C2136" s="3">
        <v>67</v>
      </c>
      <c r="D2136" s="3">
        <v>38</v>
      </c>
      <c r="E2136" s="3">
        <v>-155.952</v>
      </c>
      <c r="F2136" s="4" t="str">
        <f>HYPERLINK("http://141.218.60.56/~jnz1568/getInfo.php?workbook=14_04.xlsx&amp;sheet=A0&amp;row=2136&amp;col=6&amp;number=557900000&amp;sourceID=14","557900000")</f>
        <v>557900000</v>
      </c>
      <c r="G2136" s="4" t="str">
        <f>HYPERLINK("http://141.218.60.56/~jnz1568/getInfo.php?workbook=14_04.xlsx&amp;sheet=A0&amp;row=2136&amp;col=7&amp;number=0&amp;sourceID=14","0")</f>
        <v>0</v>
      </c>
    </row>
    <row r="2137" spans="1:7">
      <c r="A2137" s="3">
        <v>14</v>
      </c>
      <c r="B2137" s="3">
        <v>4</v>
      </c>
      <c r="C2137" s="3">
        <v>68</v>
      </c>
      <c r="D2137" s="3">
        <v>38</v>
      </c>
      <c r="E2137" s="3">
        <v>-155.76</v>
      </c>
      <c r="F2137" s="4" t="str">
        <f>HYPERLINK("http://141.218.60.56/~jnz1568/getInfo.php?workbook=14_04.xlsx&amp;sheet=A0&amp;row=2137&amp;col=6&amp;number=8264000&amp;sourceID=14","8264000")</f>
        <v>8264000</v>
      </c>
      <c r="G2137" s="4" t="str">
        <f>HYPERLINK("http://141.218.60.56/~jnz1568/getInfo.php?workbook=14_04.xlsx&amp;sheet=A0&amp;row=2137&amp;col=7&amp;number=0&amp;sourceID=14","0")</f>
        <v>0</v>
      </c>
    </row>
    <row r="2138" spans="1:7">
      <c r="A2138" s="3">
        <v>14</v>
      </c>
      <c r="B2138" s="3">
        <v>4</v>
      </c>
      <c r="C2138" s="3">
        <v>69</v>
      </c>
      <c r="D2138" s="3">
        <v>38</v>
      </c>
      <c r="E2138" s="3">
        <v>-155.563</v>
      </c>
      <c r="F2138" s="4" t="str">
        <f>HYPERLINK("http://141.218.60.56/~jnz1568/getInfo.php?workbook=14_04.xlsx&amp;sheet=A0&amp;row=2138&amp;col=6&amp;number=348900&amp;sourceID=14","348900")</f>
        <v>348900</v>
      </c>
      <c r="G2138" s="4" t="str">
        <f>HYPERLINK("http://141.218.60.56/~jnz1568/getInfo.php?workbook=14_04.xlsx&amp;sheet=A0&amp;row=2138&amp;col=7&amp;number=0&amp;sourceID=14","0")</f>
        <v>0</v>
      </c>
    </row>
    <row r="2139" spans="1:7">
      <c r="A2139" s="3">
        <v>14</v>
      </c>
      <c r="B2139" s="3">
        <v>4</v>
      </c>
      <c r="C2139" s="3">
        <v>70</v>
      </c>
      <c r="D2139" s="3">
        <v>38</v>
      </c>
      <c r="E2139" s="3">
        <v>-154.737</v>
      </c>
      <c r="F2139" s="4" t="str">
        <f>HYPERLINK("http://141.218.60.56/~jnz1568/getInfo.php?workbook=14_04.xlsx&amp;sheet=A0&amp;row=2139&amp;col=6&amp;number=56550&amp;sourceID=14","56550")</f>
        <v>56550</v>
      </c>
      <c r="G2139" s="4" t="str">
        <f>HYPERLINK("http://141.218.60.56/~jnz1568/getInfo.php?workbook=14_04.xlsx&amp;sheet=A0&amp;row=2139&amp;col=7&amp;number=0&amp;sourceID=14","0")</f>
        <v>0</v>
      </c>
    </row>
    <row r="2140" spans="1:7">
      <c r="A2140" s="3">
        <v>14</v>
      </c>
      <c r="B2140" s="3">
        <v>4</v>
      </c>
      <c r="C2140" s="3">
        <v>71</v>
      </c>
      <c r="D2140" s="3">
        <v>38</v>
      </c>
      <c r="E2140" s="3">
        <v>-154.399</v>
      </c>
      <c r="F2140" s="4" t="str">
        <f>HYPERLINK("http://141.218.60.56/~jnz1568/getInfo.php?workbook=14_04.xlsx&amp;sheet=A0&amp;row=2140&amp;col=6&amp;number=3937&amp;sourceID=14","3937")</f>
        <v>3937</v>
      </c>
      <c r="G2140" s="4" t="str">
        <f>HYPERLINK("http://141.218.60.56/~jnz1568/getInfo.php?workbook=14_04.xlsx&amp;sheet=A0&amp;row=2140&amp;col=7&amp;number=0&amp;sourceID=14","0")</f>
        <v>0</v>
      </c>
    </row>
    <row r="2141" spans="1:7">
      <c r="A2141" s="3">
        <v>14</v>
      </c>
      <c r="B2141" s="3">
        <v>4</v>
      </c>
      <c r="C2141" s="3">
        <v>72</v>
      </c>
      <c r="D2141" s="3">
        <v>38</v>
      </c>
      <c r="E2141" s="3">
        <v>-153.882</v>
      </c>
      <c r="F2141" s="4" t="str">
        <f>HYPERLINK("http://141.218.60.56/~jnz1568/getInfo.php?workbook=14_04.xlsx&amp;sheet=A0&amp;row=2141&amp;col=6&amp;number=1662000000&amp;sourceID=14","1662000000")</f>
        <v>1662000000</v>
      </c>
      <c r="G2141" s="4" t="str">
        <f>HYPERLINK("http://141.218.60.56/~jnz1568/getInfo.php?workbook=14_04.xlsx&amp;sheet=A0&amp;row=2141&amp;col=7&amp;number=0&amp;sourceID=14","0")</f>
        <v>0</v>
      </c>
    </row>
    <row r="2142" spans="1:7">
      <c r="A2142" s="3">
        <v>14</v>
      </c>
      <c r="B2142" s="3">
        <v>4</v>
      </c>
      <c r="C2142" s="3">
        <v>74</v>
      </c>
      <c r="D2142" s="3">
        <v>38</v>
      </c>
      <c r="E2142" s="3">
        <v>-153.215</v>
      </c>
      <c r="F2142" s="4" t="str">
        <f>HYPERLINK("http://141.218.60.56/~jnz1568/getInfo.php?workbook=14_04.xlsx&amp;sheet=A0&amp;row=2142&amp;col=6&amp;number=471500&amp;sourceID=14","471500")</f>
        <v>471500</v>
      </c>
      <c r="G2142" s="4" t="str">
        <f>HYPERLINK("http://141.218.60.56/~jnz1568/getInfo.php?workbook=14_04.xlsx&amp;sheet=A0&amp;row=2142&amp;col=7&amp;number=0&amp;sourceID=14","0")</f>
        <v>0</v>
      </c>
    </row>
    <row r="2143" spans="1:7">
      <c r="A2143" s="3">
        <v>14</v>
      </c>
      <c r="B2143" s="3">
        <v>4</v>
      </c>
      <c r="C2143" s="3">
        <v>75</v>
      </c>
      <c r="D2143" s="3">
        <v>38</v>
      </c>
      <c r="E2143" s="3">
        <v>-152.766</v>
      </c>
      <c r="F2143" s="4" t="str">
        <f>HYPERLINK("http://141.218.60.56/~jnz1568/getInfo.php?workbook=14_04.xlsx&amp;sheet=A0&amp;row=2143&amp;col=6&amp;number=429100&amp;sourceID=14","429100")</f>
        <v>429100</v>
      </c>
      <c r="G2143" s="4" t="str">
        <f>HYPERLINK("http://141.218.60.56/~jnz1568/getInfo.php?workbook=14_04.xlsx&amp;sheet=A0&amp;row=2143&amp;col=7&amp;number=0&amp;sourceID=14","0")</f>
        <v>0</v>
      </c>
    </row>
    <row r="2144" spans="1:7">
      <c r="A2144" s="3">
        <v>14</v>
      </c>
      <c r="B2144" s="3">
        <v>4</v>
      </c>
      <c r="C2144" s="3">
        <v>76</v>
      </c>
      <c r="D2144" s="3">
        <v>38</v>
      </c>
      <c r="E2144" s="3">
        <v>-152.139</v>
      </c>
      <c r="F2144" s="4" t="str">
        <f>HYPERLINK("http://141.218.60.56/~jnz1568/getInfo.php?workbook=14_04.xlsx&amp;sheet=A0&amp;row=2144&amp;col=6&amp;number=17300&amp;sourceID=14","17300")</f>
        <v>17300</v>
      </c>
      <c r="G2144" s="4" t="str">
        <f>HYPERLINK("http://141.218.60.56/~jnz1568/getInfo.php?workbook=14_04.xlsx&amp;sheet=A0&amp;row=2144&amp;col=7&amp;number=0&amp;sourceID=14","0")</f>
        <v>0</v>
      </c>
    </row>
    <row r="2145" spans="1:7">
      <c r="A2145" s="3">
        <v>14</v>
      </c>
      <c r="B2145" s="3">
        <v>4</v>
      </c>
      <c r="C2145" s="3">
        <v>77</v>
      </c>
      <c r="D2145" s="3">
        <v>38</v>
      </c>
      <c r="E2145" s="3">
        <v>-151.576</v>
      </c>
      <c r="F2145" s="4" t="str">
        <f>HYPERLINK("http://141.218.60.56/~jnz1568/getInfo.php?workbook=14_04.xlsx&amp;sheet=A0&amp;row=2145&amp;col=6&amp;number=10110&amp;sourceID=14","10110")</f>
        <v>10110</v>
      </c>
      <c r="G2145" s="4" t="str">
        <f>HYPERLINK("http://141.218.60.56/~jnz1568/getInfo.php?workbook=14_04.xlsx&amp;sheet=A0&amp;row=2145&amp;col=7&amp;number=0&amp;sourceID=14","0")</f>
        <v>0</v>
      </c>
    </row>
    <row r="2146" spans="1:7">
      <c r="A2146" s="3">
        <v>14</v>
      </c>
      <c r="B2146" s="3">
        <v>4</v>
      </c>
      <c r="C2146" s="3">
        <v>78</v>
      </c>
      <c r="D2146" s="3">
        <v>38</v>
      </c>
      <c r="E2146" s="3">
        <v>-151.399</v>
      </c>
      <c r="F2146" s="4" t="str">
        <f>HYPERLINK("http://141.218.60.56/~jnz1568/getInfo.php?workbook=14_04.xlsx&amp;sheet=A0&amp;row=2146&amp;col=6&amp;number=120200&amp;sourceID=14","120200")</f>
        <v>120200</v>
      </c>
      <c r="G2146" s="4" t="str">
        <f>HYPERLINK("http://141.218.60.56/~jnz1568/getInfo.php?workbook=14_04.xlsx&amp;sheet=A0&amp;row=2146&amp;col=7&amp;number=0&amp;sourceID=14","0")</f>
        <v>0</v>
      </c>
    </row>
    <row r="2147" spans="1:7">
      <c r="A2147" s="3">
        <v>14</v>
      </c>
      <c r="B2147" s="3">
        <v>4</v>
      </c>
      <c r="C2147" s="3">
        <v>79</v>
      </c>
      <c r="D2147" s="3">
        <v>38</v>
      </c>
      <c r="E2147" s="3">
        <v>-151.299</v>
      </c>
      <c r="F2147" s="4" t="str">
        <f>HYPERLINK("http://141.218.60.56/~jnz1568/getInfo.php?workbook=14_04.xlsx&amp;sheet=A0&amp;row=2147&amp;col=6&amp;number=0.2002&amp;sourceID=14","0.2002")</f>
        <v>0.2002</v>
      </c>
      <c r="G2147" s="4" t="str">
        <f>HYPERLINK("http://141.218.60.56/~jnz1568/getInfo.php?workbook=14_04.xlsx&amp;sheet=A0&amp;row=2147&amp;col=7&amp;number=0&amp;sourceID=14","0")</f>
        <v>0</v>
      </c>
    </row>
    <row r="2148" spans="1:7">
      <c r="A2148" s="3">
        <v>14</v>
      </c>
      <c r="B2148" s="3">
        <v>4</v>
      </c>
      <c r="C2148" s="3">
        <v>80</v>
      </c>
      <c r="D2148" s="3">
        <v>38</v>
      </c>
      <c r="E2148" s="3">
        <v>-150.751</v>
      </c>
      <c r="F2148" s="4" t="str">
        <f>HYPERLINK("http://141.218.60.56/~jnz1568/getInfo.php?workbook=14_04.xlsx&amp;sheet=A0&amp;row=2148&amp;col=6&amp;number=33380000&amp;sourceID=14","33380000")</f>
        <v>33380000</v>
      </c>
      <c r="G2148" s="4" t="str">
        <f>HYPERLINK("http://141.218.60.56/~jnz1568/getInfo.php?workbook=14_04.xlsx&amp;sheet=A0&amp;row=2148&amp;col=7&amp;number=0&amp;sourceID=14","0")</f>
        <v>0</v>
      </c>
    </row>
    <row r="2149" spans="1:7">
      <c r="A2149" s="3">
        <v>14</v>
      </c>
      <c r="B2149" s="3">
        <v>4</v>
      </c>
      <c r="C2149" s="3">
        <v>81</v>
      </c>
      <c r="D2149" s="3">
        <v>38</v>
      </c>
      <c r="E2149" s="3">
        <v>-149.018</v>
      </c>
      <c r="F2149" s="4" t="str">
        <f>HYPERLINK("http://141.218.60.56/~jnz1568/getInfo.php?workbook=14_04.xlsx&amp;sheet=A0&amp;row=2149&amp;col=6&amp;number=23.16&amp;sourceID=14","23.16")</f>
        <v>23.16</v>
      </c>
      <c r="G2149" s="4" t="str">
        <f>HYPERLINK("http://141.218.60.56/~jnz1568/getInfo.php?workbook=14_04.xlsx&amp;sheet=A0&amp;row=2149&amp;col=7&amp;number=0&amp;sourceID=14","0")</f>
        <v>0</v>
      </c>
    </row>
    <row r="2150" spans="1:7">
      <c r="A2150" s="3">
        <v>14</v>
      </c>
      <c r="B2150" s="3">
        <v>4</v>
      </c>
      <c r="C2150" s="3">
        <v>82</v>
      </c>
      <c r="D2150" s="3">
        <v>38</v>
      </c>
      <c r="E2150" s="3">
        <v>-148.635</v>
      </c>
      <c r="F2150" s="4" t="str">
        <f>HYPERLINK("http://141.218.60.56/~jnz1568/getInfo.php?workbook=14_04.xlsx&amp;sheet=A0&amp;row=2150&amp;col=6&amp;number=8625&amp;sourceID=14","8625")</f>
        <v>8625</v>
      </c>
      <c r="G2150" s="4" t="str">
        <f>HYPERLINK("http://141.218.60.56/~jnz1568/getInfo.php?workbook=14_04.xlsx&amp;sheet=A0&amp;row=2150&amp;col=7&amp;number=0&amp;sourceID=14","0")</f>
        <v>0</v>
      </c>
    </row>
    <row r="2151" spans="1:7">
      <c r="A2151" s="3">
        <v>14</v>
      </c>
      <c r="B2151" s="3">
        <v>4</v>
      </c>
      <c r="C2151" s="3">
        <v>83</v>
      </c>
      <c r="D2151" s="3">
        <v>38</v>
      </c>
      <c r="E2151" s="3">
        <v>-136.294</v>
      </c>
      <c r="F2151" s="4" t="str">
        <f>HYPERLINK("http://141.218.60.56/~jnz1568/getInfo.php?workbook=14_04.xlsx&amp;sheet=A0&amp;row=2151&amp;col=6&amp;number=7268000&amp;sourceID=14","7268000")</f>
        <v>7268000</v>
      </c>
      <c r="G2151" s="4" t="str">
        <f>HYPERLINK("http://141.218.60.56/~jnz1568/getInfo.php?workbook=14_04.xlsx&amp;sheet=A0&amp;row=2151&amp;col=7&amp;number=0&amp;sourceID=14","0")</f>
        <v>0</v>
      </c>
    </row>
    <row r="2152" spans="1:7">
      <c r="A2152" s="3">
        <v>14</v>
      </c>
      <c r="B2152" s="3">
        <v>4</v>
      </c>
      <c r="C2152" s="3">
        <v>84</v>
      </c>
      <c r="D2152" s="3">
        <v>38</v>
      </c>
      <c r="E2152" s="3">
        <v>-134.971</v>
      </c>
      <c r="F2152" s="4" t="str">
        <f>HYPERLINK("http://141.218.60.56/~jnz1568/getInfo.php?workbook=14_04.xlsx&amp;sheet=A0&amp;row=2152&amp;col=6&amp;number=2525000&amp;sourceID=14","2525000")</f>
        <v>2525000</v>
      </c>
      <c r="G2152" s="4" t="str">
        <f>HYPERLINK("http://141.218.60.56/~jnz1568/getInfo.php?workbook=14_04.xlsx&amp;sheet=A0&amp;row=2152&amp;col=7&amp;number=0&amp;sourceID=14","0")</f>
        <v>0</v>
      </c>
    </row>
    <row r="2153" spans="1:7">
      <c r="A2153" s="3">
        <v>14</v>
      </c>
      <c r="B2153" s="3">
        <v>4</v>
      </c>
      <c r="C2153" s="3">
        <v>85</v>
      </c>
      <c r="D2153" s="3">
        <v>38</v>
      </c>
      <c r="E2153" s="3">
        <v>-133.649</v>
      </c>
      <c r="F2153" s="4" t="str">
        <f>HYPERLINK("http://141.218.60.56/~jnz1568/getInfo.php?workbook=14_04.xlsx&amp;sheet=A0&amp;row=2153&amp;col=6&amp;number=0.007589&amp;sourceID=14","0.007589")</f>
        <v>0.007589</v>
      </c>
      <c r="G2153" s="4" t="str">
        <f>HYPERLINK("http://141.218.60.56/~jnz1568/getInfo.php?workbook=14_04.xlsx&amp;sheet=A0&amp;row=2153&amp;col=7&amp;number=0&amp;sourceID=14","0")</f>
        <v>0</v>
      </c>
    </row>
    <row r="2154" spans="1:7">
      <c r="A2154" s="3">
        <v>14</v>
      </c>
      <c r="B2154" s="3">
        <v>4</v>
      </c>
      <c r="C2154" s="3">
        <v>86</v>
      </c>
      <c r="D2154" s="3">
        <v>38</v>
      </c>
      <c r="E2154" s="3">
        <v>-133.627</v>
      </c>
      <c r="F2154" s="4" t="str">
        <f>HYPERLINK("http://141.218.60.56/~jnz1568/getInfo.php?workbook=14_04.xlsx&amp;sheet=A0&amp;row=2154&amp;col=6&amp;number=98.65&amp;sourceID=14","98.65")</f>
        <v>98.65</v>
      </c>
      <c r="G2154" s="4" t="str">
        <f>HYPERLINK("http://141.218.60.56/~jnz1568/getInfo.php?workbook=14_04.xlsx&amp;sheet=A0&amp;row=2154&amp;col=7&amp;number=0&amp;sourceID=14","0")</f>
        <v>0</v>
      </c>
    </row>
    <row r="2155" spans="1:7">
      <c r="A2155" s="3">
        <v>14</v>
      </c>
      <c r="B2155" s="3">
        <v>4</v>
      </c>
      <c r="C2155" s="3">
        <v>87</v>
      </c>
      <c r="D2155" s="3">
        <v>38</v>
      </c>
      <c r="E2155" s="3">
        <v>-133.576</v>
      </c>
      <c r="F2155" s="4" t="str">
        <f>HYPERLINK("http://141.218.60.56/~jnz1568/getInfo.php?workbook=14_04.xlsx&amp;sheet=A0&amp;row=2155&amp;col=6&amp;number=2269&amp;sourceID=14","2269")</f>
        <v>2269</v>
      </c>
      <c r="G2155" s="4" t="str">
        <f>HYPERLINK("http://141.218.60.56/~jnz1568/getInfo.php?workbook=14_04.xlsx&amp;sheet=A0&amp;row=2155&amp;col=7&amp;number=0&amp;sourceID=14","0")</f>
        <v>0</v>
      </c>
    </row>
    <row r="2156" spans="1:7">
      <c r="A2156" s="3">
        <v>14</v>
      </c>
      <c r="B2156" s="3">
        <v>4</v>
      </c>
      <c r="C2156" s="3">
        <v>88</v>
      </c>
      <c r="D2156" s="3">
        <v>38</v>
      </c>
      <c r="E2156" s="3">
        <v>-133.12</v>
      </c>
      <c r="F2156" s="4" t="str">
        <f>HYPERLINK("http://141.218.60.56/~jnz1568/getInfo.php?workbook=14_04.xlsx&amp;sheet=A0&amp;row=2156&amp;col=6&amp;number=467.9&amp;sourceID=14","467.9")</f>
        <v>467.9</v>
      </c>
      <c r="G2156" s="4" t="str">
        <f>HYPERLINK("http://141.218.60.56/~jnz1568/getInfo.php?workbook=14_04.xlsx&amp;sheet=A0&amp;row=2156&amp;col=7&amp;number=0&amp;sourceID=14","0")</f>
        <v>0</v>
      </c>
    </row>
    <row r="2157" spans="1:7">
      <c r="A2157" s="3">
        <v>14</v>
      </c>
      <c r="B2157" s="3">
        <v>4</v>
      </c>
      <c r="C2157" s="3">
        <v>89</v>
      </c>
      <c r="D2157" s="3">
        <v>38</v>
      </c>
      <c r="E2157" s="3">
        <v>-132.134</v>
      </c>
      <c r="F2157" s="4" t="str">
        <f>HYPERLINK("http://141.218.60.56/~jnz1568/getInfo.php?workbook=14_04.xlsx&amp;sheet=A0&amp;row=2157&amp;col=6&amp;number=149200&amp;sourceID=14","149200")</f>
        <v>149200</v>
      </c>
      <c r="G2157" s="4" t="str">
        <f>HYPERLINK("http://141.218.60.56/~jnz1568/getInfo.php?workbook=14_04.xlsx&amp;sheet=A0&amp;row=2157&amp;col=7&amp;number=0&amp;sourceID=14","0")</f>
        <v>0</v>
      </c>
    </row>
    <row r="2158" spans="1:7">
      <c r="A2158" s="3">
        <v>14</v>
      </c>
      <c r="B2158" s="3">
        <v>4</v>
      </c>
      <c r="C2158" s="3">
        <v>90</v>
      </c>
      <c r="D2158" s="3">
        <v>38</v>
      </c>
      <c r="E2158" s="3">
        <v>-132.125</v>
      </c>
      <c r="F2158" s="4" t="str">
        <f>HYPERLINK("http://141.218.60.56/~jnz1568/getInfo.php?workbook=14_04.xlsx&amp;sheet=A0&amp;row=2158&amp;col=6&amp;number=28170000&amp;sourceID=14","28170000")</f>
        <v>28170000</v>
      </c>
      <c r="G2158" s="4" t="str">
        <f>HYPERLINK("http://141.218.60.56/~jnz1568/getInfo.php?workbook=14_04.xlsx&amp;sheet=A0&amp;row=2158&amp;col=7&amp;number=0&amp;sourceID=14","0")</f>
        <v>0</v>
      </c>
    </row>
    <row r="2159" spans="1:7">
      <c r="A2159" s="3">
        <v>14</v>
      </c>
      <c r="B2159" s="3">
        <v>4</v>
      </c>
      <c r="C2159" s="3">
        <v>92</v>
      </c>
      <c r="D2159" s="3">
        <v>38</v>
      </c>
      <c r="E2159" s="3">
        <v>-131.268</v>
      </c>
      <c r="F2159" s="4" t="str">
        <f>HYPERLINK("http://141.218.60.56/~jnz1568/getInfo.php?workbook=14_04.xlsx&amp;sheet=A0&amp;row=2159&amp;col=6&amp;number=1977000&amp;sourceID=14","1977000")</f>
        <v>1977000</v>
      </c>
      <c r="G2159" s="4" t="str">
        <f>HYPERLINK("http://141.218.60.56/~jnz1568/getInfo.php?workbook=14_04.xlsx&amp;sheet=A0&amp;row=2159&amp;col=7&amp;number=0&amp;sourceID=14","0")</f>
        <v>0</v>
      </c>
    </row>
    <row r="2160" spans="1:7">
      <c r="A2160" s="3">
        <v>14</v>
      </c>
      <c r="B2160" s="3">
        <v>4</v>
      </c>
      <c r="C2160" s="3">
        <v>40</v>
      </c>
      <c r="D2160" s="3">
        <v>39</v>
      </c>
      <c r="E2160" s="3">
        <v>33145.57</v>
      </c>
      <c r="F2160" s="4" t="str">
        <f>HYPERLINK("http://141.218.60.56/~jnz1568/getInfo.php?workbook=14_04.xlsx&amp;sheet=A0&amp;row=2160&amp;col=6&amp;number=0.4488&amp;sourceID=14","0.4488")</f>
        <v>0.4488</v>
      </c>
      <c r="G2160" s="4" t="str">
        <f>HYPERLINK("http://141.218.60.56/~jnz1568/getInfo.php?workbook=14_04.xlsx&amp;sheet=A0&amp;row=2160&amp;col=7&amp;number=0&amp;sourceID=14","0")</f>
        <v>0</v>
      </c>
    </row>
    <row r="2161" spans="1:7">
      <c r="A2161" s="3">
        <v>14</v>
      </c>
      <c r="B2161" s="3">
        <v>4</v>
      </c>
      <c r="C2161" s="3">
        <v>41</v>
      </c>
      <c r="D2161" s="3">
        <v>39</v>
      </c>
      <c r="E2161" s="3">
        <v>7176.188</v>
      </c>
      <c r="F2161" s="4" t="str">
        <f>HYPERLINK("http://141.218.60.56/~jnz1568/getInfo.php?workbook=14_04.xlsx&amp;sheet=A0&amp;row=2161&amp;col=6&amp;number=3.719&amp;sourceID=14","3.719")</f>
        <v>3.719</v>
      </c>
      <c r="G2161" s="4" t="str">
        <f>HYPERLINK("http://141.218.60.56/~jnz1568/getInfo.php?workbook=14_04.xlsx&amp;sheet=A0&amp;row=2161&amp;col=7&amp;number=0&amp;sourceID=14","0")</f>
        <v>0</v>
      </c>
    </row>
    <row r="2162" spans="1:7">
      <c r="A2162" s="3">
        <v>14</v>
      </c>
      <c r="B2162" s="3">
        <v>4</v>
      </c>
      <c r="C2162" s="3">
        <v>42</v>
      </c>
      <c r="D2162" s="3">
        <v>39</v>
      </c>
      <c r="E2162" s="3">
        <v>9090.926</v>
      </c>
      <c r="F2162" s="4" t="str">
        <f>HYPERLINK("http://141.218.60.56/~jnz1568/getInfo.php?workbook=14_04.xlsx&amp;sheet=A0&amp;row=2162&amp;col=6&amp;number=0.04523&amp;sourceID=14","0.04523")</f>
        <v>0.04523</v>
      </c>
      <c r="G2162" s="4" t="str">
        <f>HYPERLINK("http://141.218.60.56/~jnz1568/getInfo.php?workbook=14_04.xlsx&amp;sheet=A0&amp;row=2162&amp;col=7&amp;number=0&amp;sourceID=14","0")</f>
        <v>0</v>
      </c>
    </row>
    <row r="2163" spans="1:7">
      <c r="A2163" s="3">
        <v>14</v>
      </c>
      <c r="B2163" s="3">
        <v>4</v>
      </c>
      <c r="C2163" s="3">
        <v>43</v>
      </c>
      <c r="D2163" s="3">
        <v>39</v>
      </c>
      <c r="E2163" s="3">
        <v>7130.646</v>
      </c>
      <c r="F2163" s="4" t="str">
        <f>HYPERLINK("http://141.218.60.56/~jnz1568/getInfo.php?workbook=14_04.xlsx&amp;sheet=A0&amp;row=2163&amp;col=6&amp;number=0.004303&amp;sourceID=14","0.004303")</f>
        <v>0.004303</v>
      </c>
      <c r="G2163" s="4" t="str">
        <f>HYPERLINK("http://141.218.60.56/~jnz1568/getInfo.php?workbook=14_04.xlsx&amp;sheet=A0&amp;row=2163&amp;col=7&amp;number=0&amp;sourceID=14","0")</f>
        <v>0</v>
      </c>
    </row>
    <row r="2164" spans="1:7">
      <c r="A2164" s="3">
        <v>14</v>
      </c>
      <c r="B2164" s="3">
        <v>4</v>
      </c>
      <c r="C2164" s="3">
        <v>45</v>
      </c>
      <c r="D2164" s="3">
        <v>39</v>
      </c>
      <c r="E2164" s="3">
        <v>2494.081</v>
      </c>
      <c r="F2164" s="4" t="str">
        <f>HYPERLINK("http://141.218.60.56/~jnz1568/getInfo.php?workbook=14_04.xlsx&amp;sheet=A0&amp;row=2164&amp;col=6&amp;number=3.053&amp;sourceID=14","3.053")</f>
        <v>3.053</v>
      </c>
      <c r="G2164" s="4" t="str">
        <f>HYPERLINK("http://141.218.60.56/~jnz1568/getInfo.php?workbook=14_04.xlsx&amp;sheet=A0&amp;row=2164&amp;col=7&amp;number=0&amp;sourceID=14","0")</f>
        <v>0</v>
      </c>
    </row>
    <row r="2165" spans="1:7">
      <c r="A2165" s="3">
        <v>14</v>
      </c>
      <c r="B2165" s="3">
        <v>4</v>
      </c>
      <c r="C2165" s="3">
        <v>46</v>
      </c>
      <c r="D2165" s="3">
        <v>39</v>
      </c>
      <c r="E2165" s="3">
        <v>2439.386</v>
      </c>
      <c r="F2165" s="4" t="str">
        <f>HYPERLINK("http://141.218.60.56/~jnz1568/getInfo.php?workbook=14_04.xlsx&amp;sheet=A0&amp;row=2165&amp;col=6&amp;number=18.17&amp;sourceID=14","18.17")</f>
        <v>18.17</v>
      </c>
      <c r="G2165" s="4" t="str">
        <f>HYPERLINK("http://141.218.60.56/~jnz1568/getInfo.php?workbook=14_04.xlsx&amp;sheet=A0&amp;row=2165&amp;col=7&amp;number=0&amp;sourceID=14","0")</f>
        <v>0</v>
      </c>
    </row>
    <row r="2166" spans="1:7">
      <c r="A2166" s="3">
        <v>14</v>
      </c>
      <c r="B2166" s="3">
        <v>4</v>
      </c>
      <c r="C2166" s="3">
        <v>47</v>
      </c>
      <c r="D2166" s="3">
        <v>39</v>
      </c>
      <c r="E2166" s="3">
        <v>253.802</v>
      </c>
      <c r="F2166" s="4" t="str">
        <f>HYPERLINK("http://141.218.60.56/~jnz1568/getInfo.php?workbook=14_04.xlsx&amp;sheet=A0&amp;row=2166&amp;col=6&amp;number=7991000&amp;sourceID=14","7991000")</f>
        <v>7991000</v>
      </c>
      <c r="G2166" s="4" t="str">
        <f>HYPERLINK("http://141.218.60.56/~jnz1568/getInfo.php?workbook=14_04.xlsx&amp;sheet=A0&amp;row=2166&amp;col=7&amp;number=0&amp;sourceID=14","0")</f>
        <v>0</v>
      </c>
    </row>
    <row r="2167" spans="1:7">
      <c r="A2167" s="3">
        <v>14</v>
      </c>
      <c r="B2167" s="3">
        <v>4</v>
      </c>
      <c r="C2167" s="3">
        <v>49</v>
      </c>
      <c r="D2167" s="3">
        <v>39</v>
      </c>
      <c r="E2167" s="3">
        <v>225.703</v>
      </c>
      <c r="F2167" s="4" t="str">
        <f>HYPERLINK("http://141.218.60.56/~jnz1568/getInfo.php?workbook=14_04.xlsx&amp;sheet=A0&amp;row=2167&amp;col=6&amp;number=3721&amp;sourceID=14","3721")</f>
        <v>3721</v>
      </c>
      <c r="G2167" s="4" t="str">
        <f>HYPERLINK("http://141.218.60.56/~jnz1568/getInfo.php?workbook=14_04.xlsx&amp;sheet=A0&amp;row=2167&amp;col=7&amp;number=0&amp;sourceID=14","0")</f>
        <v>0</v>
      </c>
    </row>
    <row r="2168" spans="1:7">
      <c r="A2168" s="3">
        <v>14</v>
      </c>
      <c r="B2168" s="3">
        <v>4</v>
      </c>
      <c r="C2168" s="3">
        <v>50</v>
      </c>
      <c r="D2168" s="3">
        <v>39</v>
      </c>
      <c r="E2168" s="3">
        <v>225.703</v>
      </c>
      <c r="F2168" s="4" t="str">
        <f>HYPERLINK("http://141.218.60.56/~jnz1568/getInfo.php?workbook=14_04.xlsx&amp;sheet=A0&amp;row=2168&amp;col=6&amp;number=889.9&amp;sourceID=14","889.9")</f>
        <v>889.9</v>
      </c>
      <c r="G2168" s="4" t="str">
        <f>HYPERLINK("http://141.218.60.56/~jnz1568/getInfo.php?workbook=14_04.xlsx&amp;sheet=A0&amp;row=2168&amp;col=7&amp;number=0&amp;sourceID=14","0")</f>
        <v>0</v>
      </c>
    </row>
    <row r="2169" spans="1:7">
      <c r="A2169" s="3">
        <v>14</v>
      </c>
      <c r="B2169" s="3">
        <v>4</v>
      </c>
      <c r="C2169" s="3">
        <v>51</v>
      </c>
      <c r="D2169" s="3">
        <v>39</v>
      </c>
      <c r="E2169" s="3">
        <v>225.34</v>
      </c>
      <c r="F2169" s="4" t="str">
        <f>HYPERLINK("http://141.218.60.56/~jnz1568/getInfo.php?workbook=14_04.xlsx&amp;sheet=A0&amp;row=2169&amp;col=6&amp;number=51.41&amp;sourceID=14","51.41")</f>
        <v>51.41</v>
      </c>
      <c r="G2169" s="4" t="str">
        <f>HYPERLINK("http://141.218.60.56/~jnz1568/getInfo.php?workbook=14_04.xlsx&amp;sheet=A0&amp;row=2169&amp;col=7&amp;number=0&amp;sourceID=14","0")</f>
        <v>0</v>
      </c>
    </row>
    <row r="2170" spans="1:7">
      <c r="A2170" s="3">
        <v>14</v>
      </c>
      <c r="B2170" s="3">
        <v>4</v>
      </c>
      <c r="C2170" s="3">
        <v>52</v>
      </c>
      <c r="D2170" s="3">
        <v>39</v>
      </c>
      <c r="E2170" s="3">
        <v>227.496</v>
      </c>
      <c r="F2170" s="4" t="str">
        <f>HYPERLINK("http://141.218.60.56/~jnz1568/getInfo.php?workbook=14_04.xlsx&amp;sheet=A0&amp;row=2170&amp;col=6&amp;number=31.16&amp;sourceID=14","31.16")</f>
        <v>31.16</v>
      </c>
      <c r="G2170" s="4" t="str">
        <f>HYPERLINK("http://141.218.60.56/~jnz1568/getInfo.php?workbook=14_04.xlsx&amp;sheet=A0&amp;row=2170&amp;col=7&amp;number=0&amp;sourceID=14","0")</f>
        <v>0</v>
      </c>
    </row>
    <row r="2171" spans="1:7">
      <c r="A2171" s="3">
        <v>14</v>
      </c>
      <c r="B2171" s="3">
        <v>4</v>
      </c>
      <c r="C2171" s="3">
        <v>53</v>
      </c>
      <c r="D2171" s="3">
        <v>39</v>
      </c>
      <c r="E2171" s="3">
        <v>219.51</v>
      </c>
      <c r="F2171" s="4" t="str">
        <f>HYPERLINK("http://141.218.60.56/~jnz1568/getInfo.php?workbook=14_04.xlsx&amp;sheet=A0&amp;row=2171&amp;col=6&amp;number=4425000&amp;sourceID=14","4425000")</f>
        <v>4425000</v>
      </c>
      <c r="G2171" s="4" t="str">
        <f>HYPERLINK("http://141.218.60.56/~jnz1568/getInfo.php?workbook=14_04.xlsx&amp;sheet=A0&amp;row=2171&amp;col=7&amp;number=0&amp;sourceID=14","0")</f>
        <v>0</v>
      </c>
    </row>
    <row r="2172" spans="1:7">
      <c r="A2172" s="3">
        <v>14</v>
      </c>
      <c r="B2172" s="3">
        <v>4</v>
      </c>
      <c r="C2172" s="3">
        <v>54</v>
      </c>
      <c r="D2172" s="3">
        <v>39</v>
      </c>
      <c r="E2172" s="3">
        <v>219.523</v>
      </c>
      <c r="F2172" s="4" t="str">
        <f>HYPERLINK("http://141.218.60.56/~jnz1568/getInfo.php?workbook=14_04.xlsx&amp;sheet=A0&amp;row=2172&amp;col=6&amp;number=7419000&amp;sourceID=14","7419000")</f>
        <v>7419000</v>
      </c>
      <c r="G2172" s="4" t="str">
        <f>HYPERLINK("http://141.218.60.56/~jnz1568/getInfo.php?workbook=14_04.xlsx&amp;sheet=A0&amp;row=2172&amp;col=7&amp;number=0&amp;sourceID=14","0")</f>
        <v>0</v>
      </c>
    </row>
    <row r="2173" spans="1:7">
      <c r="A2173" s="3">
        <v>14</v>
      </c>
      <c r="B2173" s="3">
        <v>4</v>
      </c>
      <c r="C2173" s="3">
        <v>55</v>
      </c>
      <c r="D2173" s="3">
        <v>39</v>
      </c>
      <c r="E2173" s="3">
        <v>219.126</v>
      </c>
      <c r="F2173" s="4" t="str">
        <f>HYPERLINK("http://141.218.60.56/~jnz1568/getInfo.php?workbook=14_04.xlsx&amp;sheet=A0&amp;row=2173&amp;col=6&amp;number=63530000&amp;sourceID=14","63530000")</f>
        <v>63530000</v>
      </c>
      <c r="G2173" s="4" t="str">
        <f>HYPERLINK("http://141.218.60.56/~jnz1568/getInfo.php?workbook=14_04.xlsx&amp;sheet=A0&amp;row=2173&amp;col=7&amp;number=0&amp;sourceID=14","0")</f>
        <v>0</v>
      </c>
    </row>
    <row r="2174" spans="1:7">
      <c r="A2174" s="3">
        <v>14</v>
      </c>
      <c r="B2174" s="3">
        <v>4</v>
      </c>
      <c r="C2174" s="3">
        <v>56</v>
      </c>
      <c r="D2174" s="3">
        <v>39</v>
      </c>
      <c r="E2174" s="3">
        <v>214.091</v>
      </c>
      <c r="F2174" s="4" t="str">
        <f>HYPERLINK("http://141.218.60.56/~jnz1568/getInfo.php?workbook=14_04.xlsx&amp;sheet=A0&amp;row=2174&amp;col=6&amp;number=12170&amp;sourceID=14","12170")</f>
        <v>12170</v>
      </c>
      <c r="G2174" s="4" t="str">
        <f>HYPERLINK("http://141.218.60.56/~jnz1568/getInfo.php?workbook=14_04.xlsx&amp;sheet=A0&amp;row=2174&amp;col=7&amp;number=0&amp;sourceID=14","0")</f>
        <v>0</v>
      </c>
    </row>
    <row r="2175" spans="1:7">
      <c r="A2175" s="3">
        <v>14</v>
      </c>
      <c r="B2175" s="3">
        <v>4</v>
      </c>
      <c r="C2175" s="3">
        <v>57</v>
      </c>
      <c r="D2175" s="3">
        <v>39</v>
      </c>
      <c r="E2175" s="3">
        <v>-166.118</v>
      </c>
      <c r="F2175" s="4" t="str">
        <f>HYPERLINK("http://141.218.60.56/~jnz1568/getInfo.php?workbook=14_04.xlsx&amp;sheet=A0&amp;row=2175&amp;col=6&amp;number=1022000&amp;sourceID=14","1022000")</f>
        <v>1022000</v>
      </c>
      <c r="G2175" s="4" t="str">
        <f>HYPERLINK("http://141.218.60.56/~jnz1568/getInfo.php?workbook=14_04.xlsx&amp;sheet=A0&amp;row=2175&amp;col=7&amp;number=0&amp;sourceID=14","0")</f>
        <v>0</v>
      </c>
    </row>
    <row r="2176" spans="1:7">
      <c r="A2176" s="3">
        <v>14</v>
      </c>
      <c r="B2176" s="3">
        <v>4</v>
      </c>
      <c r="C2176" s="3">
        <v>58</v>
      </c>
      <c r="D2176" s="3">
        <v>39</v>
      </c>
      <c r="E2176" s="3">
        <v>-165.718</v>
      </c>
      <c r="F2176" s="4" t="str">
        <f>HYPERLINK("http://141.218.60.56/~jnz1568/getInfo.php?workbook=14_04.xlsx&amp;sheet=A0&amp;row=2176&amp;col=6&amp;number=167600&amp;sourceID=14","167600")</f>
        <v>167600</v>
      </c>
      <c r="G2176" s="4" t="str">
        <f>HYPERLINK("http://141.218.60.56/~jnz1568/getInfo.php?workbook=14_04.xlsx&amp;sheet=A0&amp;row=2176&amp;col=7&amp;number=0&amp;sourceID=14","0")</f>
        <v>0</v>
      </c>
    </row>
    <row r="2177" spans="1:7">
      <c r="A2177" s="3">
        <v>14</v>
      </c>
      <c r="B2177" s="3">
        <v>4</v>
      </c>
      <c r="C2177" s="3">
        <v>59</v>
      </c>
      <c r="D2177" s="3">
        <v>39</v>
      </c>
      <c r="E2177" s="3">
        <v>164.896</v>
      </c>
      <c r="F2177" s="4" t="str">
        <f>HYPERLINK("http://141.218.60.56/~jnz1568/getInfo.php?workbook=14_04.xlsx&amp;sheet=A0&amp;row=2177&amp;col=6&amp;number=221700&amp;sourceID=14","221700")</f>
        <v>221700</v>
      </c>
      <c r="G2177" s="4" t="str">
        <f>HYPERLINK("http://141.218.60.56/~jnz1568/getInfo.php?workbook=14_04.xlsx&amp;sheet=A0&amp;row=2177&amp;col=7&amp;number=0&amp;sourceID=14","0")</f>
        <v>0</v>
      </c>
    </row>
    <row r="2178" spans="1:7">
      <c r="A2178" s="3">
        <v>14</v>
      </c>
      <c r="B2178" s="3">
        <v>4</v>
      </c>
      <c r="C2178" s="3">
        <v>60</v>
      </c>
      <c r="D2178" s="3">
        <v>39</v>
      </c>
      <c r="E2178" s="3">
        <v>-162.259</v>
      </c>
      <c r="F2178" s="4" t="str">
        <f>HYPERLINK("http://141.218.60.56/~jnz1568/getInfo.php?workbook=14_04.xlsx&amp;sheet=A0&amp;row=2178&amp;col=6&amp;number=40770&amp;sourceID=14","40770")</f>
        <v>40770</v>
      </c>
      <c r="G2178" s="4" t="str">
        <f>HYPERLINK("http://141.218.60.56/~jnz1568/getInfo.php?workbook=14_04.xlsx&amp;sheet=A0&amp;row=2178&amp;col=7&amp;number=0&amp;sourceID=14","0")</f>
        <v>0</v>
      </c>
    </row>
    <row r="2179" spans="1:7">
      <c r="A2179" s="3">
        <v>14</v>
      </c>
      <c r="B2179" s="3">
        <v>4</v>
      </c>
      <c r="C2179" s="3">
        <v>61</v>
      </c>
      <c r="D2179" s="3">
        <v>39</v>
      </c>
      <c r="E2179" s="3">
        <v>-159.177</v>
      </c>
      <c r="F2179" s="4" t="str">
        <f>HYPERLINK("http://141.218.60.56/~jnz1568/getInfo.php?workbook=14_04.xlsx&amp;sheet=A0&amp;row=2179&amp;col=6&amp;number=1109000000&amp;sourceID=14","1109000000")</f>
        <v>1109000000</v>
      </c>
      <c r="G2179" s="4" t="str">
        <f>HYPERLINK("http://141.218.60.56/~jnz1568/getInfo.php?workbook=14_04.xlsx&amp;sheet=A0&amp;row=2179&amp;col=7&amp;number=0&amp;sourceID=14","0")</f>
        <v>0</v>
      </c>
    </row>
    <row r="2180" spans="1:7">
      <c r="A2180" s="3">
        <v>14</v>
      </c>
      <c r="B2180" s="3">
        <v>4</v>
      </c>
      <c r="C2180" s="3">
        <v>62</v>
      </c>
      <c r="D2180" s="3">
        <v>39</v>
      </c>
      <c r="E2180" s="3">
        <v>-160.293</v>
      </c>
      <c r="F2180" s="4" t="str">
        <f>HYPERLINK("http://141.218.60.56/~jnz1568/getInfo.php?workbook=14_04.xlsx&amp;sheet=A0&amp;row=2180&amp;col=6&amp;number=60100000&amp;sourceID=14","60100000")</f>
        <v>60100000</v>
      </c>
      <c r="G2180" s="4" t="str">
        <f>HYPERLINK("http://141.218.60.56/~jnz1568/getInfo.php?workbook=14_04.xlsx&amp;sheet=A0&amp;row=2180&amp;col=7&amp;number=0&amp;sourceID=14","0")</f>
        <v>0</v>
      </c>
    </row>
    <row r="2181" spans="1:7">
      <c r="A2181" s="3">
        <v>14</v>
      </c>
      <c r="B2181" s="3">
        <v>4</v>
      </c>
      <c r="C2181" s="3">
        <v>63</v>
      </c>
      <c r="D2181" s="3">
        <v>39</v>
      </c>
      <c r="E2181" s="3">
        <v>-159.112</v>
      </c>
      <c r="F2181" s="4" t="str">
        <f>HYPERLINK("http://141.218.60.56/~jnz1568/getInfo.php?workbook=14_04.xlsx&amp;sheet=A0&amp;row=2181&amp;col=6&amp;number=970700000&amp;sourceID=14","970700000")</f>
        <v>970700000</v>
      </c>
      <c r="G2181" s="4" t="str">
        <f>HYPERLINK("http://141.218.60.56/~jnz1568/getInfo.php?workbook=14_04.xlsx&amp;sheet=A0&amp;row=2181&amp;col=7&amp;number=0&amp;sourceID=14","0")</f>
        <v>0</v>
      </c>
    </row>
    <row r="2182" spans="1:7">
      <c r="A2182" s="3">
        <v>14</v>
      </c>
      <c r="B2182" s="3">
        <v>4</v>
      </c>
      <c r="C2182" s="3">
        <v>64</v>
      </c>
      <c r="D2182" s="3">
        <v>39</v>
      </c>
      <c r="E2182" s="3">
        <v>-157.75</v>
      </c>
      <c r="F2182" s="4" t="str">
        <f>HYPERLINK("http://141.218.60.56/~jnz1568/getInfo.php?workbook=14_04.xlsx&amp;sheet=A0&amp;row=2182&amp;col=6&amp;number=25730000&amp;sourceID=14","25730000")</f>
        <v>25730000</v>
      </c>
      <c r="G2182" s="4" t="str">
        <f>HYPERLINK("http://141.218.60.56/~jnz1568/getInfo.php?workbook=14_04.xlsx&amp;sheet=A0&amp;row=2182&amp;col=7&amp;number=0&amp;sourceID=14","0")</f>
        <v>0</v>
      </c>
    </row>
    <row r="2183" spans="1:7">
      <c r="A2183" s="3">
        <v>14</v>
      </c>
      <c r="B2183" s="3">
        <v>4</v>
      </c>
      <c r="C2183" s="3">
        <v>65</v>
      </c>
      <c r="D2183" s="3">
        <v>39</v>
      </c>
      <c r="E2183" s="3">
        <v>-157.309</v>
      </c>
      <c r="F2183" s="4" t="str">
        <f>HYPERLINK("http://141.218.60.56/~jnz1568/getInfo.php?workbook=14_04.xlsx&amp;sheet=A0&amp;row=2183&amp;col=6&amp;number=2833000000&amp;sourceID=14","2833000000")</f>
        <v>2833000000</v>
      </c>
      <c r="G2183" s="4" t="str">
        <f>HYPERLINK("http://141.218.60.56/~jnz1568/getInfo.php?workbook=14_04.xlsx&amp;sheet=A0&amp;row=2183&amp;col=7&amp;number=0&amp;sourceID=14","0")</f>
        <v>0</v>
      </c>
    </row>
    <row r="2184" spans="1:7">
      <c r="A2184" s="3">
        <v>14</v>
      </c>
      <c r="B2184" s="3">
        <v>4</v>
      </c>
      <c r="C2184" s="3">
        <v>67</v>
      </c>
      <c r="D2184" s="3">
        <v>39</v>
      </c>
      <c r="E2184" s="3">
        <v>-156.234</v>
      </c>
      <c r="F2184" s="4" t="str">
        <f>HYPERLINK("http://141.218.60.56/~jnz1568/getInfo.php?workbook=14_04.xlsx&amp;sheet=A0&amp;row=2184&amp;col=6&amp;number=1311000000&amp;sourceID=14","1311000000")</f>
        <v>1311000000</v>
      </c>
      <c r="G2184" s="4" t="str">
        <f>HYPERLINK("http://141.218.60.56/~jnz1568/getInfo.php?workbook=14_04.xlsx&amp;sheet=A0&amp;row=2184&amp;col=7&amp;number=0&amp;sourceID=14","0")</f>
        <v>0</v>
      </c>
    </row>
    <row r="2185" spans="1:7">
      <c r="A2185" s="3">
        <v>14</v>
      </c>
      <c r="B2185" s="3">
        <v>4</v>
      </c>
      <c r="C2185" s="3">
        <v>68</v>
      </c>
      <c r="D2185" s="3">
        <v>39</v>
      </c>
      <c r="E2185" s="3">
        <v>-156.042</v>
      </c>
      <c r="F2185" s="4" t="str">
        <f>HYPERLINK("http://141.218.60.56/~jnz1568/getInfo.php?workbook=14_04.xlsx&amp;sheet=A0&amp;row=2185&amp;col=6&amp;number=972400000&amp;sourceID=14","972400000")</f>
        <v>972400000</v>
      </c>
      <c r="G2185" s="4" t="str">
        <f>HYPERLINK("http://141.218.60.56/~jnz1568/getInfo.php?workbook=14_04.xlsx&amp;sheet=A0&amp;row=2185&amp;col=7&amp;number=0&amp;sourceID=14","0")</f>
        <v>0</v>
      </c>
    </row>
    <row r="2186" spans="1:7">
      <c r="A2186" s="3">
        <v>14</v>
      </c>
      <c r="B2186" s="3">
        <v>4</v>
      </c>
      <c r="C2186" s="3">
        <v>69</v>
      </c>
      <c r="D2186" s="3">
        <v>39</v>
      </c>
      <c r="E2186" s="3">
        <v>-155.844</v>
      </c>
      <c r="F2186" s="4" t="str">
        <f>HYPERLINK("http://141.218.60.56/~jnz1568/getInfo.php?workbook=14_04.xlsx&amp;sheet=A0&amp;row=2186&amp;col=6&amp;number=152400&amp;sourceID=14","152400")</f>
        <v>152400</v>
      </c>
      <c r="G2186" s="4" t="str">
        <f>HYPERLINK("http://141.218.60.56/~jnz1568/getInfo.php?workbook=14_04.xlsx&amp;sheet=A0&amp;row=2186&amp;col=7&amp;number=0&amp;sourceID=14","0")</f>
        <v>0</v>
      </c>
    </row>
    <row r="2187" spans="1:7">
      <c r="A2187" s="3">
        <v>14</v>
      </c>
      <c r="B2187" s="3">
        <v>4</v>
      </c>
      <c r="C2187" s="3">
        <v>70</v>
      </c>
      <c r="D2187" s="3">
        <v>39</v>
      </c>
      <c r="E2187" s="3">
        <v>-155.015</v>
      </c>
      <c r="F2187" s="4" t="str">
        <f>HYPERLINK("http://141.218.60.56/~jnz1568/getInfo.php?workbook=14_04.xlsx&amp;sheet=A0&amp;row=2187&amp;col=6&amp;number=321700&amp;sourceID=14","321700")</f>
        <v>321700</v>
      </c>
      <c r="G2187" s="4" t="str">
        <f>HYPERLINK("http://141.218.60.56/~jnz1568/getInfo.php?workbook=14_04.xlsx&amp;sheet=A0&amp;row=2187&amp;col=7&amp;number=0&amp;sourceID=14","0")</f>
        <v>0</v>
      </c>
    </row>
    <row r="2188" spans="1:7">
      <c r="A2188" s="3">
        <v>14</v>
      </c>
      <c r="B2188" s="3">
        <v>4</v>
      </c>
      <c r="C2188" s="3">
        <v>71</v>
      </c>
      <c r="D2188" s="3">
        <v>39</v>
      </c>
      <c r="E2188" s="3">
        <v>-154.676</v>
      </c>
      <c r="F2188" s="4" t="str">
        <f>HYPERLINK("http://141.218.60.56/~jnz1568/getInfo.php?workbook=14_04.xlsx&amp;sheet=A0&amp;row=2188&amp;col=6&amp;number=294800&amp;sourceID=14","294800")</f>
        <v>294800</v>
      </c>
      <c r="G2188" s="4" t="str">
        <f>HYPERLINK("http://141.218.60.56/~jnz1568/getInfo.php?workbook=14_04.xlsx&amp;sheet=A0&amp;row=2188&amp;col=7&amp;number=0&amp;sourceID=14","0")</f>
        <v>0</v>
      </c>
    </row>
    <row r="2189" spans="1:7">
      <c r="A2189" s="3">
        <v>14</v>
      </c>
      <c r="B2189" s="3">
        <v>4</v>
      </c>
      <c r="C2189" s="3">
        <v>72</v>
      </c>
      <c r="D2189" s="3">
        <v>39</v>
      </c>
      <c r="E2189" s="3">
        <v>-154.157</v>
      </c>
      <c r="F2189" s="4" t="str">
        <f>HYPERLINK("http://141.218.60.56/~jnz1568/getInfo.php?workbook=14_04.xlsx&amp;sheet=A0&amp;row=2189&amp;col=6&amp;number=89870000&amp;sourceID=14","89870000")</f>
        <v>89870000</v>
      </c>
      <c r="G2189" s="4" t="str">
        <f>HYPERLINK("http://141.218.60.56/~jnz1568/getInfo.php?workbook=14_04.xlsx&amp;sheet=A0&amp;row=2189&amp;col=7&amp;number=0&amp;sourceID=14","0")</f>
        <v>0</v>
      </c>
    </row>
    <row r="2190" spans="1:7">
      <c r="A2190" s="3">
        <v>14</v>
      </c>
      <c r="B2190" s="3">
        <v>4</v>
      </c>
      <c r="C2190" s="3">
        <v>73</v>
      </c>
      <c r="D2190" s="3">
        <v>39</v>
      </c>
      <c r="E2190" s="3">
        <v>-153.845</v>
      </c>
      <c r="F2190" s="4" t="str">
        <f>HYPERLINK("http://141.218.60.56/~jnz1568/getInfo.php?workbook=14_04.xlsx&amp;sheet=A0&amp;row=2190&amp;col=6&amp;number=24440&amp;sourceID=14","24440")</f>
        <v>24440</v>
      </c>
      <c r="G2190" s="4" t="str">
        <f>HYPERLINK("http://141.218.60.56/~jnz1568/getInfo.php?workbook=14_04.xlsx&amp;sheet=A0&amp;row=2190&amp;col=7&amp;number=0&amp;sourceID=14","0")</f>
        <v>0</v>
      </c>
    </row>
    <row r="2191" spans="1:7">
      <c r="A2191" s="3">
        <v>14</v>
      </c>
      <c r="B2191" s="3">
        <v>4</v>
      </c>
      <c r="C2191" s="3">
        <v>74</v>
      </c>
      <c r="D2191" s="3">
        <v>39</v>
      </c>
      <c r="E2191" s="3">
        <v>-153.488</v>
      </c>
      <c r="F2191" s="4" t="str">
        <f>HYPERLINK("http://141.218.60.56/~jnz1568/getInfo.php?workbook=14_04.xlsx&amp;sheet=A0&amp;row=2191&amp;col=6&amp;number=372800&amp;sourceID=14","372800")</f>
        <v>372800</v>
      </c>
      <c r="G2191" s="4" t="str">
        <f>HYPERLINK("http://141.218.60.56/~jnz1568/getInfo.php?workbook=14_04.xlsx&amp;sheet=A0&amp;row=2191&amp;col=7&amp;number=0&amp;sourceID=14","0")</f>
        <v>0</v>
      </c>
    </row>
    <row r="2192" spans="1:7">
      <c r="A2192" s="3">
        <v>14</v>
      </c>
      <c r="B2192" s="3">
        <v>4</v>
      </c>
      <c r="C2192" s="3">
        <v>75</v>
      </c>
      <c r="D2192" s="3">
        <v>39</v>
      </c>
      <c r="E2192" s="3">
        <v>-153.038</v>
      </c>
      <c r="F2192" s="4" t="str">
        <f>HYPERLINK("http://141.218.60.56/~jnz1568/getInfo.php?workbook=14_04.xlsx&amp;sheet=A0&amp;row=2192&amp;col=6&amp;number=359900&amp;sourceID=14","359900")</f>
        <v>359900</v>
      </c>
      <c r="G2192" s="4" t="str">
        <f>HYPERLINK("http://141.218.60.56/~jnz1568/getInfo.php?workbook=14_04.xlsx&amp;sheet=A0&amp;row=2192&amp;col=7&amp;number=0&amp;sourceID=14","0")</f>
        <v>0</v>
      </c>
    </row>
    <row r="2193" spans="1:7">
      <c r="A2193" s="3">
        <v>14</v>
      </c>
      <c r="B2193" s="3">
        <v>4</v>
      </c>
      <c r="C2193" s="3">
        <v>76</v>
      </c>
      <c r="D2193" s="3">
        <v>39</v>
      </c>
      <c r="E2193" s="3">
        <v>151.146</v>
      </c>
      <c r="F2193" s="4" t="str">
        <f>HYPERLINK("http://141.218.60.56/~jnz1568/getInfo.php?workbook=14_04.xlsx&amp;sheet=A0&amp;row=2193&amp;col=6&amp;number=183500&amp;sourceID=14","183500")</f>
        <v>183500</v>
      </c>
      <c r="G2193" s="4" t="str">
        <f>HYPERLINK("http://141.218.60.56/~jnz1568/getInfo.php?workbook=14_04.xlsx&amp;sheet=A0&amp;row=2193&amp;col=7&amp;number=0&amp;sourceID=14","0")</f>
        <v>0</v>
      </c>
    </row>
    <row r="2194" spans="1:7">
      <c r="A2194" s="3">
        <v>14</v>
      </c>
      <c r="B2194" s="3">
        <v>4</v>
      </c>
      <c r="C2194" s="3">
        <v>77</v>
      </c>
      <c r="D2194" s="3">
        <v>39</v>
      </c>
      <c r="E2194" s="3">
        <v>150.939</v>
      </c>
      <c r="F2194" s="4" t="str">
        <f>HYPERLINK("http://141.218.60.56/~jnz1568/getInfo.php?workbook=14_04.xlsx&amp;sheet=A0&amp;row=2194&amp;col=6&amp;number=191400&amp;sourceID=14","191400")</f>
        <v>191400</v>
      </c>
      <c r="G2194" s="4" t="str">
        <f>HYPERLINK("http://141.218.60.56/~jnz1568/getInfo.php?workbook=14_04.xlsx&amp;sheet=A0&amp;row=2194&amp;col=7&amp;number=0&amp;sourceID=14","0")</f>
        <v>0</v>
      </c>
    </row>
    <row r="2195" spans="1:7">
      <c r="A2195" s="3">
        <v>14</v>
      </c>
      <c r="B2195" s="3">
        <v>4</v>
      </c>
      <c r="C2195" s="3">
        <v>78</v>
      </c>
      <c r="D2195" s="3">
        <v>39</v>
      </c>
      <c r="E2195" s="3">
        <v>-151.665</v>
      </c>
      <c r="F2195" s="4" t="str">
        <f>HYPERLINK("http://141.218.60.56/~jnz1568/getInfo.php?workbook=14_04.xlsx&amp;sheet=A0&amp;row=2195&amp;col=6&amp;number=49570&amp;sourceID=14","49570")</f>
        <v>49570</v>
      </c>
      <c r="G2195" s="4" t="str">
        <f>HYPERLINK("http://141.218.60.56/~jnz1568/getInfo.php?workbook=14_04.xlsx&amp;sheet=A0&amp;row=2195&amp;col=7&amp;number=0&amp;sourceID=14","0")</f>
        <v>0</v>
      </c>
    </row>
    <row r="2196" spans="1:7">
      <c r="A2196" s="3">
        <v>14</v>
      </c>
      <c r="B2196" s="3">
        <v>4</v>
      </c>
      <c r="C2196" s="3">
        <v>79</v>
      </c>
      <c r="D2196" s="3">
        <v>39</v>
      </c>
      <c r="E2196" s="3">
        <v>-151.565</v>
      </c>
      <c r="F2196" s="4" t="str">
        <f>HYPERLINK("http://141.218.60.56/~jnz1568/getInfo.php?workbook=14_04.xlsx&amp;sheet=A0&amp;row=2196&amp;col=6&amp;number=476400&amp;sourceID=14","476400")</f>
        <v>476400</v>
      </c>
      <c r="G2196" s="4" t="str">
        <f>HYPERLINK("http://141.218.60.56/~jnz1568/getInfo.php?workbook=14_04.xlsx&amp;sheet=A0&amp;row=2196&amp;col=7&amp;number=0&amp;sourceID=14","0")</f>
        <v>0</v>
      </c>
    </row>
    <row r="2197" spans="1:7">
      <c r="A2197" s="3">
        <v>14</v>
      </c>
      <c r="B2197" s="3">
        <v>4</v>
      </c>
      <c r="C2197" s="3">
        <v>81</v>
      </c>
      <c r="D2197" s="3">
        <v>39</v>
      </c>
      <c r="E2197" s="3">
        <v>148.667</v>
      </c>
      <c r="F2197" s="4" t="str">
        <f>HYPERLINK("http://141.218.60.56/~jnz1568/getInfo.php?workbook=14_04.xlsx&amp;sheet=A0&amp;row=2197&amp;col=6&amp;number=10840&amp;sourceID=14","10840")</f>
        <v>10840</v>
      </c>
      <c r="G2197" s="4" t="str">
        <f>HYPERLINK("http://141.218.60.56/~jnz1568/getInfo.php?workbook=14_04.xlsx&amp;sheet=A0&amp;row=2197&amp;col=7&amp;number=0&amp;sourceID=14","0")</f>
        <v>0</v>
      </c>
    </row>
    <row r="2198" spans="1:7">
      <c r="A2198" s="3">
        <v>14</v>
      </c>
      <c r="B2198" s="3">
        <v>4</v>
      </c>
      <c r="C2198" s="3">
        <v>82</v>
      </c>
      <c r="D2198" s="3">
        <v>39</v>
      </c>
      <c r="E2198" s="3">
        <v>-148.891</v>
      </c>
      <c r="F2198" s="4" t="str">
        <f>HYPERLINK("http://141.218.60.56/~jnz1568/getInfo.php?workbook=14_04.xlsx&amp;sheet=A0&amp;row=2198&amp;col=6&amp;number=41380&amp;sourceID=14","41380")</f>
        <v>41380</v>
      </c>
      <c r="G2198" s="4" t="str">
        <f>HYPERLINK("http://141.218.60.56/~jnz1568/getInfo.php?workbook=14_04.xlsx&amp;sheet=A0&amp;row=2198&amp;col=7&amp;number=0&amp;sourceID=14","0")</f>
        <v>0</v>
      </c>
    </row>
    <row r="2199" spans="1:7">
      <c r="A2199" s="3">
        <v>14</v>
      </c>
      <c r="B2199" s="3">
        <v>4</v>
      </c>
      <c r="C2199" s="3">
        <v>83</v>
      </c>
      <c r="D2199" s="3">
        <v>39</v>
      </c>
      <c r="E2199" s="3">
        <v>-136.51</v>
      </c>
      <c r="F2199" s="4" t="str">
        <f>HYPERLINK("http://141.218.60.56/~jnz1568/getInfo.php?workbook=14_04.xlsx&amp;sheet=A0&amp;row=2199&amp;col=6&amp;number=29310000&amp;sourceID=14","29310000")</f>
        <v>29310000</v>
      </c>
      <c r="G2199" s="4" t="str">
        <f>HYPERLINK("http://141.218.60.56/~jnz1568/getInfo.php?workbook=14_04.xlsx&amp;sheet=A0&amp;row=2199&amp;col=7&amp;number=0&amp;sourceID=14","0")</f>
        <v>0</v>
      </c>
    </row>
    <row r="2200" spans="1:7">
      <c r="A2200" s="3">
        <v>14</v>
      </c>
      <c r="B2200" s="3">
        <v>4</v>
      </c>
      <c r="C2200" s="3">
        <v>85</v>
      </c>
      <c r="D2200" s="3">
        <v>39</v>
      </c>
      <c r="E2200" s="3">
        <v>-133.856</v>
      </c>
      <c r="F2200" s="4" t="str">
        <f>HYPERLINK("http://141.218.60.56/~jnz1568/getInfo.php?workbook=14_04.xlsx&amp;sheet=A0&amp;row=2200&amp;col=6&amp;number=3843&amp;sourceID=14","3843")</f>
        <v>3843</v>
      </c>
      <c r="G2200" s="4" t="str">
        <f>HYPERLINK("http://141.218.60.56/~jnz1568/getInfo.php?workbook=14_04.xlsx&amp;sheet=A0&amp;row=2200&amp;col=7&amp;number=0&amp;sourceID=14","0")</f>
        <v>0</v>
      </c>
    </row>
    <row r="2201" spans="1:7">
      <c r="A2201" s="3">
        <v>14</v>
      </c>
      <c r="B2201" s="3">
        <v>4</v>
      </c>
      <c r="C2201" s="3">
        <v>86</v>
      </c>
      <c r="D2201" s="3">
        <v>39</v>
      </c>
      <c r="E2201" s="3">
        <v>-133.834</v>
      </c>
      <c r="F2201" s="4" t="str">
        <f>HYPERLINK("http://141.218.60.56/~jnz1568/getInfo.php?workbook=14_04.xlsx&amp;sheet=A0&amp;row=2201&amp;col=6&amp;number=1012&amp;sourceID=14","1012")</f>
        <v>1012</v>
      </c>
      <c r="G2201" s="4" t="str">
        <f>HYPERLINK("http://141.218.60.56/~jnz1568/getInfo.php?workbook=14_04.xlsx&amp;sheet=A0&amp;row=2201&amp;col=7&amp;number=0&amp;sourceID=14","0")</f>
        <v>0</v>
      </c>
    </row>
    <row r="2202" spans="1:7">
      <c r="A2202" s="3">
        <v>14</v>
      </c>
      <c r="B2202" s="3">
        <v>4</v>
      </c>
      <c r="C2202" s="3">
        <v>87</v>
      </c>
      <c r="D2202" s="3">
        <v>39</v>
      </c>
      <c r="E2202" s="3">
        <v>132.101</v>
      </c>
      <c r="F2202" s="4" t="str">
        <f>HYPERLINK("http://141.218.60.56/~jnz1568/getInfo.php?workbook=14_04.xlsx&amp;sheet=A0&amp;row=2202&amp;col=6&amp;number=6723&amp;sourceID=14","6723")</f>
        <v>6723</v>
      </c>
      <c r="G2202" s="4" t="str">
        <f>HYPERLINK("http://141.218.60.56/~jnz1568/getInfo.php?workbook=14_04.xlsx&amp;sheet=A0&amp;row=2202&amp;col=7&amp;number=0&amp;sourceID=14","0")</f>
        <v>0</v>
      </c>
    </row>
    <row r="2203" spans="1:7">
      <c r="A2203" s="3">
        <v>14</v>
      </c>
      <c r="B2203" s="3">
        <v>4</v>
      </c>
      <c r="C2203" s="3">
        <v>88</v>
      </c>
      <c r="D2203" s="3">
        <v>39</v>
      </c>
      <c r="E2203" s="3">
        <v>-133.326</v>
      </c>
      <c r="F2203" s="4" t="str">
        <f>HYPERLINK("http://141.218.60.56/~jnz1568/getInfo.php?workbook=14_04.xlsx&amp;sheet=A0&amp;row=2203&amp;col=6&amp;number=23.38&amp;sourceID=14","23.38")</f>
        <v>23.38</v>
      </c>
      <c r="G2203" s="4" t="str">
        <f>HYPERLINK("http://141.218.60.56/~jnz1568/getInfo.php?workbook=14_04.xlsx&amp;sheet=A0&amp;row=2203&amp;col=7&amp;number=0&amp;sourceID=14","0")</f>
        <v>0</v>
      </c>
    </row>
    <row r="2204" spans="1:7">
      <c r="A2204" s="3">
        <v>14</v>
      </c>
      <c r="B2204" s="3">
        <v>4</v>
      </c>
      <c r="C2204" s="3">
        <v>89</v>
      </c>
      <c r="D2204" s="3">
        <v>39</v>
      </c>
      <c r="E2204" s="3">
        <v>-132.336</v>
      </c>
      <c r="F2204" s="4" t="str">
        <f>HYPERLINK("http://141.218.60.56/~jnz1568/getInfo.php?workbook=14_04.xlsx&amp;sheet=A0&amp;row=2204&amp;col=6&amp;number=2884000&amp;sourceID=14","2884000")</f>
        <v>2884000</v>
      </c>
      <c r="G2204" s="4" t="str">
        <f>HYPERLINK("http://141.218.60.56/~jnz1568/getInfo.php?workbook=14_04.xlsx&amp;sheet=A0&amp;row=2204&amp;col=7&amp;number=0&amp;sourceID=14","0")</f>
        <v>0</v>
      </c>
    </row>
    <row r="2205" spans="1:7">
      <c r="A2205" s="3">
        <v>14</v>
      </c>
      <c r="B2205" s="3">
        <v>4</v>
      </c>
      <c r="C2205" s="3">
        <v>90</v>
      </c>
      <c r="D2205" s="3">
        <v>39</v>
      </c>
      <c r="E2205" s="3">
        <v>131.306</v>
      </c>
      <c r="F2205" s="4" t="str">
        <f>HYPERLINK("http://141.218.60.56/~jnz1568/getInfo.php?workbook=14_04.xlsx&amp;sheet=A0&amp;row=2205&amp;col=6&amp;number=239900&amp;sourceID=14","239900")</f>
        <v>239900</v>
      </c>
      <c r="G2205" s="4" t="str">
        <f>HYPERLINK("http://141.218.60.56/~jnz1568/getInfo.php?workbook=14_04.xlsx&amp;sheet=A0&amp;row=2205&amp;col=7&amp;number=0&amp;sourceID=14","0")</f>
        <v>0</v>
      </c>
    </row>
    <row r="2206" spans="1:7">
      <c r="A2206" s="3">
        <v>14</v>
      </c>
      <c r="B2206" s="3">
        <v>4</v>
      </c>
      <c r="C2206" s="3">
        <v>91</v>
      </c>
      <c r="D2206" s="3">
        <v>39</v>
      </c>
      <c r="E2206" s="3">
        <v>131.321</v>
      </c>
      <c r="F2206" s="4" t="str">
        <f>HYPERLINK("http://141.218.60.56/~jnz1568/getInfo.php?workbook=14_04.xlsx&amp;sheet=A0&amp;row=2206&amp;col=6&amp;number=71800000&amp;sourceID=14","71800000")</f>
        <v>71800000</v>
      </c>
      <c r="G2206" s="4" t="str">
        <f>HYPERLINK("http://141.218.60.56/~jnz1568/getInfo.php?workbook=14_04.xlsx&amp;sheet=A0&amp;row=2206&amp;col=7&amp;number=0&amp;sourceID=14","0")</f>
        <v>0</v>
      </c>
    </row>
    <row r="2207" spans="1:7">
      <c r="A2207" s="3">
        <v>14</v>
      </c>
      <c r="B2207" s="3">
        <v>4</v>
      </c>
      <c r="C2207" s="3">
        <v>92</v>
      </c>
      <c r="D2207" s="3">
        <v>39</v>
      </c>
      <c r="E2207" s="3">
        <v>130.647</v>
      </c>
      <c r="F2207" s="4" t="str">
        <f>HYPERLINK("http://141.218.60.56/~jnz1568/getInfo.php?workbook=14_04.xlsx&amp;sheet=A0&amp;row=2207&amp;col=6&amp;number=257900&amp;sourceID=14","257900")</f>
        <v>257900</v>
      </c>
      <c r="G2207" s="4" t="str">
        <f>HYPERLINK("http://141.218.60.56/~jnz1568/getInfo.php?workbook=14_04.xlsx&amp;sheet=A0&amp;row=2207&amp;col=7&amp;number=0&amp;sourceID=14","0")</f>
        <v>0</v>
      </c>
    </row>
    <row r="2208" spans="1:7">
      <c r="A2208" s="3">
        <v>14</v>
      </c>
      <c r="B2208" s="3">
        <v>4</v>
      </c>
      <c r="C2208" s="3">
        <v>41</v>
      </c>
      <c r="D2208" s="3">
        <v>40</v>
      </c>
      <c r="E2208" s="3">
        <v>9159.203</v>
      </c>
      <c r="F2208" s="4" t="str">
        <f>HYPERLINK("http://141.218.60.56/~jnz1568/getInfo.php?workbook=14_04.xlsx&amp;sheet=A0&amp;row=2208&amp;col=6&amp;number=2.876&amp;sourceID=14","2.876")</f>
        <v>2.876</v>
      </c>
      <c r="G2208" s="4" t="str">
        <f>HYPERLINK("http://141.218.60.56/~jnz1568/getInfo.php?workbook=14_04.xlsx&amp;sheet=A0&amp;row=2208&amp;col=7&amp;number=0&amp;sourceID=14","0")</f>
        <v>0</v>
      </c>
    </row>
    <row r="2209" spans="1:7">
      <c r="A2209" s="3">
        <v>14</v>
      </c>
      <c r="B2209" s="3">
        <v>4</v>
      </c>
      <c r="C2209" s="3">
        <v>42</v>
      </c>
      <c r="D2209" s="3">
        <v>40</v>
      </c>
      <c r="E2209" s="3">
        <v>12526.642</v>
      </c>
      <c r="F2209" s="4" t="str">
        <f>HYPERLINK("http://141.218.60.56/~jnz1568/getInfo.php?workbook=14_04.xlsx&amp;sheet=A0&amp;row=2209&amp;col=6&amp;number=0.0003217&amp;sourceID=14","0.0003217")</f>
        <v>0.0003217</v>
      </c>
      <c r="G2209" s="4" t="str">
        <f>HYPERLINK("http://141.218.60.56/~jnz1568/getInfo.php?workbook=14_04.xlsx&amp;sheet=A0&amp;row=2209&amp;col=7&amp;number=0&amp;sourceID=14","0")</f>
        <v>0</v>
      </c>
    </row>
    <row r="2210" spans="1:7">
      <c r="A2210" s="3">
        <v>14</v>
      </c>
      <c r="B2210" s="3">
        <v>4</v>
      </c>
      <c r="C2210" s="3">
        <v>45</v>
      </c>
      <c r="D2210" s="3">
        <v>40</v>
      </c>
      <c r="E2210" s="3">
        <v>2697.022</v>
      </c>
      <c r="F2210" s="4" t="str">
        <f>HYPERLINK("http://141.218.60.56/~jnz1568/getInfo.php?workbook=14_04.xlsx&amp;sheet=A0&amp;row=2210&amp;col=6&amp;number=5.903&amp;sourceID=14","5.903")</f>
        <v>5.903</v>
      </c>
      <c r="G2210" s="4" t="str">
        <f>HYPERLINK("http://141.218.60.56/~jnz1568/getInfo.php?workbook=14_04.xlsx&amp;sheet=A0&amp;row=2210&amp;col=7&amp;number=0&amp;sourceID=14","0")</f>
        <v>0</v>
      </c>
    </row>
    <row r="2211" spans="1:7">
      <c r="A2211" s="3">
        <v>14</v>
      </c>
      <c r="B2211" s="3">
        <v>4</v>
      </c>
      <c r="C2211" s="3">
        <v>46</v>
      </c>
      <c r="D2211" s="3">
        <v>40</v>
      </c>
      <c r="E2211" s="3">
        <v>2633.178</v>
      </c>
      <c r="F2211" s="4" t="str">
        <f>HYPERLINK("http://141.218.60.56/~jnz1568/getInfo.php?workbook=14_04.xlsx&amp;sheet=A0&amp;row=2211&amp;col=6&amp;number=3.067e-06&amp;sourceID=14","3.067e-06")</f>
        <v>3.067e-06</v>
      </c>
      <c r="G2211" s="4" t="str">
        <f>HYPERLINK("http://141.218.60.56/~jnz1568/getInfo.php?workbook=14_04.xlsx&amp;sheet=A0&amp;row=2211&amp;col=7&amp;number=0&amp;sourceID=14","0")</f>
        <v>0</v>
      </c>
    </row>
    <row r="2212" spans="1:7">
      <c r="A2212" s="3">
        <v>14</v>
      </c>
      <c r="B2212" s="3">
        <v>4</v>
      </c>
      <c r="C2212" s="3">
        <v>50</v>
      </c>
      <c r="D2212" s="3">
        <v>40</v>
      </c>
      <c r="E2212" s="3">
        <v>227.251</v>
      </c>
      <c r="F2212" s="4" t="str">
        <f>HYPERLINK("http://141.218.60.56/~jnz1568/getInfo.php?workbook=14_04.xlsx&amp;sheet=A0&amp;row=2212&amp;col=6&amp;number=540.5&amp;sourceID=14","540.5")</f>
        <v>540.5</v>
      </c>
      <c r="G2212" s="4" t="str">
        <f>HYPERLINK("http://141.218.60.56/~jnz1568/getInfo.php?workbook=14_04.xlsx&amp;sheet=A0&amp;row=2212&amp;col=7&amp;number=0&amp;sourceID=14","0")</f>
        <v>0</v>
      </c>
    </row>
    <row r="2213" spans="1:7">
      <c r="A2213" s="3">
        <v>14</v>
      </c>
      <c r="B2213" s="3">
        <v>4</v>
      </c>
      <c r="C2213" s="3">
        <v>51</v>
      </c>
      <c r="D2213" s="3">
        <v>40</v>
      </c>
      <c r="E2213" s="3">
        <v>226.883</v>
      </c>
      <c r="F2213" s="4" t="str">
        <f>HYPERLINK("http://141.218.60.56/~jnz1568/getInfo.php?workbook=14_04.xlsx&amp;sheet=A0&amp;row=2213&amp;col=6&amp;number=176.6&amp;sourceID=14","176.6")</f>
        <v>176.6</v>
      </c>
      <c r="G2213" s="4" t="str">
        <f>HYPERLINK("http://141.218.60.56/~jnz1568/getInfo.php?workbook=14_04.xlsx&amp;sheet=A0&amp;row=2213&amp;col=7&amp;number=0&amp;sourceID=14","0")</f>
        <v>0</v>
      </c>
    </row>
    <row r="2214" spans="1:7">
      <c r="A2214" s="3">
        <v>14</v>
      </c>
      <c r="B2214" s="3">
        <v>4</v>
      </c>
      <c r="C2214" s="3">
        <v>52</v>
      </c>
      <c r="D2214" s="3">
        <v>40</v>
      </c>
      <c r="E2214" s="3">
        <v>229.068</v>
      </c>
      <c r="F2214" s="4" t="str">
        <f>HYPERLINK("http://141.218.60.56/~jnz1568/getInfo.php?workbook=14_04.xlsx&amp;sheet=A0&amp;row=2214&amp;col=6&amp;number=74.66&amp;sourceID=14","74.66")</f>
        <v>74.66</v>
      </c>
      <c r="G2214" s="4" t="str">
        <f>HYPERLINK("http://141.218.60.56/~jnz1568/getInfo.php?workbook=14_04.xlsx&amp;sheet=A0&amp;row=2214&amp;col=7&amp;number=0&amp;sourceID=14","0")</f>
        <v>0</v>
      </c>
    </row>
    <row r="2215" spans="1:7">
      <c r="A2215" s="3">
        <v>14</v>
      </c>
      <c r="B2215" s="3">
        <v>4</v>
      </c>
      <c r="C2215" s="3">
        <v>54</v>
      </c>
      <c r="D2215" s="3">
        <v>40</v>
      </c>
      <c r="E2215" s="3">
        <v>220.987</v>
      </c>
      <c r="F2215" s="4" t="str">
        <f>HYPERLINK("http://141.218.60.56/~jnz1568/getInfo.php?workbook=14_04.xlsx&amp;sheet=A0&amp;row=2215&amp;col=6&amp;number=1215000&amp;sourceID=14","1215000")</f>
        <v>1215000</v>
      </c>
      <c r="G2215" s="4" t="str">
        <f>HYPERLINK("http://141.218.60.56/~jnz1568/getInfo.php?workbook=14_04.xlsx&amp;sheet=A0&amp;row=2215&amp;col=7&amp;number=0&amp;sourceID=14","0")</f>
        <v>0</v>
      </c>
    </row>
    <row r="2216" spans="1:7">
      <c r="A2216" s="3">
        <v>14</v>
      </c>
      <c r="B2216" s="3">
        <v>4</v>
      </c>
      <c r="C2216" s="3">
        <v>55</v>
      </c>
      <c r="D2216" s="3">
        <v>40</v>
      </c>
      <c r="E2216" s="3">
        <v>220.584</v>
      </c>
      <c r="F2216" s="4" t="str">
        <f>HYPERLINK("http://141.218.60.56/~jnz1568/getInfo.php?workbook=14_04.xlsx&amp;sheet=A0&amp;row=2216&amp;col=6&amp;number=1463000&amp;sourceID=14","1463000")</f>
        <v>1463000</v>
      </c>
      <c r="G2216" s="4" t="str">
        <f>HYPERLINK("http://141.218.60.56/~jnz1568/getInfo.php?workbook=14_04.xlsx&amp;sheet=A0&amp;row=2216&amp;col=7&amp;number=0&amp;sourceID=14","0")</f>
        <v>0</v>
      </c>
    </row>
    <row r="2217" spans="1:7">
      <c r="A2217" s="3">
        <v>14</v>
      </c>
      <c r="B2217" s="3">
        <v>4</v>
      </c>
      <c r="C2217" s="3">
        <v>56</v>
      </c>
      <c r="D2217" s="3">
        <v>40</v>
      </c>
      <c r="E2217" s="3">
        <v>215.483</v>
      </c>
      <c r="F2217" s="4" t="str">
        <f>HYPERLINK("http://141.218.60.56/~jnz1568/getInfo.php?workbook=14_04.xlsx&amp;sheet=A0&amp;row=2217&amp;col=6&amp;number=1290000&amp;sourceID=14","1290000")</f>
        <v>1290000</v>
      </c>
      <c r="G2217" s="4" t="str">
        <f>HYPERLINK("http://141.218.60.56/~jnz1568/getInfo.php?workbook=14_04.xlsx&amp;sheet=A0&amp;row=2217&amp;col=7&amp;number=0&amp;sourceID=14","0")</f>
        <v>0</v>
      </c>
    </row>
    <row r="2218" spans="1:7">
      <c r="A2218" s="3">
        <v>14</v>
      </c>
      <c r="B2218" s="3">
        <v>4</v>
      </c>
      <c r="C2218" s="3">
        <v>58</v>
      </c>
      <c r="D2218" s="3">
        <v>40</v>
      </c>
      <c r="E2218" s="3">
        <v>-166.397</v>
      </c>
      <c r="F2218" s="4" t="str">
        <f>HYPERLINK("http://141.218.60.56/~jnz1568/getInfo.php?workbook=14_04.xlsx&amp;sheet=A0&amp;row=2218&amp;col=6&amp;number=327800&amp;sourceID=14","327800")</f>
        <v>327800</v>
      </c>
      <c r="G2218" s="4" t="str">
        <f>HYPERLINK("http://141.218.60.56/~jnz1568/getInfo.php?workbook=14_04.xlsx&amp;sheet=A0&amp;row=2218&amp;col=7&amp;number=0&amp;sourceID=14","0")</f>
        <v>0</v>
      </c>
    </row>
    <row r="2219" spans="1:7">
      <c r="A2219" s="3">
        <v>14</v>
      </c>
      <c r="B2219" s="3">
        <v>4</v>
      </c>
      <c r="C2219" s="3">
        <v>59</v>
      </c>
      <c r="D2219" s="3">
        <v>40</v>
      </c>
      <c r="E2219" s="3">
        <v>165.72</v>
      </c>
      <c r="F2219" s="4" t="str">
        <f>HYPERLINK("http://141.218.60.56/~jnz1568/getInfo.php?workbook=14_04.xlsx&amp;sheet=A0&amp;row=2219&amp;col=6&amp;number=580200&amp;sourceID=14","580200")</f>
        <v>580200</v>
      </c>
      <c r="G2219" s="4" t="str">
        <f>HYPERLINK("http://141.218.60.56/~jnz1568/getInfo.php?workbook=14_04.xlsx&amp;sheet=A0&amp;row=2219&amp;col=7&amp;number=0&amp;sourceID=14","0")</f>
        <v>0</v>
      </c>
    </row>
    <row r="2220" spans="1:7">
      <c r="A2220" s="3">
        <v>14</v>
      </c>
      <c r="B2220" s="3">
        <v>4</v>
      </c>
      <c r="C2220" s="3">
        <v>60</v>
      </c>
      <c r="D2220" s="3">
        <v>40</v>
      </c>
      <c r="E2220" s="3">
        <v>-162.909</v>
      </c>
      <c r="F2220" s="4" t="str">
        <f>HYPERLINK("http://141.218.60.56/~jnz1568/getInfo.php?workbook=14_04.xlsx&amp;sheet=A0&amp;row=2220&amp;col=6&amp;number=17200&amp;sourceID=14","17200")</f>
        <v>17200</v>
      </c>
      <c r="G2220" s="4" t="str">
        <f>HYPERLINK("http://141.218.60.56/~jnz1568/getInfo.php?workbook=14_04.xlsx&amp;sheet=A0&amp;row=2220&amp;col=7&amp;number=0&amp;sourceID=14","0")</f>
        <v>0</v>
      </c>
    </row>
    <row r="2221" spans="1:7">
      <c r="A2221" s="3">
        <v>14</v>
      </c>
      <c r="B2221" s="3">
        <v>4</v>
      </c>
      <c r="C2221" s="3">
        <v>63</v>
      </c>
      <c r="D2221" s="3">
        <v>40</v>
      </c>
      <c r="E2221" s="3">
        <v>-159.737</v>
      </c>
      <c r="F2221" s="4" t="str">
        <f>HYPERLINK("http://141.218.60.56/~jnz1568/getInfo.php?workbook=14_04.xlsx&amp;sheet=A0&amp;row=2221&amp;col=6&amp;number=457000000&amp;sourceID=14","457000000")</f>
        <v>457000000</v>
      </c>
      <c r="G2221" s="4" t="str">
        <f>HYPERLINK("http://141.218.60.56/~jnz1568/getInfo.php?workbook=14_04.xlsx&amp;sheet=A0&amp;row=2221&amp;col=7&amp;number=0&amp;sourceID=14","0")</f>
        <v>0</v>
      </c>
    </row>
    <row r="2222" spans="1:7">
      <c r="A2222" s="3">
        <v>14</v>
      </c>
      <c r="B2222" s="3">
        <v>4</v>
      </c>
      <c r="C2222" s="3">
        <v>64</v>
      </c>
      <c r="D2222" s="3">
        <v>40</v>
      </c>
      <c r="E2222" s="3">
        <v>-158.364</v>
      </c>
      <c r="F2222" s="4" t="str">
        <f>HYPERLINK("http://141.218.60.56/~jnz1568/getInfo.php?workbook=14_04.xlsx&amp;sheet=A0&amp;row=2222&amp;col=6&amp;number=1184000000&amp;sourceID=14","1184000000")</f>
        <v>1184000000</v>
      </c>
      <c r="G2222" s="4" t="str">
        <f>HYPERLINK("http://141.218.60.56/~jnz1568/getInfo.php?workbook=14_04.xlsx&amp;sheet=A0&amp;row=2222&amp;col=7&amp;number=0&amp;sourceID=14","0")</f>
        <v>0</v>
      </c>
    </row>
    <row r="2223" spans="1:7">
      <c r="A2223" s="3">
        <v>14</v>
      </c>
      <c r="B2223" s="3">
        <v>4</v>
      </c>
      <c r="C2223" s="3">
        <v>68</v>
      </c>
      <c r="D2223" s="3">
        <v>40</v>
      </c>
      <c r="E2223" s="3">
        <v>-156.643</v>
      </c>
      <c r="F2223" s="4" t="str">
        <f>HYPERLINK("http://141.218.60.56/~jnz1568/getInfo.php?workbook=14_04.xlsx&amp;sheet=A0&amp;row=2223&amp;col=6&amp;number=4320000000&amp;sourceID=14","4320000000")</f>
        <v>4320000000</v>
      </c>
      <c r="G2223" s="4" t="str">
        <f>HYPERLINK("http://141.218.60.56/~jnz1568/getInfo.php?workbook=14_04.xlsx&amp;sheet=A0&amp;row=2223&amp;col=7&amp;number=0&amp;sourceID=14","0")</f>
        <v>0</v>
      </c>
    </row>
    <row r="2224" spans="1:7">
      <c r="A2224" s="3">
        <v>14</v>
      </c>
      <c r="B2224" s="3">
        <v>4</v>
      </c>
      <c r="C2224" s="3">
        <v>69</v>
      </c>
      <c r="D2224" s="3">
        <v>40</v>
      </c>
      <c r="E2224" s="3">
        <v>-156.444</v>
      </c>
      <c r="F2224" s="4" t="str">
        <f>HYPERLINK("http://141.218.60.56/~jnz1568/getInfo.php?workbook=14_04.xlsx&amp;sheet=A0&amp;row=2224&amp;col=6&amp;number=40660&amp;sourceID=14","40660")</f>
        <v>40660</v>
      </c>
      <c r="G2224" s="4" t="str">
        <f>HYPERLINK("http://141.218.60.56/~jnz1568/getInfo.php?workbook=14_04.xlsx&amp;sheet=A0&amp;row=2224&amp;col=7&amp;number=0&amp;sourceID=14","0")</f>
        <v>0</v>
      </c>
    </row>
    <row r="2225" spans="1:7">
      <c r="A2225" s="3">
        <v>14</v>
      </c>
      <c r="B2225" s="3">
        <v>4</v>
      </c>
      <c r="C2225" s="3">
        <v>70</v>
      </c>
      <c r="D2225" s="3">
        <v>40</v>
      </c>
      <c r="E2225" s="3">
        <v>-155.608</v>
      </c>
      <c r="F2225" s="4" t="str">
        <f>HYPERLINK("http://141.218.60.56/~jnz1568/getInfo.php?workbook=14_04.xlsx&amp;sheet=A0&amp;row=2225&amp;col=6&amp;number=233400&amp;sourceID=14","233400")</f>
        <v>233400</v>
      </c>
      <c r="G2225" s="4" t="str">
        <f>HYPERLINK("http://141.218.60.56/~jnz1568/getInfo.php?workbook=14_04.xlsx&amp;sheet=A0&amp;row=2225&amp;col=7&amp;number=0&amp;sourceID=14","0")</f>
        <v>0</v>
      </c>
    </row>
    <row r="2226" spans="1:7">
      <c r="A2226" s="3">
        <v>14</v>
      </c>
      <c r="B2226" s="3">
        <v>4</v>
      </c>
      <c r="C2226" s="3">
        <v>71</v>
      </c>
      <c r="D2226" s="3">
        <v>40</v>
      </c>
      <c r="E2226" s="3">
        <v>-155.267</v>
      </c>
      <c r="F2226" s="4" t="str">
        <f>HYPERLINK("http://141.218.60.56/~jnz1568/getInfo.php?workbook=14_04.xlsx&amp;sheet=A0&amp;row=2226&amp;col=6&amp;number=2501&amp;sourceID=14","2501")</f>
        <v>2501</v>
      </c>
      <c r="G2226" s="4" t="str">
        <f>HYPERLINK("http://141.218.60.56/~jnz1568/getInfo.php?workbook=14_04.xlsx&amp;sheet=A0&amp;row=2226&amp;col=7&amp;number=0&amp;sourceID=14","0")</f>
        <v>0</v>
      </c>
    </row>
    <row r="2227" spans="1:7">
      <c r="A2227" s="3">
        <v>14</v>
      </c>
      <c r="B2227" s="3">
        <v>4</v>
      </c>
      <c r="C2227" s="3">
        <v>72</v>
      </c>
      <c r="D2227" s="3">
        <v>40</v>
      </c>
      <c r="E2227" s="3">
        <v>-154.744</v>
      </c>
      <c r="F2227" s="4" t="str">
        <f>HYPERLINK("http://141.218.60.56/~jnz1568/getInfo.php?workbook=14_04.xlsx&amp;sheet=A0&amp;row=2227&amp;col=6&amp;number=137300000&amp;sourceID=14","137300000")</f>
        <v>137300000</v>
      </c>
      <c r="G2227" s="4" t="str">
        <f>HYPERLINK("http://141.218.60.56/~jnz1568/getInfo.php?workbook=14_04.xlsx&amp;sheet=A0&amp;row=2227&amp;col=7&amp;number=0&amp;sourceID=14","0")</f>
        <v>0</v>
      </c>
    </row>
    <row r="2228" spans="1:7">
      <c r="A2228" s="3">
        <v>14</v>
      </c>
      <c r="B2228" s="3">
        <v>4</v>
      </c>
      <c r="C2228" s="3">
        <v>73</v>
      </c>
      <c r="D2228" s="3">
        <v>40</v>
      </c>
      <c r="E2228" s="3">
        <v>-154.429</v>
      </c>
      <c r="F2228" s="4" t="str">
        <f>HYPERLINK("http://141.218.60.56/~jnz1568/getInfo.php?workbook=14_04.xlsx&amp;sheet=A0&amp;row=2228&amp;col=6&amp;number=588500&amp;sourceID=14","588500")</f>
        <v>588500</v>
      </c>
      <c r="G2228" s="4" t="str">
        <f>HYPERLINK("http://141.218.60.56/~jnz1568/getInfo.php?workbook=14_04.xlsx&amp;sheet=A0&amp;row=2228&amp;col=7&amp;number=0&amp;sourceID=14","0")</f>
        <v>0</v>
      </c>
    </row>
    <row r="2229" spans="1:7">
      <c r="A2229" s="3">
        <v>14</v>
      </c>
      <c r="B2229" s="3">
        <v>4</v>
      </c>
      <c r="C2229" s="3">
        <v>74</v>
      </c>
      <c r="D2229" s="3">
        <v>40</v>
      </c>
      <c r="E2229" s="3">
        <v>-154.07</v>
      </c>
      <c r="F2229" s="4" t="str">
        <f>HYPERLINK("http://141.218.60.56/~jnz1568/getInfo.php?workbook=14_04.xlsx&amp;sheet=A0&amp;row=2229&amp;col=6&amp;number=2334&amp;sourceID=14","2334")</f>
        <v>2334</v>
      </c>
      <c r="G2229" s="4" t="str">
        <f>HYPERLINK("http://141.218.60.56/~jnz1568/getInfo.php?workbook=14_04.xlsx&amp;sheet=A0&amp;row=2229&amp;col=7&amp;number=0&amp;sourceID=14","0")</f>
        <v>0</v>
      </c>
    </row>
    <row r="2230" spans="1:7">
      <c r="A2230" s="3">
        <v>14</v>
      </c>
      <c r="B2230" s="3">
        <v>4</v>
      </c>
      <c r="C2230" s="3">
        <v>75</v>
      </c>
      <c r="D2230" s="3">
        <v>40</v>
      </c>
      <c r="E2230" s="3">
        <v>-153.616</v>
      </c>
      <c r="F2230" s="4" t="str">
        <f>HYPERLINK("http://141.218.60.56/~jnz1568/getInfo.php?workbook=14_04.xlsx&amp;sheet=A0&amp;row=2230&amp;col=6&amp;number=723.5&amp;sourceID=14","723.5")</f>
        <v>723.5</v>
      </c>
      <c r="G2230" s="4" t="str">
        <f>HYPERLINK("http://141.218.60.56/~jnz1568/getInfo.php?workbook=14_04.xlsx&amp;sheet=A0&amp;row=2230&amp;col=7&amp;number=0&amp;sourceID=14","0")</f>
        <v>0</v>
      </c>
    </row>
    <row r="2231" spans="1:7">
      <c r="A2231" s="3">
        <v>14</v>
      </c>
      <c r="B2231" s="3">
        <v>4</v>
      </c>
      <c r="C2231" s="3">
        <v>76</v>
      </c>
      <c r="D2231" s="3">
        <v>40</v>
      </c>
      <c r="E2231" s="3">
        <v>151.839</v>
      </c>
      <c r="F2231" s="4" t="str">
        <f>HYPERLINK("http://141.218.60.56/~jnz1568/getInfo.php?workbook=14_04.xlsx&amp;sheet=A0&amp;row=2231&amp;col=6&amp;number=212300&amp;sourceID=14","212300")</f>
        <v>212300</v>
      </c>
      <c r="G2231" s="4" t="str">
        <f>HYPERLINK("http://141.218.60.56/~jnz1568/getInfo.php?workbook=14_04.xlsx&amp;sheet=A0&amp;row=2231&amp;col=7&amp;number=0&amp;sourceID=14","0")</f>
        <v>0</v>
      </c>
    </row>
    <row r="2232" spans="1:7">
      <c r="A2232" s="3">
        <v>14</v>
      </c>
      <c r="B2232" s="3">
        <v>4</v>
      </c>
      <c r="C2232" s="3">
        <v>77</v>
      </c>
      <c r="D2232" s="3">
        <v>40</v>
      </c>
      <c r="E2232" s="3">
        <v>151.629</v>
      </c>
      <c r="F2232" s="4" t="str">
        <f>HYPERLINK("http://141.218.60.56/~jnz1568/getInfo.php?workbook=14_04.xlsx&amp;sheet=A0&amp;row=2232&amp;col=6&amp;number=837100&amp;sourceID=14","837100")</f>
        <v>837100</v>
      </c>
      <c r="G2232" s="4" t="str">
        <f>HYPERLINK("http://141.218.60.56/~jnz1568/getInfo.php?workbook=14_04.xlsx&amp;sheet=A0&amp;row=2232&amp;col=7&amp;number=0&amp;sourceID=14","0")</f>
        <v>0</v>
      </c>
    </row>
    <row r="2233" spans="1:7">
      <c r="A2233" s="3">
        <v>14</v>
      </c>
      <c r="B2233" s="3">
        <v>4</v>
      </c>
      <c r="C2233" s="3">
        <v>78</v>
      </c>
      <c r="D2233" s="3">
        <v>40</v>
      </c>
      <c r="E2233" s="3">
        <v>-152.233</v>
      </c>
      <c r="F2233" s="4" t="str">
        <f>HYPERLINK("http://141.218.60.56/~jnz1568/getInfo.php?workbook=14_04.xlsx&amp;sheet=A0&amp;row=2233&amp;col=6&amp;number=619300&amp;sourceID=14","619300")</f>
        <v>619300</v>
      </c>
      <c r="G2233" s="4" t="str">
        <f>HYPERLINK("http://141.218.60.56/~jnz1568/getInfo.php?workbook=14_04.xlsx&amp;sheet=A0&amp;row=2233&amp;col=7&amp;number=0&amp;sourceID=14","0")</f>
        <v>0</v>
      </c>
    </row>
    <row r="2234" spans="1:7">
      <c r="A2234" s="3">
        <v>14</v>
      </c>
      <c r="B2234" s="3">
        <v>4</v>
      </c>
      <c r="C2234" s="3">
        <v>81</v>
      </c>
      <c r="D2234" s="3">
        <v>40</v>
      </c>
      <c r="E2234" s="3">
        <v>149.337</v>
      </c>
      <c r="F2234" s="4" t="str">
        <f>HYPERLINK("http://141.218.60.56/~jnz1568/getInfo.php?workbook=14_04.xlsx&amp;sheet=A0&amp;row=2234&amp;col=6&amp;number=2909&amp;sourceID=14","2909")</f>
        <v>2909</v>
      </c>
      <c r="G2234" s="4" t="str">
        <f>HYPERLINK("http://141.218.60.56/~jnz1568/getInfo.php?workbook=14_04.xlsx&amp;sheet=A0&amp;row=2234&amp;col=7&amp;number=0&amp;sourceID=14","0")</f>
        <v>0</v>
      </c>
    </row>
    <row r="2235" spans="1:7">
      <c r="A2235" s="3">
        <v>14</v>
      </c>
      <c r="B2235" s="3">
        <v>4</v>
      </c>
      <c r="C2235" s="3">
        <v>82</v>
      </c>
      <c r="D2235" s="3">
        <v>40</v>
      </c>
      <c r="E2235" s="3">
        <v>-149.439</v>
      </c>
      <c r="F2235" s="4" t="str">
        <f>HYPERLINK("http://141.218.60.56/~jnz1568/getInfo.php?workbook=14_04.xlsx&amp;sheet=A0&amp;row=2235&amp;col=6&amp;number=1214&amp;sourceID=14","1214")</f>
        <v>1214</v>
      </c>
      <c r="G2235" s="4" t="str">
        <f>HYPERLINK("http://141.218.60.56/~jnz1568/getInfo.php?workbook=14_04.xlsx&amp;sheet=A0&amp;row=2235&amp;col=7&amp;number=0&amp;sourceID=14","0")</f>
        <v>0</v>
      </c>
    </row>
    <row r="2236" spans="1:7">
      <c r="A2236" s="3">
        <v>14</v>
      </c>
      <c r="B2236" s="3">
        <v>4</v>
      </c>
      <c r="C2236" s="3">
        <v>86</v>
      </c>
      <c r="D2236" s="3">
        <v>40</v>
      </c>
      <c r="E2236" s="3">
        <v>-134.276</v>
      </c>
      <c r="F2236" s="4" t="str">
        <f>HYPERLINK("http://141.218.60.56/~jnz1568/getInfo.php?workbook=14_04.xlsx&amp;sheet=A0&amp;row=2236&amp;col=6&amp;number=1.287&amp;sourceID=14","1.287")</f>
        <v>1.287</v>
      </c>
      <c r="G2236" s="4" t="str">
        <f>HYPERLINK("http://141.218.60.56/~jnz1568/getInfo.php?workbook=14_04.xlsx&amp;sheet=A0&amp;row=2236&amp;col=7&amp;number=0&amp;sourceID=14","0")</f>
        <v>0</v>
      </c>
    </row>
    <row r="2237" spans="1:7">
      <c r="A2237" s="3">
        <v>14</v>
      </c>
      <c r="B2237" s="3">
        <v>4</v>
      </c>
      <c r="C2237" s="3">
        <v>87</v>
      </c>
      <c r="D2237" s="3">
        <v>40</v>
      </c>
      <c r="E2237" s="3">
        <v>132.629</v>
      </c>
      <c r="F2237" s="4" t="str">
        <f>HYPERLINK("http://141.218.60.56/~jnz1568/getInfo.php?workbook=14_04.xlsx&amp;sheet=A0&amp;row=2237&amp;col=6&amp;number=3532&amp;sourceID=14","3532")</f>
        <v>3532</v>
      </c>
      <c r="G2237" s="4" t="str">
        <f>HYPERLINK("http://141.218.60.56/~jnz1568/getInfo.php?workbook=14_04.xlsx&amp;sheet=A0&amp;row=2237&amp;col=7&amp;number=0&amp;sourceID=14","0")</f>
        <v>0</v>
      </c>
    </row>
    <row r="2238" spans="1:7">
      <c r="A2238" s="3">
        <v>14</v>
      </c>
      <c r="B2238" s="3">
        <v>4</v>
      </c>
      <c r="C2238" s="3">
        <v>88</v>
      </c>
      <c r="D2238" s="3">
        <v>40</v>
      </c>
      <c r="E2238" s="3">
        <v>-133.764</v>
      </c>
      <c r="F2238" s="4" t="str">
        <f>HYPERLINK("http://141.218.60.56/~jnz1568/getInfo.php?workbook=14_04.xlsx&amp;sheet=A0&amp;row=2238&amp;col=6&amp;number=1551&amp;sourceID=14","1551")</f>
        <v>1551</v>
      </c>
      <c r="G2238" s="4" t="str">
        <f>HYPERLINK("http://141.218.60.56/~jnz1568/getInfo.php?workbook=14_04.xlsx&amp;sheet=A0&amp;row=2238&amp;col=7&amp;number=0&amp;sourceID=14","0")</f>
        <v>0</v>
      </c>
    </row>
    <row r="2239" spans="1:7">
      <c r="A2239" s="3">
        <v>14</v>
      </c>
      <c r="B2239" s="3">
        <v>4</v>
      </c>
      <c r="C2239" s="3">
        <v>90</v>
      </c>
      <c r="D2239" s="3">
        <v>40</v>
      </c>
      <c r="E2239" s="3">
        <v>131.828</v>
      </c>
      <c r="F2239" s="4" t="str">
        <f>HYPERLINK("http://141.218.60.56/~jnz1568/getInfo.php?workbook=14_04.xlsx&amp;sheet=A0&amp;row=2239&amp;col=6&amp;number=1129000&amp;sourceID=14","1129000")</f>
        <v>1129000</v>
      </c>
      <c r="G2239" s="4" t="str">
        <f>HYPERLINK("http://141.218.60.56/~jnz1568/getInfo.php?workbook=14_04.xlsx&amp;sheet=A0&amp;row=2239&amp;col=7&amp;number=0&amp;sourceID=14","0")</f>
        <v>0</v>
      </c>
    </row>
    <row r="2240" spans="1:7">
      <c r="A2240" s="3">
        <v>14</v>
      </c>
      <c r="B2240" s="3">
        <v>4</v>
      </c>
      <c r="C2240" s="3">
        <v>91</v>
      </c>
      <c r="D2240" s="3">
        <v>40</v>
      </c>
      <c r="E2240" s="3">
        <v>131.843</v>
      </c>
      <c r="F2240" s="4" t="str">
        <f>HYPERLINK("http://141.218.60.56/~jnz1568/getInfo.php?workbook=14_04.xlsx&amp;sheet=A0&amp;row=2240&amp;col=6&amp;number=13810000&amp;sourceID=14","13810000")</f>
        <v>13810000</v>
      </c>
      <c r="G2240" s="4" t="str">
        <f>HYPERLINK("http://141.218.60.56/~jnz1568/getInfo.php?workbook=14_04.xlsx&amp;sheet=A0&amp;row=2240&amp;col=7&amp;number=0&amp;sourceID=14","0")</f>
        <v>0</v>
      </c>
    </row>
    <row r="2241" spans="1:7">
      <c r="A2241" s="3">
        <v>14</v>
      </c>
      <c r="B2241" s="3">
        <v>4</v>
      </c>
      <c r="C2241" s="3">
        <v>92</v>
      </c>
      <c r="D2241" s="3">
        <v>40</v>
      </c>
      <c r="E2241" s="3">
        <v>131.164</v>
      </c>
      <c r="F2241" s="4" t="str">
        <f>HYPERLINK("http://141.218.60.56/~jnz1568/getInfo.php?workbook=14_04.xlsx&amp;sheet=A0&amp;row=2241&amp;col=6&amp;number=5030000&amp;sourceID=14","5030000")</f>
        <v>5030000</v>
      </c>
      <c r="G2241" s="4" t="str">
        <f>HYPERLINK("http://141.218.60.56/~jnz1568/getInfo.php?workbook=14_04.xlsx&amp;sheet=A0&amp;row=2241&amp;col=7&amp;number=0&amp;sourceID=14","0")</f>
        <v>0</v>
      </c>
    </row>
    <row r="2242" spans="1:7">
      <c r="A2242" s="3">
        <v>14</v>
      </c>
      <c r="B2242" s="3">
        <v>4</v>
      </c>
      <c r="C2242" s="3">
        <v>43</v>
      </c>
      <c r="D2242" s="3">
        <v>41</v>
      </c>
      <c r="E2242" s="3">
        <v>1123597.573</v>
      </c>
      <c r="F2242" s="4" t="str">
        <f>HYPERLINK("http://141.218.60.56/~jnz1568/getInfo.php?workbook=14_04.xlsx&amp;sheet=A0&amp;row=2242&amp;col=6&amp;number=1.866e-13&amp;sourceID=14","1.866e-13")</f>
        <v>1.866e-13</v>
      </c>
      <c r="G2242" s="4" t="str">
        <f>HYPERLINK("http://141.218.60.56/~jnz1568/getInfo.php?workbook=14_04.xlsx&amp;sheet=A0&amp;row=2242&amp;col=7&amp;number=0&amp;sourceID=14","0")</f>
        <v>0</v>
      </c>
    </row>
    <row r="2243" spans="1:7">
      <c r="A2243" s="3">
        <v>14</v>
      </c>
      <c r="B2243" s="3">
        <v>4</v>
      </c>
      <c r="C2243" s="3">
        <v>45</v>
      </c>
      <c r="D2243" s="3">
        <v>41</v>
      </c>
      <c r="E2243" s="3">
        <v>3822.637</v>
      </c>
      <c r="F2243" s="4" t="str">
        <f>HYPERLINK("http://141.218.60.56/~jnz1568/getInfo.php?workbook=14_04.xlsx&amp;sheet=A0&amp;row=2243&amp;col=6&amp;number=0.09098&amp;sourceID=14","0.09098")</f>
        <v>0.09098</v>
      </c>
      <c r="G2243" s="4" t="str">
        <f>HYPERLINK("http://141.218.60.56/~jnz1568/getInfo.php?workbook=14_04.xlsx&amp;sheet=A0&amp;row=2243&amp;col=7&amp;number=0&amp;sourceID=14","0")</f>
        <v>0</v>
      </c>
    </row>
    <row r="2244" spans="1:7">
      <c r="A2244" s="3">
        <v>14</v>
      </c>
      <c r="B2244" s="3">
        <v>4</v>
      </c>
      <c r="C2244" s="3">
        <v>46</v>
      </c>
      <c r="D2244" s="3">
        <v>41</v>
      </c>
      <c r="E2244" s="3">
        <v>3695.635</v>
      </c>
      <c r="F2244" s="4" t="str">
        <f>HYPERLINK("http://141.218.60.56/~jnz1568/getInfo.php?workbook=14_04.xlsx&amp;sheet=A0&amp;row=2244&amp;col=6&amp;number=0.3071&amp;sourceID=14","0.3071")</f>
        <v>0.3071</v>
      </c>
      <c r="G2244" s="4" t="str">
        <f>HYPERLINK("http://141.218.60.56/~jnz1568/getInfo.php?workbook=14_04.xlsx&amp;sheet=A0&amp;row=2244&amp;col=7&amp;number=0&amp;sourceID=14","0")</f>
        <v>0</v>
      </c>
    </row>
    <row r="2245" spans="1:7">
      <c r="A2245" s="3">
        <v>14</v>
      </c>
      <c r="B2245" s="3">
        <v>4</v>
      </c>
      <c r="C2245" s="3">
        <v>47</v>
      </c>
      <c r="D2245" s="3">
        <v>41</v>
      </c>
      <c r="E2245" s="3">
        <v>263.108</v>
      </c>
      <c r="F2245" s="4" t="str">
        <f>HYPERLINK("http://141.218.60.56/~jnz1568/getInfo.php?workbook=14_04.xlsx&amp;sheet=A0&amp;row=2245&amp;col=6&amp;number=76710000&amp;sourceID=14","76710000")</f>
        <v>76710000</v>
      </c>
      <c r="G2245" s="4" t="str">
        <f>HYPERLINK("http://141.218.60.56/~jnz1568/getInfo.php?workbook=14_04.xlsx&amp;sheet=A0&amp;row=2245&amp;col=7&amp;number=0&amp;sourceID=14","0")</f>
        <v>0</v>
      </c>
    </row>
    <row r="2246" spans="1:7">
      <c r="A2246" s="3">
        <v>14</v>
      </c>
      <c r="B2246" s="3">
        <v>4</v>
      </c>
      <c r="C2246" s="3">
        <v>49</v>
      </c>
      <c r="D2246" s="3">
        <v>41</v>
      </c>
      <c r="E2246" s="3">
        <v>233.033</v>
      </c>
      <c r="F2246" s="4" t="str">
        <f>HYPERLINK("http://141.218.60.56/~jnz1568/getInfo.php?workbook=14_04.xlsx&amp;sheet=A0&amp;row=2246&amp;col=6&amp;number=8172&amp;sourceID=14","8172")</f>
        <v>8172</v>
      </c>
      <c r="G2246" s="4" t="str">
        <f>HYPERLINK("http://141.218.60.56/~jnz1568/getInfo.php?workbook=14_04.xlsx&amp;sheet=A0&amp;row=2246&amp;col=7&amp;number=0&amp;sourceID=14","0")</f>
        <v>0</v>
      </c>
    </row>
    <row r="2247" spans="1:7">
      <c r="A2247" s="3">
        <v>14</v>
      </c>
      <c r="B2247" s="3">
        <v>4</v>
      </c>
      <c r="C2247" s="3">
        <v>50</v>
      </c>
      <c r="D2247" s="3">
        <v>41</v>
      </c>
      <c r="E2247" s="3">
        <v>233.033</v>
      </c>
      <c r="F2247" s="4" t="str">
        <f>HYPERLINK("http://141.218.60.56/~jnz1568/getInfo.php?workbook=14_04.xlsx&amp;sheet=A0&amp;row=2247&amp;col=6&amp;number=6789&amp;sourceID=14","6789")</f>
        <v>6789</v>
      </c>
      <c r="G2247" s="4" t="str">
        <f>HYPERLINK("http://141.218.60.56/~jnz1568/getInfo.php?workbook=14_04.xlsx&amp;sheet=A0&amp;row=2247&amp;col=7&amp;number=0&amp;sourceID=14","0")</f>
        <v>0</v>
      </c>
    </row>
    <row r="2248" spans="1:7">
      <c r="A2248" s="3">
        <v>14</v>
      </c>
      <c r="B2248" s="3">
        <v>4</v>
      </c>
      <c r="C2248" s="3">
        <v>51</v>
      </c>
      <c r="D2248" s="3">
        <v>41</v>
      </c>
      <c r="E2248" s="3">
        <v>232.646</v>
      </c>
      <c r="F2248" s="4" t="str">
        <f>HYPERLINK("http://141.218.60.56/~jnz1568/getInfo.php?workbook=14_04.xlsx&amp;sheet=A0&amp;row=2248&amp;col=6&amp;number=3767&amp;sourceID=14","3767")</f>
        <v>3767</v>
      </c>
      <c r="G2248" s="4" t="str">
        <f>HYPERLINK("http://141.218.60.56/~jnz1568/getInfo.php?workbook=14_04.xlsx&amp;sheet=A0&amp;row=2248&amp;col=7&amp;number=0&amp;sourceID=14","0")</f>
        <v>0</v>
      </c>
    </row>
    <row r="2249" spans="1:7">
      <c r="A2249" s="3">
        <v>14</v>
      </c>
      <c r="B2249" s="3">
        <v>4</v>
      </c>
      <c r="C2249" s="3">
        <v>52</v>
      </c>
      <c r="D2249" s="3">
        <v>41</v>
      </c>
      <c r="E2249" s="3">
        <v>234.944</v>
      </c>
      <c r="F2249" s="4" t="str">
        <f>HYPERLINK("http://141.218.60.56/~jnz1568/getInfo.php?workbook=14_04.xlsx&amp;sheet=A0&amp;row=2249&amp;col=6&amp;number=120.1&amp;sourceID=14","120.1")</f>
        <v>120.1</v>
      </c>
      <c r="G2249" s="4" t="str">
        <f>HYPERLINK("http://141.218.60.56/~jnz1568/getInfo.php?workbook=14_04.xlsx&amp;sheet=A0&amp;row=2249&amp;col=7&amp;number=0&amp;sourceID=14","0")</f>
        <v>0</v>
      </c>
    </row>
    <row r="2250" spans="1:7">
      <c r="A2250" s="3">
        <v>14</v>
      </c>
      <c r="B2250" s="3">
        <v>4</v>
      </c>
      <c r="C2250" s="3">
        <v>53</v>
      </c>
      <c r="D2250" s="3">
        <v>41</v>
      </c>
      <c r="E2250" s="3">
        <v>226.436</v>
      </c>
      <c r="F2250" s="4" t="str">
        <f>HYPERLINK("http://141.218.60.56/~jnz1568/getInfo.php?workbook=14_04.xlsx&amp;sheet=A0&amp;row=2250&amp;col=6&amp;number=15060000&amp;sourceID=14","15060000")</f>
        <v>15060000</v>
      </c>
      <c r="G2250" s="4" t="str">
        <f>HYPERLINK("http://141.218.60.56/~jnz1568/getInfo.php?workbook=14_04.xlsx&amp;sheet=A0&amp;row=2250&amp;col=7&amp;number=0&amp;sourceID=14","0")</f>
        <v>0</v>
      </c>
    </row>
    <row r="2251" spans="1:7">
      <c r="A2251" s="3">
        <v>14</v>
      </c>
      <c r="B2251" s="3">
        <v>4</v>
      </c>
      <c r="C2251" s="3">
        <v>54</v>
      </c>
      <c r="D2251" s="3">
        <v>41</v>
      </c>
      <c r="E2251" s="3">
        <v>226.45</v>
      </c>
      <c r="F2251" s="4" t="str">
        <f>HYPERLINK("http://141.218.60.56/~jnz1568/getInfo.php?workbook=14_04.xlsx&amp;sheet=A0&amp;row=2251&amp;col=6&amp;number=145400000&amp;sourceID=14","145400000")</f>
        <v>145400000</v>
      </c>
      <c r="G2251" s="4" t="str">
        <f>HYPERLINK("http://141.218.60.56/~jnz1568/getInfo.php?workbook=14_04.xlsx&amp;sheet=A0&amp;row=2251&amp;col=7&amp;number=0&amp;sourceID=14","0")</f>
        <v>0</v>
      </c>
    </row>
    <row r="2252" spans="1:7">
      <c r="A2252" s="3">
        <v>14</v>
      </c>
      <c r="B2252" s="3">
        <v>4</v>
      </c>
      <c r="C2252" s="3">
        <v>55</v>
      </c>
      <c r="D2252" s="3">
        <v>41</v>
      </c>
      <c r="E2252" s="3">
        <v>226.027</v>
      </c>
      <c r="F2252" s="4" t="str">
        <f>HYPERLINK("http://141.218.60.56/~jnz1568/getInfo.php?workbook=14_04.xlsx&amp;sheet=A0&amp;row=2252&amp;col=6&amp;number=555100000&amp;sourceID=14","555100000")</f>
        <v>555100000</v>
      </c>
      <c r="G2252" s="4" t="str">
        <f>HYPERLINK("http://141.218.60.56/~jnz1568/getInfo.php?workbook=14_04.xlsx&amp;sheet=A0&amp;row=2252&amp;col=7&amp;number=0&amp;sourceID=14","0")</f>
        <v>0</v>
      </c>
    </row>
    <row r="2253" spans="1:7">
      <c r="A2253" s="3">
        <v>14</v>
      </c>
      <c r="B2253" s="3">
        <v>4</v>
      </c>
      <c r="C2253" s="3">
        <v>56</v>
      </c>
      <c r="D2253" s="3">
        <v>41</v>
      </c>
      <c r="E2253" s="3">
        <v>220.675</v>
      </c>
      <c r="F2253" s="4" t="str">
        <f>HYPERLINK("http://141.218.60.56/~jnz1568/getInfo.php?workbook=14_04.xlsx&amp;sheet=A0&amp;row=2253&amp;col=6&amp;number=166.3&amp;sourceID=14","166.3")</f>
        <v>166.3</v>
      </c>
      <c r="G2253" s="4" t="str">
        <f>HYPERLINK("http://141.218.60.56/~jnz1568/getInfo.php?workbook=14_04.xlsx&amp;sheet=A0&amp;row=2253&amp;col=7&amp;number=0&amp;sourceID=14","0")</f>
        <v>0</v>
      </c>
    </row>
    <row r="2254" spans="1:7">
      <c r="A2254" s="3">
        <v>14</v>
      </c>
      <c r="B2254" s="3">
        <v>4</v>
      </c>
      <c r="C2254" s="3">
        <v>57</v>
      </c>
      <c r="D2254" s="3">
        <v>41</v>
      </c>
      <c r="E2254" s="3">
        <v>-168.97</v>
      </c>
      <c r="F2254" s="4" t="str">
        <f>HYPERLINK("http://141.218.60.56/~jnz1568/getInfo.php?workbook=14_04.xlsx&amp;sheet=A0&amp;row=2254&amp;col=6&amp;number=74810&amp;sourceID=14","74810")</f>
        <v>74810</v>
      </c>
      <c r="G2254" s="4" t="str">
        <f>HYPERLINK("http://141.218.60.56/~jnz1568/getInfo.php?workbook=14_04.xlsx&amp;sheet=A0&amp;row=2254&amp;col=7&amp;number=0&amp;sourceID=14","0")</f>
        <v>0</v>
      </c>
    </row>
    <row r="2255" spans="1:7">
      <c r="A2255" s="3">
        <v>14</v>
      </c>
      <c r="B2255" s="3">
        <v>4</v>
      </c>
      <c r="C2255" s="3">
        <v>58</v>
      </c>
      <c r="D2255" s="3">
        <v>41</v>
      </c>
      <c r="E2255" s="3">
        <v>-168.556</v>
      </c>
      <c r="F2255" s="4" t="str">
        <f>HYPERLINK("http://141.218.60.56/~jnz1568/getInfo.php?workbook=14_04.xlsx&amp;sheet=A0&amp;row=2255&amp;col=6&amp;number=119400&amp;sourceID=14","119400")</f>
        <v>119400</v>
      </c>
      <c r="G2255" s="4" t="str">
        <f>HYPERLINK("http://141.218.60.56/~jnz1568/getInfo.php?workbook=14_04.xlsx&amp;sheet=A0&amp;row=2255&amp;col=7&amp;number=0&amp;sourceID=14","0")</f>
        <v>0</v>
      </c>
    </row>
    <row r="2256" spans="1:7">
      <c r="A2256" s="3">
        <v>14</v>
      </c>
      <c r="B2256" s="3">
        <v>4</v>
      </c>
      <c r="C2256" s="3">
        <v>59</v>
      </c>
      <c r="D2256" s="3">
        <v>41</v>
      </c>
      <c r="E2256" s="3">
        <v>168.774</v>
      </c>
      <c r="F2256" s="4" t="str">
        <f>HYPERLINK("http://141.218.60.56/~jnz1568/getInfo.php?workbook=14_04.xlsx&amp;sheet=A0&amp;row=2256&amp;col=6&amp;number=220900&amp;sourceID=14","220900")</f>
        <v>220900</v>
      </c>
      <c r="G2256" s="4" t="str">
        <f>HYPERLINK("http://141.218.60.56/~jnz1568/getInfo.php?workbook=14_04.xlsx&amp;sheet=A0&amp;row=2256&amp;col=7&amp;number=0&amp;sourceID=14","0")</f>
        <v>0</v>
      </c>
    </row>
    <row r="2257" spans="1:7">
      <c r="A2257" s="3">
        <v>14</v>
      </c>
      <c r="B2257" s="3">
        <v>4</v>
      </c>
      <c r="C2257" s="3">
        <v>60</v>
      </c>
      <c r="D2257" s="3">
        <v>41</v>
      </c>
      <c r="E2257" s="3">
        <v>-164.979</v>
      </c>
      <c r="F2257" s="4" t="str">
        <f>HYPERLINK("http://141.218.60.56/~jnz1568/getInfo.php?workbook=14_04.xlsx&amp;sheet=A0&amp;row=2257&amp;col=6&amp;number=27290&amp;sourceID=14","27290")</f>
        <v>27290</v>
      </c>
      <c r="G2257" s="4" t="str">
        <f>HYPERLINK("http://141.218.60.56/~jnz1568/getInfo.php?workbook=14_04.xlsx&amp;sheet=A0&amp;row=2257&amp;col=7&amp;number=0&amp;sourceID=14","0")</f>
        <v>0</v>
      </c>
    </row>
    <row r="2258" spans="1:7">
      <c r="A2258" s="3">
        <v>14</v>
      </c>
      <c r="B2258" s="3">
        <v>4</v>
      </c>
      <c r="C2258" s="3">
        <v>61</v>
      </c>
      <c r="D2258" s="3">
        <v>41</v>
      </c>
      <c r="E2258" s="3">
        <v>-161.793</v>
      </c>
      <c r="F2258" s="4" t="str">
        <f>HYPERLINK("http://141.218.60.56/~jnz1568/getInfo.php?workbook=14_04.xlsx&amp;sheet=A0&amp;row=2258&amp;col=6&amp;number=446200000&amp;sourceID=14","446200000")</f>
        <v>446200000</v>
      </c>
      <c r="G2258" s="4" t="str">
        <f>HYPERLINK("http://141.218.60.56/~jnz1568/getInfo.php?workbook=14_04.xlsx&amp;sheet=A0&amp;row=2258&amp;col=7&amp;number=0&amp;sourceID=14","0")</f>
        <v>0</v>
      </c>
    </row>
    <row r="2259" spans="1:7">
      <c r="A2259" s="3">
        <v>14</v>
      </c>
      <c r="B2259" s="3">
        <v>4</v>
      </c>
      <c r="C2259" s="3">
        <v>62</v>
      </c>
      <c r="D2259" s="3">
        <v>41</v>
      </c>
      <c r="E2259" s="3">
        <v>-162.947</v>
      </c>
      <c r="F2259" s="4" t="str">
        <f>HYPERLINK("http://141.218.60.56/~jnz1568/getInfo.php?workbook=14_04.xlsx&amp;sheet=A0&amp;row=2259&amp;col=6&amp;number=40100000&amp;sourceID=14","40100000")</f>
        <v>40100000</v>
      </c>
      <c r="G2259" s="4" t="str">
        <f>HYPERLINK("http://141.218.60.56/~jnz1568/getInfo.php?workbook=14_04.xlsx&amp;sheet=A0&amp;row=2259&amp;col=7&amp;number=0&amp;sourceID=14","0")</f>
        <v>0</v>
      </c>
    </row>
    <row r="2260" spans="1:7">
      <c r="A2260" s="3">
        <v>14</v>
      </c>
      <c r="B2260" s="3">
        <v>4</v>
      </c>
      <c r="C2260" s="3">
        <v>63</v>
      </c>
      <c r="D2260" s="3">
        <v>41</v>
      </c>
      <c r="E2260" s="3">
        <v>-161.727</v>
      </c>
      <c r="F2260" s="4" t="str">
        <f>HYPERLINK("http://141.218.60.56/~jnz1568/getInfo.php?workbook=14_04.xlsx&amp;sheet=A0&amp;row=2260&amp;col=6&amp;number=308200000&amp;sourceID=14","308200000")</f>
        <v>308200000</v>
      </c>
      <c r="G2260" s="4" t="str">
        <f>HYPERLINK("http://141.218.60.56/~jnz1568/getInfo.php?workbook=14_04.xlsx&amp;sheet=A0&amp;row=2260&amp;col=7&amp;number=0&amp;sourceID=14","0")</f>
        <v>0</v>
      </c>
    </row>
    <row r="2261" spans="1:7">
      <c r="A2261" s="3">
        <v>14</v>
      </c>
      <c r="B2261" s="3">
        <v>4</v>
      </c>
      <c r="C2261" s="3">
        <v>64</v>
      </c>
      <c r="D2261" s="3">
        <v>41</v>
      </c>
      <c r="E2261" s="3">
        <v>-160.32</v>
      </c>
      <c r="F2261" s="4" t="str">
        <f>HYPERLINK("http://141.218.60.56/~jnz1568/getInfo.php?workbook=14_04.xlsx&amp;sheet=A0&amp;row=2261&amp;col=6&amp;number=2471000000&amp;sourceID=14","2471000000")</f>
        <v>2471000000</v>
      </c>
      <c r="G2261" s="4" t="str">
        <f>HYPERLINK("http://141.218.60.56/~jnz1568/getInfo.php?workbook=14_04.xlsx&amp;sheet=A0&amp;row=2261&amp;col=7&amp;number=0&amp;sourceID=14","0")</f>
        <v>0</v>
      </c>
    </row>
    <row r="2262" spans="1:7">
      <c r="A2262" s="3">
        <v>14</v>
      </c>
      <c r="B2262" s="3">
        <v>4</v>
      </c>
      <c r="C2262" s="3">
        <v>65</v>
      </c>
      <c r="D2262" s="3">
        <v>41</v>
      </c>
      <c r="E2262" s="3">
        <v>-159.865</v>
      </c>
      <c r="F2262" s="4" t="str">
        <f>HYPERLINK("http://141.218.60.56/~jnz1568/getInfo.php?workbook=14_04.xlsx&amp;sheet=A0&amp;row=2262&amp;col=6&amp;number=3555000000&amp;sourceID=14","3555000000")</f>
        <v>3555000000</v>
      </c>
      <c r="G2262" s="4" t="str">
        <f>HYPERLINK("http://141.218.60.56/~jnz1568/getInfo.php?workbook=14_04.xlsx&amp;sheet=A0&amp;row=2262&amp;col=7&amp;number=0&amp;sourceID=14","0")</f>
        <v>0</v>
      </c>
    </row>
    <row r="2263" spans="1:7">
      <c r="A2263" s="3">
        <v>14</v>
      </c>
      <c r="B2263" s="3">
        <v>4</v>
      </c>
      <c r="C2263" s="3">
        <v>67</v>
      </c>
      <c r="D2263" s="3">
        <v>41</v>
      </c>
      <c r="E2263" s="3">
        <v>-158.755</v>
      </c>
      <c r="F2263" s="4" t="str">
        <f>HYPERLINK("http://141.218.60.56/~jnz1568/getInfo.php?workbook=14_04.xlsx&amp;sheet=A0&amp;row=2263&amp;col=6&amp;number=3080000000&amp;sourceID=14","3080000000")</f>
        <v>3080000000</v>
      </c>
      <c r="G2263" s="4" t="str">
        <f>HYPERLINK("http://141.218.60.56/~jnz1568/getInfo.php?workbook=14_04.xlsx&amp;sheet=A0&amp;row=2263&amp;col=7&amp;number=0&amp;sourceID=14","0")</f>
        <v>0</v>
      </c>
    </row>
    <row r="2264" spans="1:7">
      <c r="A2264" s="3">
        <v>14</v>
      </c>
      <c r="B2264" s="3">
        <v>4</v>
      </c>
      <c r="C2264" s="3">
        <v>68</v>
      </c>
      <c r="D2264" s="3">
        <v>41</v>
      </c>
      <c r="E2264" s="3">
        <v>-158.556</v>
      </c>
      <c r="F2264" s="4" t="str">
        <f>HYPERLINK("http://141.218.60.56/~jnz1568/getInfo.php?workbook=14_04.xlsx&amp;sheet=A0&amp;row=2264&amp;col=6&amp;number=463000000&amp;sourceID=14","463000000")</f>
        <v>463000000</v>
      </c>
      <c r="G2264" s="4" t="str">
        <f>HYPERLINK("http://141.218.60.56/~jnz1568/getInfo.php?workbook=14_04.xlsx&amp;sheet=A0&amp;row=2264&amp;col=7&amp;number=0&amp;sourceID=14","0")</f>
        <v>0</v>
      </c>
    </row>
    <row r="2265" spans="1:7">
      <c r="A2265" s="3">
        <v>14</v>
      </c>
      <c r="B2265" s="3">
        <v>4</v>
      </c>
      <c r="C2265" s="3">
        <v>69</v>
      </c>
      <c r="D2265" s="3">
        <v>41</v>
      </c>
      <c r="E2265" s="3">
        <v>-158.352</v>
      </c>
      <c r="F2265" s="4" t="str">
        <f>HYPERLINK("http://141.218.60.56/~jnz1568/getInfo.php?workbook=14_04.xlsx&amp;sheet=A0&amp;row=2265&amp;col=6&amp;number=48.13&amp;sourceID=14","48.13")</f>
        <v>48.13</v>
      </c>
      <c r="G2265" s="4" t="str">
        <f>HYPERLINK("http://141.218.60.56/~jnz1568/getInfo.php?workbook=14_04.xlsx&amp;sheet=A0&amp;row=2265&amp;col=7&amp;number=0&amp;sourceID=14","0")</f>
        <v>0</v>
      </c>
    </row>
    <row r="2266" spans="1:7">
      <c r="A2266" s="3">
        <v>14</v>
      </c>
      <c r="B2266" s="3">
        <v>4</v>
      </c>
      <c r="C2266" s="3">
        <v>70</v>
      </c>
      <c r="D2266" s="3">
        <v>41</v>
      </c>
      <c r="E2266" s="3">
        <v>-157.496</v>
      </c>
      <c r="F2266" s="4" t="str">
        <f>HYPERLINK("http://141.218.60.56/~jnz1568/getInfo.php?workbook=14_04.xlsx&amp;sheet=A0&amp;row=2266&amp;col=6&amp;number=58010&amp;sourceID=14","58010")</f>
        <v>58010</v>
      </c>
      <c r="G2266" s="4" t="str">
        <f>HYPERLINK("http://141.218.60.56/~jnz1568/getInfo.php?workbook=14_04.xlsx&amp;sheet=A0&amp;row=2266&amp;col=7&amp;number=0&amp;sourceID=14","0")</f>
        <v>0</v>
      </c>
    </row>
    <row r="2267" spans="1:7">
      <c r="A2267" s="3">
        <v>14</v>
      </c>
      <c r="B2267" s="3">
        <v>4</v>
      </c>
      <c r="C2267" s="3">
        <v>71</v>
      </c>
      <c r="D2267" s="3">
        <v>41</v>
      </c>
      <c r="E2267" s="3">
        <v>-157.146</v>
      </c>
      <c r="F2267" s="4" t="str">
        <f>HYPERLINK("http://141.218.60.56/~jnz1568/getInfo.php?workbook=14_04.xlsx&amp;sheet=A0&amp;row=2267&amp;col=6&amp;number=50470&amp;sourceID=14","50470")</f>
        <v>50470</v>
      </c>
      <c r="G2267" s="4" t="str">
        <f>HYPERLINK("http://141.218.60.56/~jnz1568/getInfo.php?workbook=14_04.xlsx&amp;sheet=A0&amp;row=2267&amp;col=7&amp;number=0&amp;sourceID=14","0")</f>
        <v>0</v>
      </c>
    </row>
    <row r="2268" spans="1:7">
      <c r="A2268" s="3">
        <v>14</v>
      </c>
      <c r="B2268" s="3">
        <v>4</v>
      </c>
      <c r="C2268" s="3">
        <v>72</v>
      </c>
      <c r="D2268" s="3">
        <v>41</v>
      </c>
      <c r="E2268" s="3">
        <v>-156.611</v>
      </c>
      <c r="F2268" s="4" t="str">
        <f>HYPERLINK("http://141.218.60.56/~jnz1568/getInfo.php?workbook=14_04.xlsx&amp;sheet=A0&amp;row=2268&amp;col=6&amp;number=148500000&amp;sourceID=14","148500000")</f>
        <v>148500000</v>
      </c>
      <c r="G2268" s="4" t="str">
        <f>HYPERLINK("http://141.218.60.56/~jnz1568/getInfo.php?workbook=14_04.xlsx&amp;sheet=A0&amp;row=2268&amp;col=7&amp;number=0&amp;sourceID=14","0")</f>
        <v>0</v>
      </c>
    </row>
    <row r="2269" spans="1:7">
      <c r="A2269" s="3">
        <v>14</v>
      </c>
      <c r="B2269" s="3">
        <v>4</v>
      </c>
      <c r="C2269" s="3">
        <v>73</v>
      </c>
      <c r="D2269" s="3">
        <v>41</v>
      </c>
      <c r="E2269" s="3">
        <v>-156.288</v>
      </c>
      <c r="F2269" s="4" t="str">
        <f>HYPERLINK("http://141.218.60.56/~jnz1568/getInfo.php?workbook=14_04.xlsx&amp;sheet=A0&amp;row=2269&amp;col=6&amp;number=347200&amp;sourceID=14","347200")</f>
        <v>347200</v>
      </c>
      <c r="G2269" s="4" t="str">
        <f>HYPERLINK("http://141.218.60.56/~jnz1568/getInfo.php?workbook=14_04.xlsx&amp;sheet=A0&amp;row=2269&amp;col=7&amp;number=0&amp;sourceID=14","0")</f>
        <v>0</v>
      </c>
    </row>
    <row r="2270" spans="1:7">
      <c r="A2270" s="3">
        <v>14</v>
      </c>
      <c r="B2270" s="3">
        <v>4</v>
      </c>
      <c r="C2270" s="3">
        <v>74</v>
      </c>
      <c r="D2270" s="3">
        <v>41</v>
      </c>
      <c r="E2270" s="3">
        <v>-155.92</v>
      </c>
      <c r="F2270" s="4" t="str">
        <f>HYPERLINK("http://141.218.60.56/~jnz1568/getInfo.php?workbook=14_04.xlsx&amp;sheet=A0&amp;row=2270&amp;col=6&amp;number=198000&amp;sourceID=14","198000")</f>
        <v>198000</v>
      </c>
      <c r="G2270" s="4" t="str">
        <f>HYPERLINK("http://141.218.60.56/~jnz1568/getInfo.php?workbook=14_04.xlsx&amp;sheet=A0&amp;row=2270&amp;col=7&amp;number=0&amp;sourceID=14","0")</f>
        <v>0</v>
      </c>
    </row>
    <row r="2271" spans="1:7">
      <c r="A2271" s="3">
        <v>14</v>
      </c>
      <c r="B2271" s="3">
        <v>4</v>
      </c>
      <c r="C2271" s="3">
        <v>75</v>
      </c>
      <c r="D2271" s="3">
        <v>41</v>
      </c>
      <c r="E2271" s="3">
        <v>-155.455</v>
      </c>
      <c r="F2271" s="4" t="str">
        <f>HYPERLINK("http://141.218.60.56/~jnz1568/getInfo.php?workbook=14_04.xlsx&amp;sheet=A0&amp;row=2271&amp;col=6&amp;number=229700&amp;sourceID=14","229700")</f>
        <v>229700</v>
      </c>
      <c r="G2271" s="4" t="str">
        <f>HYPERLINK("http://141.218.60.56/~jnz1568/getInfo.php?workbook=14_04.xlsx&amp;sheet=A0&amp;row=2271&amp;col=7&amp;number=0&amp;sourceID=14","0")</f>
        <v>0</v>
      </c>
    </row>
    <row r="2272" spans="1:7">
      <c r="A2272" s="3">
        <v>14</v>
      </c>
      <c r="B2272" s="3">
        <v>4</v>
      </c>
      <c r="C2272" s="3">
        <v>76</v>
      </c>
      <c r="D2272" s="3">
        <v>41</v>
      </c>
      <c r="E2272" s="3">
        <v>154.398</v>
      </c>
      <c r="F2272" s="4" t="str">
        <f>HYPERLINK("http://141.218.60.56/~jnz1568/getInfo.php?workbook=14_04.xlsx&amp;sheet=A0&amp;row=2272&amp;col=6&amp;number=240000&amp;sourceID=14","240000")</f>
        <v>240000</v>
      </c>
      <c r="G2272" s="4" t="str">
        <f>HYPERLINK("http://141.218.60.56/~jnz1568/getInfo.php?workbook=14_04.xlsx&amp;sheet=A0&amp;row=2272&amp;col=7&amp;number=0&amp;sourceID=14","0")</f>
        <v>0</v>
      </c>
    </row>
    <row r="2273" spans="1:7">
      <c r="A2273" s="3">
        <v>14</v>
      </c>
      <c r="B2273" s="3">
        <v>4</v>
      </c>
      <c r="C2273" s="3">
        <v>77</v>
      </c>
      <c r="D2273" s="3">
        <v>41</v>
      </c>
      <c r="E2273" s="3">
        <v>154.182</v>
      </c>
      <c r="F2273" s="4" t="str">
        <f>HYPERLINK("http://141.218.60.56/~jnz1568/getInfo.php?workbook=14_04.xlsx&amp;sheet=A0&amp;row=2273&amp;col=6&amp;number=52210&amp;sourceID=14","52210")</f>
        <v>52210</v>
      </c>
      <c r="G2273" s="4" t="str">
        <f>HYPERLINK("http://141.218.60.56/~jnz1568/getInfo.php?workbook=14_04.xlsx&amp;sheet=A0&amp;row=2273&amp;col=7&amp;number=0&amp;sourceID=14","0")</f>
        <v>0</v>
      </c>
    </row>
    <row r="2274" spans="1:7">
      <c r="A2274" s="3">
        <v>14</v>
      </c>
      <c r="B2274" s="3">
        <v>4</v>
      </c>
      <c r="C2274" s="3">
        <v>78</v>
      </c>
      <c r="D2274" s="3">
        <v>41</v>
      </c>
      <c r="E2274" s="3">
        <v>-154.039</v>
      </c>
      <c r="F2274" s="4" t="str">
        <f>HYPERLINK("http://141.218.60.56/~jnz1568/getInfo.php?workbook=14_04.xlsx&amp;sheet=A0&amp;row=2274&amp;col=6&amp;number=888900&amp;sourceID=14","888900")</f>
        <v>888900</v>
      </c>
      <c r="G2274" s="4" t="str">
        <f>HYPERLINK("http://141.218.60.56/~jnz1568/getInfo.php?workbook=14_04.xlsx&amp;sheet=A0&amp;row=2274&amp;col=7&amp;number=0&amp;sourceID=14","0")</f>
        <v>0</v>
      </c>
    </row>
    <row r="2275" spans="1:7">
      <c r="A2275" s="3">
        <v>14</v>
      </c>
      <c r="B2275" s="3">
        <v>4</v>
      </c>
      <c r="C2275" s="3">
        <v>79</v>
      </c>
      <c r="D2275" s="3">
        <v>41</v>
      </c>
      <c r="E2275" s="3">
        <v>-153.935</v>
      </c>
      <c r="F2275" s="4" t="str">
        <f>HYPERLINK("http://141.218.60.56/~jnz1568/getInfo.php?workbook=14_04.xlsx&amp;sheet=A0&amp;row=2275&amp;col=6&amp;number=2066000&amp;sourceID=14","2066000")</f>
        <v>2066000</v>
      </c>
      <c r="G2275" s="4" t="str">
        <f>HYPERLINK("http://141.218.60.56/~jnz1568/getInfo.php?workbook=14_04.xlsx&amp;sheet=A0&amp;row=2275&amp;col=7&amp;number=0&amp;sourceID=14","0")</f>
        <v>0</v>
      </c>
    </row>
    <row r="2276" spans="1:7">
      <c r="A2276" s="3">
        <v>14</v>
      </c>
      <c r="B2276" s="3">
        <v>4</v>
      </c>
      <c r="C2276" s="3">
        <v>81</v>
      </c>
      <c r="D2276" s="3">
        <v>41</v>
      </c>
      <c r="E2276" s="3">
        <v>151.812</v>
      </c>
      <c r="F2276" s="4" t="str">
        <f>HYPERLINK("http://141.218.60.56/~jnz1568/getInfo.php?workbook=14_04.xlsx&amp;sheet=A0&amp;row=2276&amp;col=6&amp;number=19630&amp;sourceID=14","19630")</f>
        <v>19630</v>
      </c>
      <c r="G2276" s="4" t="str">
        <f>HYPERLINK("http://141.218.60.56/~jnz1568/getInfo.php?workbook=14_04.xlsx&amp;sheet=A0&amp;row=2276&amp;col=7&amp;number=0&amp;sourceID=14","0")</f>
        <v>0</v>
      </c>
    </row>
    <row r="2277" spans="1:7">
      <c r="A2277" s="3">
        <v>14</v>
      </c>
      <c r="B2277" s="3">
        <v>4</v>
      </c>
      <c r="C2277" s="3">
        <v>82</v>
      </c>
      <c r="D2277" s="3">
        <v>41</v>
      </c>
      <c r="E2277" s="3">
        <v>-151.179</v>
      </c>
      <c r="F2277" s="4" t="str">
        <f>HYPERLINK("http://141.218.60.56/~jnz1568/getInfo.php?workbook=14_04.xlsx&amp;sheet=A0&amp;row=2277&amp;col=6&amp;number=49070&amp;sourceID=14","49070")</f>
        <v>49070</v>
      </c>
      <c r="G2277" s="4" t="str">
        <f>HYPERLINK("http://141.218.60.56/~jnz1568/getInfo.php?workbook=14_04.xlsx&amp;sheet=A0&amp;row=2277&amp;col=7&amp;number=0&amp;sourceID=14","0")</f>
        <v>0</v>
      </c>
    </row>
    <row r="2278" spans="1:7">
      <c r="A2278" s="3">
        <v>14</v>
      </c>
      <c r="B2278" s="3">
        <v>4</v>
      </c>
      <c r="C2278" s="3">
        <v>83</v>
      </c>
      <c r="D2278" s="3">
        <v>41</v>
      </c>
      <c r="E2278" s="3">
        <v>-138.43</v>
      </c>
      <c r="F2278" s="4" t="str">
        <f>HYPERLINK("http://141.218.60.56/~jnz1568/getInfo.php?workbook=14_04.xlsx&amp;sheet=A0&amp;row=2278&amp;col=6&amp;number=319000000&amp;sourceID=14","319000000")</f>
        <v>319000000</v>
      </c>
      <c r="G2278" s="4" t="str">
        <f>HYPERLINK("http://141.218.60.56/~jnz1568/getInfo.php?workbook=14_04.xlsx&amp;sheet=A0&amp;row=2278&amp;col=7&amp;number=0&amp;sourceID=14","0")</f>
        <v>0</v>
      </c>
    </row>
    <row r="2279" spans="1:7">
      <c r="A2279" s="3">
        <v>14</v>
      </c>
      <c r="B2279" s="3">
        <v>4</v>
      </c>
      <c r="C2279" s="3">
        <v>85</v>
      </c>
      <c r="D2279" s="3">
        <v>41</v>
      </c>
      <c r="E2279" s="3">
        <v>-135.702</v>
      </c>
      <c r="F2279" s="4" t="str">
        <f>HYPERLINK("http://141.218.60.56/~jnz1568/getInfo.php?workbook=14_04.xlsx&amp;sheet=A0&amp;row=2279&amp;col=6&amp;number=66810&amp;sourceID=14","66810")</f>
        <v>66810</v>
      </c>
      <c r="G2279" s="4" t="str">
        <f>HYPERLINK("http://141.218.60.56/~jnz1568/getInfo.php?workbook=14_04.xlsx&amp;sheet=A0&amp;row=2279&amp;col=7&amp;number=0&amp;sourceID=14","0")</f>
        <v>0</v>
      </c>
    </row>
    <row r="2280" spans="1:7">
      <c r="A2280" s="3">
        <v>14</v>
      </c>
      <c r="B2280" s="3">
        <v>4</v>
      </c>
      <c r="C2280" s="3">
        <v>86</v>
      </c>
      <c r="D2280" s="3">
        <v>41</v>
      </c>
      <c r="E2280" s="3">
        <v>-135.68</v>
      </c>
      <c r="F2280" s="4" t="str">
        <f>HYPERLINK("http://141.218.60.56/~jnz1568/getInfo.php?workbook=14_04.xlsx&amp;sheet=A0&amp;row=2280&amp;col=6&amp;number=48410&amp;sourceID=14","48410")</f>
        <v>48410</v>
      </c>
      <c r="G2280" s="4" t="str">
        <f>HYPERLINK("http://141.218.60.56/~jnz1568/getInfo.php?workbook=14_04.xlsx&amp;sheet=A0&amp;row=2280&amp;col=7&amp;number=0&amp;sourceID=14","0")</f>
        <v>0</v>
      </c>
    </row>
    <row r="2281" spans="1:7">
      <c r="A2281" s="3">
        <v>14</v>
      </c>
      <c r="B2281" s="3">
        <v>4</v>
      </c>
      <c r="C2281" s="3">
        <v>87</v>
      </c>
      <c r="D2281" s="3">
        <v>41</v>
      </c>
      <c r="E2281" s="3">
        <v>134.578</v>
      </c>
      <c r="F2281" s="4" t="str">
        <f>HYPERLINK("http://141.218.60.56/~jnz1568/getInfo.php?workbook=14_04.xlsx&amp;sheet=A0&amp;row=2281&amp;col=6&amp;number=18860&amp;sourceID=14","18860")</f>
        <v>18860</v>
      </c>
      <c r="G2281" s="4" t="str">
        <f>HYPERLINK("http://141.218.60.56/~jnz1568/getInfo.php?workbook=14_04.xlsx&amp;sheet=A0&amp;row=2281&amp;col=7&amp;number=0&amp;sourceID=14","0")</f>
        <v>0</v>
      </c>
    </row>
    <row r="2282" spans="1:7">
      <c r="A2282" s="3">
        <v>14</v>
      </c>
      <c r="B2282" s="3">
        <v>4</v>
      </c>
      <c r="C2282" s="3">
        <v>88</v>
      </c>
      <c r="D2282" s="3">
        <v>41</v>
      </c>
      <c r="E2282" s="3">
        <v>-135.157</v>
      </c>
      <c r="F2282" s="4" t="str">
        <f>HYPERLINK("http://141.218.60.56/~jnz1568/getInfo.php?workbook=14_04.xlsx&amp;sheet=A0&amp;row=2282&amp;col=6&amp;number=340.1&amp;sourceID=14","340.1")</f>
        <v>340.1</v>
      </c>
      <c r="G2282" s="4" t="str">
        <f>HYPERLINK("http://141.218.60.56/~jnz1568/getInfo.php?workbook=14_04.xlsx&amp;sheet=A0&amp;row=2282&amp;col=7&amp;number=0&amp;sourceID=14","0")</f>
        <v>0</v>
      </c>
    </row>
    <row r="2283" spans="1:7">
      <c r="A2283" s="3">
        <v>14</v>
      </c>
      <c r="B2283" s="3">
        <v>4</v>
      </c>
      <c r="C2283" s="3">
        <v>89</v>
      </c>
      <c r="D2283" s="3">
        <v>41</v>
      </c>
      <c r="E2283" s="3">
        <v>-134.14</v>
      </c>
      <c r="F2283" s="4" t="str">
        <f>HYPERLINK("http://141.218.60.56/~jnz1568/getInfo.php?workbook=14_04.xlsx&amp;sheet=A0&amp;row=2283&amp;col=6&amp;number=17230000&amp;sourceID=14","17230000")</f>
        <v>17230000</v>
      </c>
      <c r="G2283" s="4" t="str">
        <f>HYPERLINK("http://141.218.60.56/~jnz1568/getInfo.php?workbook=14_04.xlsx&amp;sheet=A0&amp;row=2283&amp;col=7&amp;number=0&amp;sourceID=14","0")</f>
        <v>0</v>
      </c>
    </row>
    <row r="2284" spans="1:7">
      <c r="A2284" s="3">
        <v>14</v>
      </c>
      <c r="B2284" s="3">
        <v>4</v>
      </c>
      <c r="C2284" s="3">
        <v>90</v>
      </c>
      <c r="D2284" s="3">
        <v>41</v>
      </c>
      <c r="E2284" s="3">
        <v>133.754</v>
      </c>
      <c r="F2284" s="4" t="str">
        <f>HYPERLINK("http://141.218.60.56/~jnz1568/getInfo.php?workbook=14_04.xlsx&amp;sheet=A0&amp;row=2284&amp;col=6&amp;number=162800000&amp;sourceID=14","162800000")</f>
        <v>162800000</v>
      </c>
      <c r="G2284" s="4" t="str">
        <f>HYPERLINK("http://141.218.60.56/~jnz1568/getInfo.php?workbook=14_04.xlsx&amp;sheet=A0&amp;row=2284&amp;col=7&amp;number=0&amp;sourceID=14","0")</f>
        <v>0</v>
      </c>
    </row>
    <row r="2285" spans="1:7">
      <c r="A2285" s="3">
        <v>14</v>
      </c>
      <c r="B2285" s="3">
        <v>4</v>
      </c>
      <c r="C2285" s="3">
        <v>91</v>
      </c>
      <c r="D2285" s="3">
        <v>41</v>
      </c>
      <c r="E2285" s="3">
        <v>133.768</v>
      </c>
      <c r="F2285" s="4" t="str">
        <f>HYPERLINK("http://141.218.60.56/~jnz1568/getInfo.php?workbook=14_04.xlsx&amp;sheet=A0&amp;row=2285&amp;col=6&amp;number=540900000&amp;sourceID=14","540900000")</f>
        <v>540900000</v>
      </c>
      <c r="G2285" s="4" t="str">
        <f>HYPERLINK("http://141.218.60.56/~jnz1568/getInfo.php?workbook=14_04.xlsx&amp;sheet=A0&amp;row=2285&amp;col=7&amp;number=0&amp;sourceID=14","0")</f>
        <v>0</v>
      </c>
    </row>
    <row r="2286" spans="1:7">
      <c r="A2286" s="3">
        <v>14</v>
      </c>
      <c r="B2286" s="3">
        <v>4</v>
      </c>
      <c r="C2286" s="3">
        <v>92</v>
      </c>
      <c r="D2286" s="3">
        <v>41</v>
      </c>
      <c r="E2286" s="3">
        <v>133.069</v>
      </c>
      <c r="F2286" s="4" t="str">
        <f>HYPERLINK("http://141.218.60.56/~jnz1568/getInfo.php?workbook=14_04.xlsx&amp;sheet=A0&amp;row=2286&amp;col=6&amp;number=89960&amp;sourceID=14","89960")</f>
        <v>89960</v>
      </c>
      <c r="G2286" s="4" t="str">
        <f>HYPERLINK("http://141.218.60.56/~jnz1568/getInfo.php?workbook=14_04.xlsx&amp;sheet=A0&amp;row=2286&amp;col=7&amp;number=0&amp;sourceID=14","0")</f>
        <v>0</v>
      </c>
    </row>
    <row r="2287" spans="1:7">
      <c r="A2287" s="3">
        <v>14</v>
      </c>
      <c r="B2287" s="3">
        <v>4</v>
      </c>
      <c r="C2287" s="3">
        <v>43</v>
      </c>
      <c r="D2287" s="3">
        <v>42</v>
      </c>
      <c r="E2287" s="3">
        <v>33068.844</v>
      </c>
      <c r="F2287" s="4" t="str">
        <f>HYPERLINK("http://141.218.60.56/~jnz1568/getInfo.php?workbook=14_04.xlsx&amp;sheet=A0&amp;row=2287&amp;col=6&amp;number=1.433&amp;sourceID=14","1.433")</f>
        <v>1.433</v>
      </c>
      <c r="G2287" s="4" t="str">
        <f>HYPERLINK("http://141.218.60.56/~jnz1568/getInfo.php?workbook=14_04.xlsx&amp;sheet=A0&amp;row=2287&amp;col=7&amp;number=0&amp;sourceID=14","0")</f>
        <v>0</v>
      </c>
    </row>
    <row r="2288" spans="1:7">
      <c r="A2288" s="3">
        <v>14</v>
      </c>
      <c r="B2288" s="3">
        <v>4</v>
      </c>
      <c r="C2288" s="3">
        <v>44</v>
      </c>
      <c r="D2288" s="3">
        <v>42</v>
      </c>
      <c r="E2288" s="3">
        <v>-5806.888</v>
      </c>
      <c r="F2288" s="4" t="str">
        <f>HYPERLINK("http://141.218.60.56/~jnz1568/getInfo.php?workbook=14_04.xlsx&amp;sheet=A0&amp;row=2288&amp;col=6&amp;number=5060&amp;sourceID=14","5060")</f>
        <v>5060</v>
      </c>
      <c r="G2288" s="4" t="str">
        <f>HYPERLINK("http://141.218.60.56/~jnz1568/getInfo.php?workbook=14_04.xlsx&amp;sheet=A0&amp;row=2288&amp;col=7&amp;number=0&amp;sourceID=14","0")</f>
        <v>0</v>
      </c>
    </row>
    <row r="2289" spans="1:7">
      <c r="A2289" s="3">
        <v>14</v>
      </c>
      <c r="B2289" s="3">
        <v>4</v>
      </c>
      <c r="C2289" s="3">
        <v>45</v>
      </c>
      <c r="D2289" s="3">
        <v>42</v>
      </c>
      <c r="E2289" s="3">
        <v>3437.023</v>
      </c>
      <c r="F2289" s="4" t="str">
        <f>HYPERLINK("http://141.218.60.56/~jnz1568/getInfo.php?workbook=14_04.xlsx&amp;sheet=A0&amp;row=2289&amp;col=6&amp;number=8.199e-05&amp;sourceID=14","8.199e-05")</f>
        <v>8.199e-05</v>
      </c>
      <c r="G2289" s="4" t="str">
        <f>HYPERLINK("http://141.218.60.56/~jnz1568/getInfo.php?workbook=14_04.xlsx&amp;sheet=A0&amp;row=2289&amp;col=7&amp;number=0&amp;sourceID=14","0")</f>
        <v>0</v>
      </c>
    </row>
    <row r="2290" spans="1:7">
      <c r="A2290" s="3">
        <v>14</v>
      </c>
      <c r="B2290" s="3">
        <v>4</v>
      </c>
      <c r="C2290" s="3">
        <v>46</v>
      </c>
      <c r="D2290" s="3">
        <v>42</v>
      </c>
      <c r="E2290" s="3">
        <v>3334.006</v>
      </c>
      <c r="F2290" s="4" t="str">
        <f>HYPERLINK("http://141.218.60.56/~jnz1568/getInfo.php?workbook=14_04.xlsx&amp;sheet=A0&amp;row=2290&amp;col=6&amp;number=1.788&amp;sourceID=14","1.788")</f>
        <v>1.788</v>
      </c>
      <c r="G2290" s="4" t="str">
        <f>HYPERLINK("http://141.218.60.56/~jnz1568/getInfo.php?workbook=14_04.xlsx&amp;sheet=A0&amp;row=2290&amp;col=7&amp;number=0&amp;sourceID=14","0")</f>
        <v>0</v>
      </c>
    </row>
    <row r="2291" spans="1:7">
      <c r="A2291" s="3">
        <v>14</v>
      </c>
      <c r="B2291" s="3">
        <v>4</v>
      </c>
      <c r="C2291" s="3">
        <v>47</v>
      </c>
      <c r="D2291" s="3">
        <v>42</v>
      </c>
      <c r="E2291" s="3">
        <v>261.092</v>
      </c>
      <c r="F2291" s="4" t="str">
        <f>HYPERLINK("http://141.218.60.56/~jnz1568/getInfo.php?workbook=14_04.xlsx&amp;sheet=A0&amp;row=2291&amp;col=6&amp;number=49440000&amp;sourceID=14","49440000")</f>
        <v>49440000</v>
      </c>
      <c r="G2291" s="4" t="str">
        <f>HYPERLINK("http://141.218.60.56/~jnz1568/getInfo.php?workbook=14_04.xlsx&amp;sheet=A0&amp;row=2291&amp;col=7&amp;number=0&amp;sourceID=14","0")</f>
        <v>0</v>
      </c>
    </row>
    <row r="2292" spans="1:7">
      <c r="A2292" s="3">
        <v>14</v>
      </c>
      <c r="B2292" s="3">
        <v>4</v>
      </c>
      <c r="C2292" s="3">
        <v>48</v>
      </c>
      <c r="D2292" s="3">
        <v>42</v>
      </c>
      <c r="E2292" s="3">
        <v>260.175</v>
      </c>
      <c r="F2292" s="4" t="str">
        <f>HYPERLINK("http://141.218.60.56/~jnz1568/getInfo.php?workbook=14_04.xlsx&amp;sheet=A0&amp;row=2292&amp;col=6&amp;number=30120&amp;sourceID=14","30120")</f>
        <v>30120</v>
      </c>
      <c r="G2292" s="4" t="str">
        <f>HYPERLINK("http://141.218.60.56/~jnz1568/getInfo.php?workbook=14_04.xlsx&amp;sheet=A0&amp;row=2292&amp;col=7&amp;number=0&amp;sourceID=14","0")</f>
        <v>0</v>
      </c>
    </row>
    <row r="2293" spans="1:7">
      <c r="A2293" s="3">
        <v>14</v>
      </c>
      <c r="B2293" s="3">
        <v>4</v>
      </c>
      <c r="C2293" s="3">
        <v>49</v>
      </c>
      <c r="D2293" s="3">
        <v>42</v>
      </c>
      <c r="E2293" s="3">
        <v>231.45</v>
      </c>
      <c r="F2293" s="4" t="str">
        <f>HYPERLINK("http://141.218.60.56/~jnz1568/getInfo.php?workbook=14_04.xlsx&amp;sheet=A0&amp;row=2293&amp;col=6&amp;number=0.0005328&amp;sourceID=14","0.0005328")</f>
        <v>0.0005328</v>
      </c>
      <c r="G2293" s="4" t="str">
        <f>HYPERLINK("http://141.218.60.56/~jnz1568/getInfo.php?workbook=14_04.xlsx&amp;sheet=A0&amp;row=2293&amp;col=7&amp;number=0&amp;sourceID=14","0")</f>
        <v>0</v>
      </c>
    </row>
    <row r="2294" spans="1:7">
      <c r="A2294" s="3">
        <v>14</v>
      </c>
      <c r="B2294" s="3">
        <v>4</v>
      </c>
      <c r="C2294" s="3">
        <v>50</v>
      </c>
      <c r="D2294" s="3">
        <v>42</v>
      </c>
      <c r="E2294" s="3">
        <v>231.45</v>
      </c>
      <c r="F2294" s="4" t="str">
        <f>HYPERLINK("http://141.218.60.56/~jnz1568/getInfo.php?workbook=14_04.xlsx&amp;sheet=A0&amp;row=2294&amp;col=6&amp;number=2246&amp;sourceID=14","2246")</f>
        <v>2246</v>
      </c>
      <c r="G2294" s="4" t="str">
        <f>HYPERLINK("http://141.218.60.56/~jnz1568/getInfo.php?workbook=14_04.xlsx&amp;sheet=A0&amp;row=2294&amp;col=7&amp;number=0&amp;sourceID=14","0")</f>
        <v>0</v>
      </c>
    </row>
    <row r="2295" spans="1:7">
      <c r="A2295" s="3">
        <v>14</v>
      </c>
      <c r="B2295" s="3">
        <v>4</v>
      </c>
      <c r="C2295" s="3">
        <v>51</v>
      </c>
      <c r="D2295" s="3">
        <v>42</v>
      </c>
      <c r="E2295" s="3">
        <v>231.068</v>
      </c>
      <c r="F2295" s="4" t="str">
        <f>HYPERLINK("http://141.218.60.56/~jnz1568/getInfo.php?workbook=14_04.xlsx&amp;sheet=A0&amp;row=2295&amp;col=6&amp;number=4839&amp;sourceID=14","4839")</f>
        <v>4839</v>
      </c>
      <c r="G2295" s="4" t="str">
        <f>HYPERLINK("http://141.218.60.56/~jnz1568/getInfo.php?workbook=14_04.xlsx&amp;sheet=A0&amp;row=2295&amp;col=7&amp;number=0&amp;sourceID=14","0")</f>
        <v>0</v>
      </c>
    </row>
    <row r="2296" spans="1:7">
      <c r="A2296" s="3">
        <v>14</v>
      </c>
      <c r="B2296" s="3">
        <v>4</v>
      </c>
      <c r="C2296" s="3">
        <v>52</v>
      </c>
      <c r="D2296" s="3">
        <v>42</v>
      </c>
      <c r="E2296" s="3">
        <v>233.335</v>
      </c>
      <c r="F2296" s="4" t="str">
        <f>HYPERLINK("http://141.218.60.56/~jnz1568/getInfo.php?workbook=14_04.xlsx&amp;sheet=A0&amp;row=2296&amp;col=6&amp;number=61.7&amp;sourceID=14","61.7")</f>
        <v>61.7</v>
      </c>
      <c r="G2296" s="4" t="str">
        <f>HYPERLINK("http://141.218.60.56/~jnz1568/getInfo.php?workbook=14_04.xlsx&amp;sheet=A0&amp;row=2296&amp;col=7&amp;number=0&amp;sourceID=14","0")</f>
        <v>0</v>
      </c>
    </row>
    <row r="2297" spans="1:7">
      <c r="A2297" s="3">
        <v>14</v>
      </c>
      <c r="B2297" s="3">
        <v>4</v>
      </c>
      <c r="C2297" s="3">
        <v>53</v>
      </c>
      <c r="D2297" s="3">
        <v>42</v>
      </c>
      <c r="E2297" s="3">
        <v>224.941</v>
      </c>
      <c r="F2297" s="4" t="str">
        <f>HYPERLINK("http://141.218.60.56/~jnz1568/getInfo.php?workbook=14_04.xlsx&amp;sheet=A0&amp;row=2297&amp;col=6&amp;number=251600000&amp;sourceID=14","251600000")</f>
        <v>251600000</v>
      </c>
      <c r="G2297" s="4" t="str">
        <f>HYPERLINK("http://141.218.60.56/~jnz1568/getInfo.php?workbook=14_04.xlsx&amp;sheet=A0&amp;row=2297&amp;col=7&amp;number=0&amp;sourceID=14","0")</f>
        <v>0</v>
      </c>
    </row>
    <row r="2298" spans="1:7">
      <c r="A2298" s="3">
        <v>14</v>
      </c>
      <c r="B2298" s="3">
        <v>4</v>
      </c>
      <c r="C2298" s="3">
        <v>54</v>
      </c>
      <c r="D2298" s="3">
        <v>42</v>
      </c>
      <c r="E2298" s="3">
        <v>224.955</v>
      </c>
      <c r="F2298" s="4" t="str">
        <f>HYPERLINK("http://141.218.60.56/~jnz1568/getInfo.php?workbook=14_04.xlsx&amp;sheet=A0&amp;row=2298&amp;col=6&amp;number=442600000&amp;sourceID=14","442600000")</f>
        <v>442600000</v>
      </c>
      <c r="G2298" s="4" t="str">
        <f>HYPERLINK("http://141.218.60.56/~jnz1568/getInfo.php?workbook=14_04.xlsx&amp;sheet=A0&amp;row=2298&amp;col=7&amp;number=0&amp;sourceID=14","0")</f>
        <v>0</v>
      </c>
    </row>
    <row r="2299" spans="1:7">
      <c r="A2299" s="3">
        <v>14</v>
      </c>
      <c r="B2299" s="3">
        <v>4</v>
      </c>
      <c r="C2299" s="3">
        <v>56</v>
      </c>
      <c r="D2299" s="3">
        <v>42</v>
      </c>
      <c r="E2299" s="3">
        <v>219.255</v>
      </c>
      <c r="F2299" s="4" t="str">
        <f>HYPERLINK("http://141.218.60.56/~jnz1568/getInfo.php?workbook=14_04.xlsx&amp;sheet=A0&amp;row=2299&amp;col=6&amp;number=1335000&amp;sourceID=14","1335000")</f>
        <v>1335000</v>
      </c>
      <c r="G2299" s="4" t="str">
        <f>HYPERLINK("http://141.218.60.56/~jnz1568/getInfo.php?workbook=14_04.xlsx&amp;sheet=A0&amp;row=2299&amp;col=7&amp;number=0&amp;sourceID=14","0")</f>
        <v>0</v>
      </c>
    </row>
    <row r="2300" spans="1:7">
      <c r="A2300" s="3">
        <v>14</v>
      </c>
      <c r="B2300" s="3">
        <v>4</v>
      </c>
      <c r="C2300" s="3">
        <v>57</v>
      </c>
      <c r="D2300" s="3">
        <v>42</v>
      </c>
      <c r="E2300" s="3">
        <v>-169.388</v>
      </c>
      <c r="F2300" s="4" t="str">
        <f>HYPERLINK("http://141.218.60.56/~jnz1568/getInfo.php?workbook=14_04.xlsx&amp;sheet=A0&amp;row=2300&amp;col=6&amp;number=0.0495&amp;sourceID=14","0.0495")</f>
        <v>0.0495</v>
      </c>
      <c r="G2300" s="4" t="str">
        <f>HYPERLINK("http://141.218.60.56/~jnz1568/getInfo.php?workbook=14_04.xlsx&amp;sheet=A0&amp;row=2300&amp;col=7&amp;number=0&amp;sourceID=14","0")</f>
        <v>0</v>
      </c>
    </row>
    <row r="2301" spans="1:7">
      <c r="A2301" s="3">
        <v>14</v>
      </c>
      <c r="B2301" s="3">
        <v>4</v>
      </c>
      <c r="C2301" s="3">
        <v>58</v>
      </c>
      <c r="D2301" s="3">
        <v>42</v>
      </c>
      <c r="E2301" s="3">
        <v>-168.972</v>
      </c>
      <c r="F2301" s="4" t="str">
        <f>HYPERLINK("http://141.218.60.56/~jnz1568/getInfo.php?workbook=14_04.xlsx&amp;sheet=A0&amp;row=2301&amp;col=6&amp;number=25090&amp;sourceID=14","25090")</f>
        <v>25090</v>
      </c>
      <c r="G2301" s="4" t="str">
        <f>HYPERLINK("http://141.218.60.56/~jnz1568/getInfo.php?workbook=14_04.xlsx&amp;sheet=A0&amp;row=2301&amp;col=7&amp;number=0&amp;sourceID=14","0")</f>
        <v>0</v>
      </c>
    </row>
    <row r="2302" spans="1:7">
      <c r="A2302" s="3">
        <v>14</v>
      </c>
      <c r="B2302" s="3">
        <v>4</v>
      </c>
      <c r="C2302" s="3">
        <v>59</v>
      </c>
      <c r="D2302" s="3">
        <v>42</v>
      </c>
      <c r="E2302" s="3">
        <v>167.942</v>
      </c>
      <c r="F2302" s="4" t="str">
        <f>HYPERLINK("http://141.218.60.56/~jnz1568/getInfo.php?workbook=14_04.xlsx&amp;sheet=A0&amp;row=2302&amp;col=6&amp;number=174700&amp;sourceID=14","174700")</f>
        <v>174700</v>
      </c>
      <c r="G2302" s="4" t="str">
        <f>HYPERLINK("http://141.218.60.56/~jnz1568/getInfo.php?workbook=14_04.xlsx&amp;sheet=A0&amp;row=2302&amp;col=7&amp;number=0&amp;sourceID=14","0")</f>
        <v>0</v>
      </c>
    </row>
    <row r="2303" spans="1:7">
      <c r="A2303" s="3">
        <v>14</v>
      </c>
      <c r="B2303" s="3">
        <v>4</v>
      </c>
      <c r="C2303" s="3">
        <v>60</v>
      </c>
      <c r="D2303" s="3">
        <v>42</v>
      </c>
      <c r="E2303" s="3">
        <v>-165.377</v>
      </c>
      <c r="F2303" s="4" t="str">
        <f>HYPERLINK("http://141.218.60.56/~jnz1568/getInfo.php?workbook=14_04.xlsx&amp;sheet=A0&amp;row=2303&amp;col=6&amp;number=212.3&amp;sourceID=14","212.3")</f>
        <v>212.3</v>
      </c>
      <c r="G2303" s="4" t="str">
        <f>HYPERLINK("http://141.218.60.56/~jnz1568/getInfo.php?workbook=14_04.xlsx&amp;sheet=A0&amp;row=2303&amp;col=7&amp;number=0&amp;sourceID=14","0")</f>
        <v>0</v>
      </c>
    </row>
    <row r="2304" spans="1:7">
      <c r="A2304" s="3">
        <v>14</v>
      </c>
      <c r="B2304" s="3">
        <v>4</v>
      </c>
      <c r="C2304" s="3">
        <v>61</v>
      </c>
      <c r="D2304" s="3">
        <v>42</v>
      </c>
      <c r="E2304" s="3">
        <v>-162.177</v>
      </c>
      <c r="F2304" s="4" t="str">
        <f>HYPERLINK("http://141.218.60.56/~jnz1568/getInfo.php?workbook=14_04.xlsx&amp;sheet=A0&amp;row=2304&amp;col=6&amp;number=84130&amp;sourceID=14","84130")</f>
        <v>84130</v>
      </c>
      <c r="G2304" s="4" t="str">
        <f>HYPERLINK("http://141.218.60.56/~jnz1568/getInfo.php?workbook=14_04.xlsx&amp;sheet=A0&amp;row=2304&amp;col=7&amp;number=0&amp;sourceID=14","0")</f>
        <v>0</v>
      </c>
    </row>
    <row r="2305" spans="1:7">
      <c r="A2305" s="3">
        <v>14</v>
      </c>
      <c r="B2305" s="3">
        <v>4</v>
      </c>
      <c r="C2305" s="3">
        <v>62</v>
      </c>
      <c r="D2305" s="3">
        <v>42</v>
      </c>
      <c r="E2305" s="3">
        <v>-163.336</v>
      </c>
      <c r="F2305" s="4" t="str">
        <f>HYPERLINK("http://141.218.60.56/~jnz1568/getInfo.php?workbook=14_04.xlsx&amp;sheet=A0&amp;row=2305&amp;col=6&amp;number=670400000&amp;sourceID=14","670400000")</f>
        <v>670400000</v>
      </c>
      <c r="G2305" s="4" t="str">
        <f>HYPERLINK("http://141.218.60.56/~jnz1568/getInfo.php?workbook=14_04.xlsx&amp;sheet=A0&amp;row=2305&amp;col=7&amp;number=0&amp;sourceID=14","0")</f>
        <v>0</v>
      </c>
    </row>
    <row r="2306" spans="1:7">
      <c r="A2306" s="3">
        <v>14</v>
      </c>
      <c r="B2306" s="3">
        <v>4</v>
      </c>
      <c r="C2306" s="3">
        <v>63</v>
      </c>
      <c r="D2306" s="3">
        <v>42</v>
      </c>
      <c r="E2306" s="3">
        <v>-162.109</v>
      </c>
      <c r="F2306" s="4" t="str">
        <f>HYPERLINK("http://141.218.60.56/~jnz1568/getInfo.php?workbook=14_04.xlsx&amp;sheet=A0&amp;row=2306&amp;col=6&amp;number=1354000000&amp;sourceID=14","1354000000")</f>
        <v>1354000000</v>
      </c>
      <c r="G2306" s="4" t="str">
        <f>HYPERLINK("http://141.218.60.56/~jnz1568/getInfo.php?workbook=14_04.xlsx&amp;sheet=A0&amp;row=2306&amp;col=7&amp;number=0&amp;sourceID=14","0")</f>
        <v>0</v>
      </c>
    </row>
    <row r="2307" spans="1:7">
      <c r="A2307" s="3">
        <v>14</v>
      </c>
      <c r="B2307" s="3">
        <v>4</v>
      </c>
      <c r="C2307" s="3">
        <v>65</v>
      </c>
      <c r="D2307" s="3">
        <v>42</v>
      </c>
      <c r="E2307" s="3">
        <v>-160.239</v>
      </c>
      <c r="F2307" s="4" t="str">
        <f>HYPERLINK("http://141.218.60.56/~jnz1568/getInfo.php?workbook=14_04.xlsx&amp;sheet=A0&amp;row=2307&amp;col=6&amp;number=1841000000&amp;sourceID=14","1841000000")</f>
        <v>1841000000</v>
      </c>
      <c r="G2307" s="4" t="str">
        <f>HYPERLINK("http://141.218.60.56/~jnz1568/getInfo.php?workbook=14_04.xlsx&amp;sheet=A0&amp;row=2307&amp;col=7&amp;number=0&amp;sourceID=14","0")</f>
        <v>0</v>
      </c>
    </row>
    <row r="2308" spans="1:7">
      <c r="A2308" s="3">
        <v>14</v>
      </c>
      <c r="B2308" s="3">
        <v>4</v>
      </c>
      <c r="C2308" s="3">
        <v>66</v>
      </c>
      <c r="D2308" s="3">
        <v>42</v>
      </c>
      <c r="E2308" s="3">
        <v>-160.278</v>
      </c>
      <c r="F2308" s="4" t="str">
        <f>HYPERLINK("http://141.218.60.56/~jnz1568/getInfo.php?workbook=14_04.xlsx&amp;sheet=A0&amp;row=2308&amp;col=6&amp;number=68600000&amp;sourceID=14","68600000")</f>
        <v>68600000</v>
      </c>
      <c r="G2308" s="4" t="str">
        <f>HYPERLINK("http://141.218.60.56/~jnz1568/getInfo.php?workbook=14_04.xlsx&amp;sheet=A0&amp;row=2308&amp;col=7&amp;number=0&amp;sourceID=14","0")</f>
        <v>0</v>
      </c>
    </row>
    <row r="2309" spans="1:7">
      <c r="A2309" s="3">
        <v>14</v>
      </c>
      <c r="B2309" s="3">
        <v>4</v>
      </c>
      <c r="C2309" s="3">
        <v>67</v>
      </c>
      <c r="D2309" s="3">
        <v>42</v>
      </c>
      <c r="E2309" s="3">
        <v>-159.124</v>
      </c>
      <c r="F2309" s="4" t="str">
        <f>HYPERLINK("http://141.218.60.56/~jnz1568/getInfo.php?workbook=14_04.xlsx&amp;sheet=A0&amp;row=2309&amp;col=6&amp;number=2727000000&amp;sourceID=14","2727000000")</f>
        <v>2727000000</v>
      </c>
      <c r="G2309" s="4" t="str">
        <f>HYPERLINK("http://141.218.60.56/~jnz1568/getInfo.php?workbook=14_04.xlsx&amp;sheet=A0&amp;row=2309&amp;col=7&amp;number=0&amp;sourceID=14","0")</f>
        <v>0</v>
      </c>
    </row>
    <row r="2310" spans="1:7">
      <c r="A2310" s="3">
        <v>14</v>
      </c>
      <c r="B2310" s="3">
        <v>4</v>
      </c>
      <c r="C2310" s="3">
        <v>68</v>
      </c>
      <c r="D2310" s="3">
        <v>42</v>
      </c>
      <c r="E2310" s="3">
        <v>-158.924</v>
      </c>
      <c r="F2310" s="4" t="str">
        <f>HYPERLINK("http://141.218.60.56/~jnz1568/getInfo.php?workbook=14_04.xlsx&amp;sheet=A0&amp;row=2310&amp;col=6&amp;number=536600000&amp;sourceID=14","536600000")</f>
        <v>536600000</v>
      </c>
      <c r="G2310" s="4" t="str">
        <f>HYPERLINK("http://141.218.60.56/~jnz1568/getInfo.php?workbook=14_04.xlsx&amp;sheet=A0&amp;row=2310&amp;col=7&amp;number=0&amp;sourceID=14","0")</f>
        <v>0</v>
      </c>
    </row>
    <row r="2311" spans="1:7">
      <c r="A2311" s="3">
        <v>14</v>
      </c>
      <c r="B2311" s="3">
        <v>4</v>
      </c>
      <c r="C2311" s="3">
        <v>69</v>
      </c>
      <c r="D2311" s="3">
        <v>42</v>
      </c>
      <c r="E2311" s="3">
        <v>-158.719</v>
      </c>
      <c r="F2311" s="4" t="str">
        <f>HYPERLINK("http://141.218.60.56/~jnz1568/getInfo.php?workbook=14_04.xlsx&amp;sheet=A0&amp;row=2311&amp;col=6&amp;number=76370&amp;sourceID=14","76370")</f>
        <v>76370</v>
      </c>
      <c r="G2311" s="4" t="str">
        <f>HYPERLINK("http://141.218.60.56/~jnz1568/getInfo.php?workbook=14_04.xlsx&amp;sheet=A0&amp;row=2311&amp;col=7&amp;number=0&amp;sourceID=14","0")</f>
        <v>0</v>
      </c>
    </row>
    <row r="2312" spans="1:7">
      <c r="A2312" s="3">
        <v>14</v>
      </c>
      <c r="B2312" s="3">
        <v>4</v>
      </c>
      <c r="C2312" s="3">
        <v>70</v>
      </c>
      <c r="D2312" s="3">
        <v>42</v>
      </c>
      <c r="E2312" s="3">
        <v>-157.859</v>
      </c>
      <c r="F2312" s="4" t="str">
        <f>HYPERLINK("http://141.218.60.56/~jnz1568/getInfo.php?workbook=14_04.xlsx&amp;sheet=A0&amp;row=2312&amp;col=6&amp;number=125500&amp;sourceID=14","125500")</f>
        <v>125500</v>
      </c>
      <c r="G2312" s="4" t="str">
        <f>HYPERLINK("http://141.218.60.56/~jnz1568/getInfo.php?workbook=14_04.xlsx&amp;sheet=A0&amp;row=2312&amp;col=7&amp;number=0&amp;sourceID=14","0")</f>
        <v>0</v>
      </c>
    </row>
    <row r="2313" spans="1:7">
      <c r="A2313" s="3">
        <v>14</v>
      </c>
      <c r="B2313" s="3">
        <v>4</v>
      </c>
      <c r="C2313" s="3">
        <v>71</v>
      </c>
      <c r="D2313" s="3">
        <v>42</v>
      </c>
      <c r="E2313" s="3">
        <v>-157.508</v>
      </c>
      <c r="F2313" s="4" t="str">
        <f>HYPERLINK("http://141.218.60.56/~jnz1568/getInfo.php?workbook=14_04.xlsx&amp;sheet=A0&amp;row=2313&amp;col=6&amp;number=5515&amp;sourceID=14","5515")</f>
        <v>5515</v>
      </c>
      <c r="G2313" s="4" t="str">
        <f>HYPERLINK("http://141.218.60.56/~jnz1568/getInfo.php?workbook=14_04.xlsx&amp;sheet=A0&amp;row=2313&amp;col=7&amp;number=0&amp;sourceID=14","0")</f>
        <v>0</v>
      </c>
    </row>
    <row r="2314" spans="1:7">
      <c r="A2314" s="3">
        <v>14</v>
      </c>
      <c r="B2314" s="3">
        <v>4</v>
      </c>
      <c r="C2314" s="3">
        <v>72</v>
      </c>
      <c r="D2314" s="3">
        <v>42</v>
      </c>
      <c r="E2314" s="3">
        <v>-156.969</v>
      </c>
      <c r="F2314" s="4" t="str">
        <f>HYPERLINK("http://141.218.60.56/~jnz1568/getInfo.php?workbook=14_04.xlsx&amp;sheet=A0&amp;row=2314&amp;col=6&amp;number=142700000&amp;sourceID=14","142700000")</f>
        <v>142700000</v>
      </c>
      <c r="G2314" s="4" t="str">
        <f>HYPERLINK("http://141.218.60.56/~jnz1568/getInfo.php?workbook=14_04.xlsx&amp;sheet=A0&amp;row=2314&amp;col=7&amp;number=0&amp;sourceID=14","0")</f>
        <v>0</v>
      </c>
    </row>
    <row r="2315" spans="1:7">
      <c r="A2315" s="3">
        <v>14</v>
      </c>
      <c r="B2315" s="3">
        <v>4</v>
      </c>
      <c r="C2315" s="3">
        <v>74</v>
      </c>
      <c r="D2315" s="3">
        <v>42</v>
      </c>
      <c r="E2315" s="3">
        <v>-156.276</v>
      </c>
      <c r="F2315" s="4" t="str">
        <f>HYPERLINK("http://141.218.60.56/~jnz1568/getInfo.php?workbook=14_04.xlsx&amp;sheet=A0&amp;row=2315&amp;col=6&amp;number=15050&amp;sourceID=14","15050")</f>
        <v>15050</v>
      </c>
      <c r="G2315" s="4" t="str">
        <f>HYPERLINK("http://141.218.60.56/~jnz1568/getInfo.php?workbook=14_04.xlsx&amp;sheet=A0&amp;row=2315&amp;col=7&amp;number=0&amp;sourceID=14","0")</f>
        <v>0</v>
      </c>
    </row>
    <row r="2316" spans="1:7">
      <c r="A2316" s="3">
        <v>14</v>
      </c>
      <c r="B2316" s="3">
        <v>4</v>
      </c>
      <c r="C2316" s="3">
        <v>75</v>
      </c>
      <c r="D2316" s="3">
        <v>42</v>
      </c>
      <c r="E2316" s="3">
        <v>-155.809</v>
      </c>
      <c r="F2316" s="4" t="str">
        <f>HYPERLINK("http://141.218.60.56/~jnz1568/getInfo.php?workbook=14_04.xlsx&amp;sheet=A0&amp;row=2316&amp;col=6&amp;number=42360&amp;sourceID=14","42360")</f>
        <v>42360</v>
      </c>
      <c r="G2316" s="4" t="str">
        <f>HYPERLINK("http://141.218.60.56/~jnz1568/getInfo.php?workbook=14_04.xlsx&amp;sheet=A0&amp;row=2316&amp;col=7&amp;number=0&amp;sourceID=14","0")</f>
        <v>0</v>
      </c>
    </row>
    <row r="2317" spans="1:7">
      <c r="A2317" s="3">
        <v>14</v>
      </c>
      <c r="B2317" s="3">
        <v>4</v>
      </c>
      <c r="C2317" s="3">
        <v>76</v>
      </c>
      <c r="D2317" s="3">
        <v>42</v>
      </c>
      <c r="E2317" s="3">
        <v>153.702</v>
      </c>
      <c r="F2317" s="4" t="str">
        <f>HYPERLINK("http://141.218.60.56/~jnz1568/getInfo.php?workbook=14_04.xlsx&amp;sheet=A0&amp;row=2317&amp;col=6&amp;number=225400&amp;sourceID=14","225400")</f>
        <v>225400</v>
      </c>
      <c r="G2317" s="4" t="str">
        <f>HYPERLINK("http://141.218.60.56/~jnz1568/getInfo.php?workbook=14_04.xlsx&amp;sheet=A0&amp;row=2317&amp;col=7&amp;number=0&amp;sourceID=14","0")</f>
        <v>0</v>
      </c>
    </row>
    <row r="2318" spans="1:7">
      <c r="A2318" s="3">
        <v>14</v>
      </c>
      <c r="B2318" s="3">
        <v>4</v>
      </c>
      <c r="C2318" s="3">
        <v>77</v>
      </c>
      <c r="D2318" s="3">
        <v>42</v>
      </c>
      <c r="E2318" s="3">
        <v>153.487</v>
      </c>
      <c r="F2318" s="4" t="str">
        <f>HYPERLINK("http://141.218.60.56/~jnz1568/getInfo.php?workbook=14_04.xlsx&amp;sheet=A0&amp;row=2318&amp;col=6&amp;number=504800&amp;sourceID=14","504800")</f>
        <v>504800</v>
      </c>
      <c r="G2318" s="4" t="str">
        <f>HYPERLINK("http://141.218.60.56/~jnz1568/getInfo.php?workbook=14_04.xlsx&amp;sheet=A0&amp;row=2318&amp;col=7&amp;number=0&amp;sourceID=14","0")</f>
        <v>0</v>
      </c>
    </row>
    <row r="2319" spans="1:7">
      <c r="A2319" s="3">
        <v>14</v>
      </c>
      <c r="B2319" s="3">
        <v>4</v>
      </c>
      <c r="C2319" s="3">
        <v>78</v>
      </c>
      <c r="D2319" s="3">
        <v>42</v>
      </c>
      <c r="E2319" s="3">
        <v>-154.387</v>
      </c>
      <c r="F2319" s="4" t="str">
        <f>HYPERLINK("http://141.218.60.56/~jnz1568/getInfo.php?workbook=14_04.xlsx&amp;sheet=A0&amp;row=2319&amp;col=6&amp;number=641600&amp;sourceID=14","641600")</f>
        <v>641600</v>
      </c>
      <c r="G2319" s="4" t="str">
        <f>HYPERLINK("http://141.218.60.56/~jnz1568/getInfo.php?workbook=14_04.xlsx&amp;sheet=A0&amp;row=2319&amp;col=7&amp;number=0&amp;sourceID=14","0")</f>
        <v>0</v>
      </c>
    </row>
    <row r="2320" spans="1:7">
      <c r="A2320" s="3">
        <v>14</v>
      </c>
      <c r="B2320" s="3">
        <v>4</v>
      </c>
      <c r="C2320" s="3">
        <v>79</v>
      </c>
      <c r="D2320" s="3">
        <v>42</v>
      </c>
      <c r="E2320" s="3">
        <v>-154.282</v>
      </c>
      <c r="F2320" s="4" t="str">
        <f>HYPERLINK("http://141.218.60.56/~jnz1568/getInfo.php?workbook=14_04.xlsx&amp;sheet=A0&amp;row=2320&amp;col=6&amp;number=0.2417&amp;sourceID=14","0.2417")</f>
        <v>0.2417</v>
      </c>
      <c r="G2320" s="4" t="str">
        <f>HYPERLINK("http://141.218.60.56/~jnz1568/getInfo.php?workbook=14_04.xlsx&amp;sheet=A0&amp;row=2320&amp;col=7&amp;number=0&amp;sourceID=14","0")</f>
        <v>0</v>
      </c>
    </row>
    <row r="2321" spans="1:7">
      <c r="A2321" s="3">
        <v>14</v>
      </c>
      <c r="B2321" s="3">
        <v>4</v>
      </c>
      <c r="C2321" s="3">
        <v>80</v>
      </c>
      <c r="D2321" s="3">
        <v>42</v>
      </c>
      <c r="E2321" s="3">
        <v>155.964</v>
      </c>
      <c r="F2321" s="4" t="str">
        <f>HYPERLINK("http://141.218.60.56/~jnz1568/getInfo.php?workbook=14_04.xlsx&amp;sheet=A0&amp;row=2321&amp;col=6&amp;number=6922000&amp;sourceID=14","6922000")</f>
        <v>6922000</v>
      </c>
      <c r="G2321" s="4" t="str">
        <f>HYPERLINK("http://141.218.60.56/~jnz1568/getInfo.php?workbook=14_04.xlsx&amp;sheet=A0&amp;row=2321&amp;col=7&amp;number=0&amp;sourceID=14","0")</f>
        <v>0</v>
      </c>
    </row>
    <row r="2322" spans="1:7">
      <c r="A2322" s="3">
        <v>14</v>
      </c>
      <c r="B2322" s="3">
        <v>4</v>
      </c>
      <c r="C2322" s="3">
        <v>81</v>
      </c>
      <c r="D2322" s="3">
        <v>42</v>
      </c>
      <c r="E2322" s="3">
        <v>151.138</v>
      </c>
      <c r="F2322" s="4" t="str">
        <f>HYPERLINK("http://141.218.60.56/~jnz1568/getInfo.php?workbook=14_04.xlsx&amp;sheet=A0&amp;row=2322&amp;col=6&amp;number=486.5&amp;sourceID=14","486.5")</f>
        <v>486.5</v>
      </c>
      <c r="G2322" s="4" t="str">
        <f>HYPERLINK("http://141.218.60.56/~jnz1568/getInfo.php?workbook=14_04.xlsx&amp;sheet=A0&amp;row=2322&amp;col=7&amp;number=0&amp;sourceID=14","0")</f>
        <v>0</v>
      </c>
    </row>
    <row r="2323" spans="1:7">
      <c r="A2323" s="3">
        <v>14</v>
      </c>
      <c r="B2323" s="3">
        <v>4</v>
      </c>
      <c r="C2323" s="3">
        <v>82</v>
      </c>
      <c r="D2323" s="3">
        <v>42</v>
      </c>
      <c r="E2323" s="3">
        <v>-151.513</v>
      </c>
      <c r="F2323" s="4" t="str">
        <f>HYPERLINK("http://141.218.60.56/~jnz1568/getInfo.php?workbook=14_04.xlsx&amp;sheet=A0&amp;row=2323&amp;col=6&amp;number=3965&amp;sourceID=14","3965")</f>
        <v>3965</v>
      </c>
      <c r="G2323" s="4" t="str">
        <f>HYPERLINK("http://141.218.60.56/~jnz1568/getInfo.php?workbook=14_04.xlsx&amp;sheet=A0&amp;row=2323&amp;col=7&amp;number=0&amp;sourceID=14","0")</f>
        <v>0</v>
      </c>
    </row>
    <row r="2324" spans="1:7">
      <c r="A2324" s="3">
        <v>14</v>
      </c>
      <c r="B2324" s="3">
        <v>4</v>
      </c>
      <c r="C2324" s="3">
        <v>83</v>
      </c>
      <c r="D2324" s="3">
        <v>42</v>
      </c>
      <c r="E2324" s="3">
        <v>-138.71</v>
      </c>
      <c r="F2324" s="4" t="str">
        <f>HYPERLINK("http://141.218.60.56/~jnz1568/getInfo.php?workbook=14_04.xlsx&amp;sheet=A0&amp;row=2324&amp;col=6&amp;number=199500000&amp;sourceID=14","199500000")</f>
        <v>199500000</v>
      </c>
      <c r="G2324" s="4" t="str">
        <f>HYPERLINK("http://141.218.60.56/~jnz1568/getInfo.php?workbook=14_04.xlsx&amp;sheet=A0&amp;row=2324&amp;col=7&amp;number=0&amp;sourceID=14","0")</f>
        <v>0</v>
      </c>
    </row>
    <row r="2325" spans="1:7">
      <c r="A2325" s="3">
        <v>14</v>
      </c>
      <c r="B2325" s="3">
        <v>4</v>
      </c>
      <c r="C2325" s="3">
        <v>84</v>
      </c>
      <c r="D2325" s="3">
        <v>42</v>
      </c>
      <c r="E2325" s="3">
        <v>-137.341</v>
      </c>
      <c r="F2325" s="4" t="str">
        <f>HYPERLINK("http://141.218.60.56/~jnz1568/getInfo.php?workbook=14_04.xlsx&amp;sheet=A0&amp;row=2325&amp;col=6&amp;number=1339000&amp;sourceID=14","1339000")</f>
        <v>1339000</v>
      </c>
      <c r="G2325" s="4" t="str">
        <f>HYPERLINK("http://141.218.60.56/~jnz1568/getInfo.php?workbook=14_04.xlsx&amp;sheet=A0&amp;row=2325&amp;col=7&amp;number=0&amp;sourceID=14","0")</f>
        <v>0</v>
      </c>
    </row>
    <row r="2326" spans="1:7">
      <c r="A2326" s="3">
        <v>14</v>
      </c>
      <c r="B2326" s="3">
        <v>4</v>
      </c>
      <c r="C2326" s="3">
        <v>85</v>
      </c>
      <c r="D2326" s="3">
        <v>42</v>
      </c>
      <c r="E2326" s="3">
        <v>-135.971</v>
      </c>
      <c r="F2326" s="4" t="str">
        <f>HYPERLINK("http://141.218.60.56/~jnz1568/getInfo.php?workbook=14_04.xlsx&amp;sheet=A0&amp;row=2326&amp;col=6&amp;number=0.01019&amp;sourceID=14","0.01019")</f>
        <v>0.01019</v>
      </c>
      <c r="G2326" s="4" t="str">
        <f>HYPERLINK("http://141.218.60.56/~jnz1568/getInfo.php?workbook=14_04.xlsx&amp;sheet=A0&amp;row=2326&amp;col=7&amp;number=0&amp;sourceID=14","0")</f>
        <v>0</v>
      </c>
    </row>
    <row r="2327" spans="1:7">
      <c r="A2327" s="3">
        <v>14</v>
      </c>
      <c r="B2327" s="3">
        <v>4</v>
      </c>
      <c r="C2327" s="3">
        <v>86</v>
      </c>
      <c r="D2327" s="3">
        <v>42</v>
      </c>
      <c r="E2327" s="3">
        <v>-135.949</v>
      </c>
      <c r="F2327" s="4" t="str">
        <f>HYPERLINK("http://141.218.60.56/~jnz1568/getInfo.php?workbook=14_04.xlsx&amp;sheet=A0&amp;row=2327&amp;col=6&amp;number=17310&amp;sourceID=14","17310")</f>
        <v>17310</v>
      </c>
      <c r="G2327" s="4" t="str">
        <f>HYPERLINK("http://141.218.60.56/~jnz1568/getInfo.php?workbook=14_04.xlsx&amp;sheet=A0&amp;row=2327&amp;col=7&amp;number=0&amp;sourceID=14","0")</f>
        <v>0</v>
      </c>
    </row>
    <row r="2328" spans="1:7">
      <c r="A2328" s="3">
        <v>14</v>
      </c>
      <c r="B2328" s="3">
        <v>4</v>
      </c>
      <c r="C2328" s="3">
        <v>87</v>
      </c>
      <c r="D2328" s="3">
        <v>42</v>
      </c>
      <c r="E2328" s="3">
        <v>134.049</v>
      </c>
      <c r="F2328" s="4" t="str">
        <f>HYPERLINK("http://141.218.60.56/~jnz1568/getInfo.php?workbook=14_04.xlsx&amp;sheet=A0&amp;row=2328&amp;col=6&amp;number=29050&amp;sourceID=14","29050")</f>
        <v>29050</v>
      </c>
      <c r="G2328" s="4" t="str">
        <f>HYPERLINK("http://141.218.60.56/~jnz1568/getInfo.php?workbook=14_04.xlsx&amp;sheet=A0&amp;row=2328&amp;col=7&amp;number=0&amp;sourceID=14","0")</f>
        <v>0</v>
      </c>
    </row>
    <row r="2329" spans="1:7">
      <c r="A2329" s="3">
        <v>14</v>
      </c>
      <c r="B2329" s="3">
        <v>4</v>
      </c>
      <c r="C2329" s="3">
        <v>88</v>
      </c>
      <c r="D2329" s="3">
        <v>42</v>
      </c>
      <c r="E2329" s="3">
        <v>-135.424</v>
      </c>
      <c r="F2329" s="4" t="str">
        <f>HYPERLINK("http://141.218.60.56/~jnz1568/getInfo.php?workbook=14_04.xlsx&amp;sheet=A0&amp;row=2329&amp;col=6&amp;number=560.6&amp;sourceID=14","560.6")</f>
        <v>560.6</v>
      </c>
      <c r="G2329" s="4" t="str">
        <f>HYPERLINK("http://141.218.60.56/~jnz1568/getInfo.php?workbook=14_04.xlsx&amp;sheet=A0&amp;row=2329&amp;col=7&amp;number=0&amp;sourceID=14","0")</f>
        <v>0</v>
      </c>
    </row>
    <row r="2330" spans="1:7">
      <c r="A2330" s="3">
        <v>14</v>
      </c>
      <c r="B2330" s="3">
        <v>4</v>
      </c>
      <c r="C2330" s="3">
        <v>89</v>
      </c>
      <c r="D2330" s="3">
        <v>42</v>
      </c>
      <c r="E2330" s="3">
        <v>-134.404</v>
      </c>
      <c r="F2330" s="4" t="str">
        <f>HYPERLINK("http://141.218.60.56/~jnz1568/getInfo.php?workbook=14_04.xlsx&amp;sheet=A0&amp;row=2330&amp;col=6&amp;number=260300000&amp;sourceID=14","260300000")</f>
        <v>260300000</v>
      </c>
      <c r="G2330" s="4" t="str">
        <f>HYPERLINK("http://141.218.60.56/~jnz1568/getInfo.php?workbook=14_04.xlsx&amp;sheet=A0&amp;row=2330&amp;col=7&amp;number=0&amp;sourceID=14","0")</f>
        <v>0</v>
      </c>
    </row>
    <row r="2331" spans="1:7">
      <c r="A2331" s="3">
        <v>14</v>
      </c>
      <c r="B2331" s="3">
        <v>4</v>
      </c>
      <c r="C2331" s="3">
        <v>90</v>
      </c>
      <c r="D2331" s="3">
        <v>42</v>
      </c>
      <c r="E2331" s="3">
        <v>133.231</v>
      </c>
      <c r="F2331" s="4" t="str">
        <f>HYPERLINK("http://141.218.60.56/~jnz1568/getInfo.php?workbook=14_04.xlsx&amp;sheet=A0&amp;row=2331&amp;col=6&amp;number=435900000&amp;sourceID=14","435900000")</f>
        <v>435900000</v>
      </c>
      <c r="G2331" s="4" t="str">
        <f>HYPERLINK("http://141.218.60.56/~jnz1568/getInfo.php?workbook=14_04.xlsx&amp;sheet=A0&amp;row=2331&amp;col=7&amp;number=0&amp;sourceID=14","0")</f>
        <v>0</v>
      </c>
    </row>
    <row r="2332" spans="1:7">
      <c r="A2332" s="3">
        <v>14</v>
      </c>
      <c r="B2332" s="3">
        <v>4</v>
      </c>
      <c r="C2332" s="3">
        <v>92</v>
      </c>
      <c r="D2332" s="3">
        <v>42</v>
      </c>
      <c r="E2332" s="3">
        <v>132.552</v>
      </c>
      <c r="F2332" s="4" t="str">
        <f>HYPERLINK("http://141.218.60.56/~jnz1568/getInfo.php?workbook=14_04.xlsx&amp;sheet=A0&amp;row=2332&amp;col=6&amp;number=272200&amp;sourceID=14","272200")</f>
        <v>272200</v>
      </c>
      <c r="G2332" s="4" t="str">
        <f>HYPERLINK("http://141.218.60.56/~jnz1568/getInfo.php?workbook=14_04.xlsx&amp;sheet=A0&amp;row=2332&amp;col=7&amp;number=0&amp;sourceID=14","0")</f>
        <v>0</v>
      </c>
    </row>
    <row r="2333" spans="1:7">
      <c r="A2333" s="3">
        <v>14</v>
      </c>
      <c r="B2333" s="3">
        <v>4</v>
      </c>
      <c r="C2333" s="3">
        <v>46</v>
      </c>
      <c r="D2333" s="3">
        <v>43</v>
      </c>
      <c r="E2333" s="3">
        <v>3707.83</v>
      </c>
      <c r="F2333" s="4" t="str">
        <f>HYPERLINK("http://141.218.60.56/~jnz1568/getInfo.php?workbook=14_04.xlsx&amp;sheet=A0&amp;row=2333&amp;col=6&amp;number=1.159&amp;sourceID=14","1.159")</f>
        <v>1.159</v>
      </c>
      <c r="G2333" s="4" t="str">
        <f>HYPERLINK("http://141.218.60.56/~jnz1568/getInfo.php?workbook=14_04.xlsx&amp;sheet=A0&amp;row=2333&amp;col=7&amp;number=0&amp;sourceID=14","0")</f>
        <v>0</v>
      </c>
    </row>
    <row r="2334" spans="1:7">
      <c r="A2334" s="3">
        <v>14</v>
      </c>
      <c r="B2334" s="3">
        <v>4</v>
      </c>
      <c r="C2334" s="3">
        <v>47</v>
      </c>
      <c r="D2334" s="3">
        <v>43</v>
      </c>
      <c r="E2334" s="3">
        <v>263.17</v>
      </c>
      <c r="F2334" s="4" t="str">
        <f>HYPERLINK("http://141.218.60.56/~jnz1568/getInfo.php?workbook=14_04.xlsx&amp;sheet=A0&amp;row=2334&amp;col=6&amp;number=16690000&amp;sourceID=14","16690000")</f>
        <v>16690000</v>
      </c>
      <c r="G2334" s="4" t="str">
        <f>HYPERLINK("http://141.218.60.56/~jnz1568/getInfo.php?workbook=14_04.xlsx&amp;sheet=A0&amp;row=2334&amp;col=7&amp;number=0&amp;sourceID=14","0")</f>
        <v>0</v>
      </c>
    </row>
    <row r="2335" spans="1:7">
      <c r="A2335" s="3">
        <v>14</v>
      </c>
      <c r="B2335" s="3">
        <v>4</v>
      </c>
      <c r="C2335" s="3">
        <v>50</v>
      </c>
      <c r="D2335" s="3">
        <v>43</v>
      </c>
      <c r="E2335" s="3">
        <v>233.081</v>
      </c>
      <c r="F2335" s="4" t="str">
        <f>HYPERLINK("http://141.218.60.56/~jnz1568/getInfo.php?workbook=14_04.xlsx&amp;sheet=A0&amp;row=2335&amp;col=6&amp;number=0.001091&amp;sourceID=14","0.001091")</f>
        <v>0.001091</v>
      </c>
      <c r="G2335" s="4" t="str">
        <f>HYPERLINK("http://141.218.60.56/~jnz1568/getInfo.php?workbook=14_04.xlsx&amp;sheet=A0&amp;row=2335&amp;col=7&amp;number=0&amp;sourceID=14","0")</f>
        <v>0</v>
      </c>
    </row>
    <row r="2336" spans="1:7">
      <c r="A2336" s="3">
        <v>14</v>
      </c>
      <c r="B2336" s="3">
        <v>4</v>
      </c>
      <c r="C2336" s="3">
        <v>51</v>
      </c>
      <c r="D2336" s="3">
        <v>43</v>
      </c>
      <c r="E2336" s="3">
        <v>232.694</v>
      </c>
      <c r="F2336" s="4" t="str">
        <f>HYPERLINK("http://141.218.60.56/~jnz1568/getInfo.php?workbook=14_04.xlsx&amp;sheet=A0&amp;row=2336&amp;col=6&amp;number=2076&amp;sourceID=14","2076")</f>
        <v>2076</v>
      </c>
      <c r="G2336" s="4" t="str">
        <f>HYPERLINK("http://141.218.60.56/~jnz1568/getInfo.php?workbook=14_04.xlsx&amp;sheet=A0&amp;row=2336&amp;col=7&amp;number=0&amp;sourceID=14","0")</f>
        <v>0</v>
      </c>
    </row>
    <row r="2337" spans="1:7">
      <c r="A2337" s="3">
        <v>14</v>
      </c>
      <c r="B2337" s="3">
        <v>4</v>
      </c>
      <c r="C2337" s="3">
        <v>52</v>
      </c>
      <c r="D2337" s="3">
        <v>43</v>
      </c>
      <c r="E2337" s="3">
        <v>234.993</v>
      </c>
      <c r="F2337" s="4" t="str">
        <f>HYPERLINK("http://141.218.60.56/~jnz1568/getInfo.php?workbook=14_04.xlsx&amp;sheet=A0&amp;row=2337&amp;col=6&amp;number=0.03836&amp;sourceID=14","0.03836")</f>
        <v>0.03836</v>
      </c>
      <c r="G2337" s="4" t="str">
        <f>HYPERLINK("http://141.218.60.56/~jnz1568/getInfo.php?workbook=14_04.xlsx&amp;sheet=A0&amp;row=2337&amp;col=7&amp;number=0&amp;sourceID=14","0")</f>
        <v>0</v>
      </c>
    </row>
    <row r="2338" spans="1:7">
      <c r="A2338" s="3">
        <v>14</v>
      </c>
      <c r="B2338" s="3">
        <v>4</v>
      </c>
      <c r="C2338" s="3">
        <v>53</v>
      </c>
      <c r="D2338" s="3">
        <v>43</v>
      </c>
      <c r="E2338" s="3">
        <v>226.482</v>
      </c>
      <c r="F2338" s="4" t="str">
        <f>HYPERLINK("http://141.218.60.56/~jnz1568/getInfo.php?workbook=14_04.xlsx&amp;sheet=A0&amp;row=2338&amp;col=6&amp;number=333800000&amp;sourceID=14","333800000")</f>
        <v>333800000</v>
      </c>
      <c r="G2338" s="4" t="str">
        <f>HYPERLINK("http://141.218.60.56/~jnz1568/getInfo.php?workbook=14_04.xlsx&amp;sheet=A0&amp;row=2338&amp;col=7&amp;number=0&amp;sourceID=14","0")</f>
        <v>0</v>
      </c>
    </row>
    <row r="2339" spans="1:7">
      <c r="A2339" s="3">
        <v>14</v>
      </c>
      <c r="B2339" s="3">
        <v>4</v>
      </c>
      <c r="C2339" s="3">
        <v>58</v>
      </c>
      <c r="D2339" s="3">
        <v>43</v>
      </c>
      <c r="E2339" s="3">
        <v>-169.193</v>
      </c>
      <c r="F2339" s="4" t="str">
        <f>HYPERLINK("http://141.218.60.56/~jnz1568/getInfo.php?workbook=14_04.xlsx&amp;sheet=A0&amp;row=2339&amp;col=6&amp;number=0.01066&amp;sourceID=14","0.01066")</f>
        <v>0.01066</v>
      </c>
      <c r="G2339" s="4" t="str">
        <f>HYPERLINK("http://141.218.60.56/~jnz1568/getInfo.php?workbook=14_04.xlsx&amp;sheet=A0&amp;row=2339&amp;col=7&amp;number=0&amp;sourceID=14","0")</f>
        <v>0</v>
      </c>
    </row>
    <row r="2340" spans="1:7">
      <c r="A2340" s="3">
        <v>14</v>
      </c>
      <c r="B2340" s="3">
        <v>4</v>
      </c>
      <c r="C2340" s="3">
        <v>59</v>
      </c>
      <c r="D2340" s="3">
        <v>43</v>
      </c>
      <c r="E2340" s="3">
        <v>168.799</v>
      </c>
      <c r="F2340" s="4" t="str">
        <f>HYPERLINK("http://141.218.60.56/~jnz1568/getInfo.php?workbook=14_04.xlsx&amp;sheet=A0&amp;row=2340&amp;col=6&amp;number=60080&amp;sourceID=14","60080")</f>
        <v>60080</v>
      </c>
      <c r="G2340" s="4" t="str">
        <f>HYPERLINK("http://141.218.60.56/~jnz1568/getInfo.php?workbook=14_04.xlsx&amp;sheet=A0&amp;row=2340&amp;col=7&amp;number=0&amp;sourceID=14","0")</f>
        <v>0</v>
      </c>
    </row>
    <row r="2341" spans="1:7">
      <c r="A2341" s="3">
        <v>14</v>
      </c>
      <c r="B2341" s="3">
        <v>4</v>
      </c>
      <c r="C2341" s="3">
        <v>60</v>
      </c>
      <c r="D2341" s="3">
        <v>43</v>
      </c>
      <c r="E2341" s="3">
        <v>-165.589</v>
      </c>
      <c r="F2341" s="4" t="str">
        <f>HYPERLINK("http://141.218.60.56/~jnz1568/getInfo.php?workbook=14_04.xlsx&amp;sheet=A0&amp;row=2341&amp;col=6&amp;number=0.02933&amp;sourceID=14","0.02933")</f>
        <v>0.02933</v>
      </c>
      <c r="G2341" s="4" t="str">
        <f>HYPERLINK("http://141.218.60.56/~jnz1568/getInfo.php?workbook=14_04.xlsx&amp;sheet=A0&amp;row=2341&amp;col=7&amp;number=0&amp;sourceID=14","0")</f>
        <v>0</v>
      </c>
    </row>
    <row r="2342" spans="1:7">
      <c r="A2342" s="3">
        <v>14</v>
      </c>
      <c r="B2342" s="3">
        <v>4</v>
      </c>
      <c r="C2342" s="3">
        <v>61</v>
      </c>
      <c r="D2342" s="3">
        <v>43</v>
      </c>
      <c r="E2342" s="3">
        <v>-162.38</v>
      </c>
      <c r="F2342" s="4" t="str">
        <f>HYPERLINK("http://141.218.60.56/~jnz1568/getInfo.php?workbook=14_04.xlsx&amp;sheet=A0&amp;row=2342&amp;col=6&amp;number=854500000&amp;sourceID=14","854500000")</f>
        <v>854500000</v>
      </c>
      <c r="G2342" s="4" t="str">
        <f>HYPERLINK("http://141.218.60.56/~jnz1568/getInfo.php?workbook=14_04.xlsx&amp;sheet=A0&amp;row=2342&amp;col=7&amp;number=0&amp;sourceID=14","0")</f>
        <v>0</v>
      </c>
    </row>
    <row r="2343" spans="1:7">
      <c r="A2343" s="3">
        <v>14</v>
      </c>
      <c r="B2343" s="3">
        <v>4</v>
      </c>
      <c r="C2343" s="3">
        <v>62</v>
      </c>
      <c r="D2343" s="3">
        <v>43</v>
      </c>
      <c r="E2343" s="3">
        <v>-163.542</v>
      </c>
      <c r="F2343" s="4" t="str">
        <f>HYPERLINK("http://141.218.60.56/~jnz1568/getInfo.php?workbook=14_04.xlsx&amp;sheet=A0&amp;row=2343&amp;col=6&amp;number=325000000&amp;sourceID=14","325000000")</f>
        <v>325000000</v>
      </c>
      <c r="G2343" s="4" t="str">
        <f>HYPERLINK("http://141.218.60.56/~jnz1568/getInfo.php?workbook=14_04.xlsx&amp;sheet=A0&amp;row=2343&amp;col=7&amp;number=0&amp;sourceID=14","0")</f>
        <v>0</v>
      </c>
    </row>
    <row r="2344" spans="1:7">
      <c r="A2344" s="3">
        <v>14</v>
      </c>
      <c r="B2344" s="3">
        <v>4</v>
      </c>
      <c r="C2344" s="3">
        <v>65</v>
      </c>
      <c r="D2344" s="3">
        <v>43</v>
      </c>
      <c r="E2344" s="3">
        <v>-160.437</v>
      </c>
      <c r="F2344" s="4" t="str">
        <f>HYPERLINK("http://141.218.60.56/~jnz1568/getInfo.php?workbook=14_04.xlsx&amp;sheet=A0&amp;row=2344&amp;col=6&amp;number=208800000&amp;sourceID=14","208800000")</f>
        <v>208800000</v>
      </c>
      <c r="G2344" s="4" t="str">
        <f>HYPERLINK("http://141.218.60.56/~jnz1568/getInfo.php?workbook=14_04.xlsx&amp;sheet=A0&amp;row=2344&amp;col=7&amp;number=0&amp;sourceID=14","0")</f>
        <v>0</v>
      </c>
    </row>
    <row r="2345" spans="1:7">
      <c r="A2345" s="3">
        <v>14</v>
      </c>
      <c r="B2345" s="3">
        <v>4</v>
      </c>
      <c r="C2345" s="3">
        <v>67</v>
      </c>
      <c r="D2345" s="3">
        <v>43</v>
      </c>
      <c r="E2345" s="3">
        <v>-159.319</v>
      </c>
      <c r="F2345" s="4" t="str">
        <f>HYPERLINK("http://141.218.60.56/~jnz1568/getInfo.php?workbook=14_04.xlsx&amp;sheet=A0&amp;row=2345&amp;col=6&amp;number=1402000000&amp;sourceID=14","1402000000")</f>
        <v>1402000000</v>
      </c>
      <c r="G2345" s="4" t="str">
        <f>HYPERLINK("http://141.218.60.56/~jnz1568/getInfo.php?workbook=14_04.xlsx&amp;sheet=A0&amp;row=2345&amp;col=7&amp;number=0&amp;sourceID=14","0")</f>
        <v>0</v>
      </c>
    </row>
    <row r="2346" spans="1:7">
      <c r="A2346" s="3">
        <v>14</v>
      </c>
      <c r="B2346" s="3">
        <v>4</v>
      </c>
      <c r="C2346" s="3">
        <v>69</v>
      </c>
      <c r="D2346" s="3">
        <v>43</v>
      </c>
      <c r="E2346" s="3">
        <v>-158.913</v>
      </c>
      <c r="F2346" s="4" t="str">
        <f>HYPERLINK("http://141.218.60.56/~jnz1568/getInfo.php?workbook=14_04.xlsx&amp;sheet=A0&amp;row=2346&amp;col=6&amp;number=49520&amp;sourceID=14","49520")</f>
        <v>49520</v>
      </c>
      <c r="G2346" s="4" t="str">
        <f>HYPERLINK("http://141.218.60.56/~jnz1568/getInfo.php?workbook=14_04.xlsx&amp;sheet=A0&amp;row=2346&amp;col=7&amp;number=0&amp;sourceID=14","0")</f>
        <v>0</v>
      </c>
    </row>
    <row r="2347" spans="1:7">
      <c r="A2347" s="3">
        <v>14</v>
      </c>
      <c r="B2347" s="3">
        <v>4</v>
      </c>
      <c r="C2347" s="3">
        <v>71</v>
      </c>
      <c r="D2347" s="3">
        <v>43</v>
      </c>
      <c r="E2347" s="3">
        <v>-157.699</v>
      </c>
      <c r="F2347" s="4" t="str">
        <f>HYPERLINK("http://141.218.60.56/~jnz1568/getInfo.php?workbook=14_04.xlsx&amp;sheet=A0&amp;row=2347&amp;col=6&amp;number=38530&amp;sourceID=14","38530")</f>
        <v>38530</v>
      </c>
      <c r="G2347" s="4" t="str">
        <f>HYPERLINK("http://141.218.60.56/~jnz1568/getInfo.php?workbook=14_04.xlsx&amp;sheet=A0&amp;row=2347&amp;col=7&amp;number=0&amp;sourceID=14","0")</f>
        <v>0</v>
      </c>
    </row>
    <row r="2348" spans="1:7">
      <c r="A2348" s="3">
        <v>14</v>
      </c>
      <c r="B2348" s="3">
        <v>4</v>
      </c>
      <c r="C2348" s="3">
        <v>74</v>
      </c>
      <c r="D2348" s="3">
        <v>43</v>
      </c>
      <c r="E2348" s="3">
        <v>-156.464</v>
      </c>
      <c r="F2348" s="4" t="str">
        <f>HYPERLINK("http://141.218.60.56/~jnz1568/getInfo.php?workbook=14_04.xlsx&amp;sheet=A0&amp;row=2348&amp;col=6&amp;number=0.0197&amp;sourceID=14","0.0197")</f>
        <v>0.0197</v>
      </c>
      <c r="G2348" s="4" t="str">
        <f>HYPERLINK("http://141.218.60.56/~jnz1568/getInfo.php?workbook=14_04.xlsx&amp;sheet=A0&amp;row=2348&amp;col=7&amp;number=0&amp;sourceID=14","0")</f>
        <v>0</v>
      </c>
    </row>
    <row r="2349" spans="1:7">
      <c r="A2349" s="3">
        <v>14</v>
      </c>
      <c r="B2349" s="3">
        <v>4</v>
      </c>
      <c r="C2349" s="3">
        <v>75</v>
      </c>
      <c r="D2349" s="3">
        <v>43</v>
      </c>
      <c r="E2349" s="3">
        <v>-155.996</v>
      </c>
      <c r="F2349" s="4" t="str">
        <f>HYPERLINK("http://141.218.60.56/~jnz1568/getInfo.php?workbook=14_04.xlsx&amp;sheet=A0&amp;row=2349&amp;col=6&amp;number=7409&amp;sourceID=14","7409")</f>
        <v>7409</v>
      </c>
      <c r="G2349" s="4" t="str">
        <f>HYPERLINK("http://141.218.60.56/~jnz1568/getInfo.php?workbook=14_04.xlsx&amp;sheet=A0&amp;row=2349&amp;col=7&amp;number=0&amp;sourceID=14","0")</f>
        <v>0</v>
      </c>
    </row>
    <row r="2350" spans="1:7">
      <c r="A2350" s="3">
        <v>14</v>
      </c>
      <c r="B2350" s="3">
        <v>4</v>
      </c>
      <c r="C2350" s="3">
        <v>77</v>
      </c>
      <c r="D2350" s="3">
        <v>43</v>
      </c>
      <c r="E2350" s="3">
        <v>154.203</v>
      </c>
      <c r="F2350" s="4" t="str">
        <f>HYPERLINK("http://141.218.60.56/~jnz1568/getInfo.php?workbook=14_04.xlsx&amp;sheet=A0&amp;row=2350&amp;col=6&amp;number=406000&amp;sourceID=14","406000")</f>
        <v>406000</v>
      </c>
      <c r="G2350" s="4" t="str">
        <f>HYPERLINK("http://141.218.60.56/~jnz1568/getInfo.php?workbook=14_04.xlsx&amp;sheet=A0&amp;row=2350&amp;col=7&amp;number=0&amp;sourceID=14","0")</f>
        <v>0</v>
      </c>
    </row>
    <row r="2351" spans="1:7">
      <c r="A2351" s="3">
        <v>14</v>
      </c>
      <c r="B2351" s="3">
        <v>4</v>
      </c>
      <c r="C2351" s="3">
        <v>78</v>
      </c>
      <c r="D2351" s="3">
        <v>43</v>
      </c>
      <c r="E2351" s="3">
        <v>-154.571</v>
      </c>
      <c r="F2351" s="4" t="str">
        <f>HYPERLINK("http://141.218.60.56/~jnz1568/getInfo.php?workbook=14_04.xlsx&amp;sheet=A0&amp;row=2351&amp;col=6&amp;number=0.0434&amp;sourceID=14","0.0434")</f>
        <v>0.0434</v>
      </c>
      <c r="G2351" s="4" t="str">
        <f>HYPERLINK("http://141.218.60.56/~jnz1568/getInfo.php?workbook=14_04.xlsx&amp;sheet=A0&amp;row=2351&amp;col=7&amp;number=0&amp;sourceID=14","0")</f>
        <v>0</v>
      </c>
    </row>
    <row r="2352" spans="1:7">
      <c r="A2352" s="3">
        <v>14</v>
      </c>
      <c r="B2352" s="3">
        <v>4</v>
      </c>
      <c r="C2352" s="3">
        <v>82</v>
      </c>
      <c r="D2352" s="3">
        <v>43</v>
      </c>
      <c r="E2352" s="3">
        <v>-151.69</v>
      </c>
      <c r="F2352" s="4" t="str">
        <f>HYPERLINK("http://141.218.60.56/~jnz1568/getInfo.php?workbook=14_04.xlsx&amp;sheet=A0&amp;row=2352&amp;col=6&amp;number=0.6529&amp;sourceID=14","0.6529")</f>
        <v>0.6529</v>
      </c>
      <c r="G2352" s="4" t="str">
        <f>HYPERLINK("http://141.218.60.56/~jnz1568/getInfo.php?workbook=14_04.xlsx&amp;sheet=A0&amp;row=2352&amp;col=7&amp;number=0&amp;sourceID=14","0")</f>
        <v>0</v>
      </c>
    </row>
    <row r="2353" spans="1:7">
      <c r="A2353" s="3">
        <v>14</v>
      </c>
      <c r="B2353" s="3">
        <v>4</v>
      </c>
      <c r="C2353" s="3">
        <v>83</v>
      </c>
      <c r="D2353" s="3">
        <v>43</v>
      </c>
      <c r="E2353" s="3">
        <v>-138.859</v>
      </c>
      <c r="F2353" s="4" t="str">
        <f>HYPERLINK("http://141.218.60.56/~jnz1568/getInfo.php?workbook=14_04.xlsx&amp;sheet=A0&amp;row=2353&amp;col=6&amp;number=68710000&amp;sourceID=14","68710000")</f>
        <v>68710000</v>
      </c>
      <c r="G2353" s="4" t="str">
        <f>HYPERLINK("http://141.218.60.56/~jnz1568/getInfo.php?workbook=14_04.xlsx&amp;sheet=A0&amp;row=2353&amp;col=7&amp;number=0&amp;sourceID=14","0")</f>
        <v>0</v>
      </c>
    </row>
    <row r="2354" spans="1:7">
      <c r="A2354" s="3">
        <v>14</v>
      </c>
      <c r="B2354" s="3">
        <v>4</v>
      </c>
      <c r="C2354" s="3">
        <v>86</v>
      </c>
      <c r="D2354" s="3">
        <v>43</v>
      </c>
      <c r="E2354" s="3">
        <v>-136.092</v>
      </c>
      <c r="F2354" s="4" t="str">
        <f>HYPERLINK("http://141.218.60.56/~jnz1568/getInfo.php?workbook=14_04.xlsx&amp;sheet=A0&amp;row=2354&amp;col=6&amp;number=0.001419&amp;sourceID=14","0.001419")</f>
        <v>0.001419</v>
      </c>
      <c r="G2354" s="4" t="str">
        <f>HYPERLINK("http://141.218.60.56/~jnz1568/getInfo.php?workbook=14_04.xlsx&amp;sheet=A0&amp;row=2354&amp;col=7&amp;number=0&amp;sourceID=14","0")</f>
        <v>0</v>
      </c>
    </row>
    <row r="2355" spans="1:7">
      <c r="A2355" s="3">
        <v>14</v>
      </c>
      <c r="B2355" s="3">
        <v>4</v>
      </c>
      <c r="C2355" s="3">
        <v>87</v>
      </c>
      <c r="D2355" s="3">
        <v>43</v>
      </c>
      <c r="E2355" s="3">
        <v>134.594</v>
      </c>
      <c r="F2355" s="4" t="str">
        <f>HYPERLINK("http://141.218.60.56/~jnz1568/getInfo.php?workbook=14_04.xlsx&amp;sheet=A0&amp;row=2355&amp;col=6&amp;number=13650&amp;sourceID=14","13650")</f>
        <v>13650</v>
      </c>
      <c r="G2355" s="4" t="str">
        <f>HYPERLINK("http://141.218.60.56/~jnz1568/getInfo.php?workbook=14_04.xlsx&amp;sheet=A0&amp;row=2355&amp;col=7&amp;number=0&amp;sourceID=14","0")</f>
        <v>0</v>
      </c>
    </row>
    <row r="2356" spans="1:7">
      <c r="A2356" s="3">
        <v>14</v>
      </c>
      <c r="B2356" s="3">
        <v>4</v>
      </c>
      <c r="C2356" s="3">
        <v>88</v>
      </c>
      <c r="D2356" s="3">
        <v>43</v>
      </c>
      <c r="E2356" s="3">
        <v>-135.566</v>
      </c>
      <c r="F2356" s="4" t="str">
        <f>HYPERLINK("http://141.218.60.56/~jnz1568/getInfo.php?workbook=14_04.xlsx&amp;sheet=A0&amp;row=2356&amp;col=6&amp;number=0.04846&amp;sourceID=14","0.04846")</f>
        <v>0.04846</v>
      </c>
      <c r="G2356" s="4" t="str">
        <f>HYPERLINK("http://141.218.60.56/~jnz1568/getInfo.php?workbook=14_04.xlsx&amp;sheet=A0&amp;row=2356&amp;col=7&amp;number=0&amp;sourceID=14","0")</f>
        <v>0</v>
      </c>
    </row>
    <row r="2357" spans="1:7">
      <c r="A2357" s="3">
        <v>14</v>
      </c>
      <c r="B2357" s="3">
        <v>4</v>
      </c>
      <c r="C2357" s="3">
        <v>89</v>
      </c>
      <c r="D2357" s="3">
        <v>43</v>
      </c>
      <c r="E2357" s="3">
        <v>-134.543</v>
      </c>
      <c r="F2357" s="4" t="str">
        <f>HYPERLINK("http://141.218.60.56/~jnz1568/getInfo.php?workbook=14_04.xlsx&amp;sheet=A0&amp;row=2357&amp;col=6&amp;number=334000000&amp;sourceID=14","334000000")</f>
        <v>334000000</v>
      </c>
      <c r="G2357" s="4" t="str">
        <f>HYPERLINK("http://141.218.60.56/~jnz1568/getInfo.php?workbook=14_04.xlsx&amp;sheet=A0&amp;row=2357&amp;col=7&amp;number=0&amp;sourceID=14","0")</f>
        <v>0</v>
      </c>
    </row>
    <row r="2358" spans="1:7">
      <c r="A2358" s="3">
        <v>14</v>
      </c>
      <c r="B2358" s="3">
        <v>4</v>
      </c>
      <c r="C2358" s="3">
        <v>46</v>
      </c>
      <c r="D2358" s="3">
        <v>44</v>
      </c>
      <c r="E2358" s="3">
        <v>-5863.164</v>
      </c>
      <c r="F2358" s="4" t="str">
        <f>HYPERLINK("http://141.218.60.56/~jnz1568/getInfo.php?workbook=14_04.xlsx&amp;sheet=A0&amp;row=2358&amp;col=6&amp;number=2036000&amp;sourceID=14","2036000")</f>
        <v>2036000</v>
      </c>
      <c r="G2358" s="4" t="str">
        <f>HYPERLINK("http://141.218.60.56/~jnz1568/getInfo.php?workbook=14_04.xlsx&amp;sheet=A0&amp;row=2358&amp;col=7&amp;number=0&amp;sourceID=14","0")</f>
        <v>0</v>
      </c>
    </row>
    <row r="2359" spans="1:7">
      <c r="A2359" s="3">
        <v>14</v>
      </c>
      <c r="B2359" s="3">
        <v>4</v>
      </c>
      <c r="C2359" s="3">
        <v>47</v>
      </c>
      <c r="D2359" s="3">
        <v>44</v>
      </c>
      <c r="E2359" s="3">
        <v>-267.74</v>
      </c>
      <c r="F2359" s="4" t="str">
        <f>HYPERLINK("http://141.218.60.56/~jnz1568/getInfo.php?workbook=14_04.xlsx&amp;sheet=A0&amp;row=2359&amp;col=6&amp;number=0.0003622&amp;sourceID=14","0.0003622")</f>
        <v>0.0003622</v>
      </c>
      <c r="G2359" s="4" t="str">
        <f>HYPERLINK("http://141.218.60.56/~jnz1568/getInfo.php?workbook=14_04.xlsx&amp;sheet=A0&amp;row=2359&amp;col=7&amp;number=0&amp;sourceID=14","0")</f>
        <v>0</v>
      </c>
    </row>
    <row r="2360" spans="1:7">
      <c r="A2360" s="3">
        <v>14</v>
      </c>
      <c r="B2360" s="3">
        <v>4</v>
      </c>
      <c r="C2360" s="3">
        <v>50</v>
      </c>
      <c r="D2360" s="3">
        <v>44</v>
      </c>
      <c r="E2360" s="3">
        <v>-247.451</v>
      </c>
      <c r="F2360" s="4" t="str">
        <f>HYPERLINK("http://141.218.60.56/~jnz1568/getInfo.php?workbook=14_04.xlsx&amp;sheet=A0&amp;row=2360&amp;col=6&amp;number=7875000&amp;sourceID=14","7875000")</f>
        <v>7875000</v>
      </c>
      <c r="G2360" s="4" t="str">
        <f>HYPERLINK("http://141.218.60.56/~jnz1568/getInfo.php?workbook=14_04.xlsx&amp;sheet=A0&amp;row=2360&amp;col=7&amp;number=0&amp;sourceID=14","0")</f>
        <v>0</v>
      </c>
    </row>
    <row r="2361" spans="1:7">
      <c r="A2361" s="3">
        <v>14</v>
      </c>
      <c r="B2361" s="3">
        <v>4</v>
      </c>
      <c r="C2361" s="3">
        <v>52</v>
      </c>
      <c r="D2361" s="3">
        <v>44</v>
      </c>
      <c r="E2361" s="3">
        <v>-245.353</v>
      </c>
      <c r="F2361" s="4" t="str">
        <f>HYPERLINK("http://141.218.60.56/~jnz1568/getInfo.php?workbook=14_04.xlsx&amp;sheet=A0&amp;row=2361&amp;col=6&amp;number=503100000&amp;sourceID=14","503100000")</f>
        <v>503100000</v>
      </c>
      <c r="G2361" s="4" t="str">
        <f>HYPERLINK("http://141.218.60.56/~jnz1568/getInfo.php?workbook=14_04.xlsx&amp;sheet=A0&amp;row=2361&amp;col=7&amp;number=0&amp;sourceID=14","0")</f>
        <v>0</v>
      </c>
    </row>
    <row r="2362" spans="1:7">
      <c r="A2362" s="3">
        <v>14</v>
      </c>
      <c r="B2362" s="3">
        <v>4</v>
      </c>
      <c r="C2362" s="3">
        <v>53</v>
      </c>
      <c r="D2362" s="3">
        <v>44</v>
      </c>
      <c r="E2362" s="3">
        <v>-237.169</v>
      </c>
      <c r="F2362" s="4" t="str">
        <f>HYPERLINK("http://141.218.60.56/~jnz1568/getInfo.php?workbook=14_04.xlsx&amp;sheet=A0&amp;row=2362&amp;col=6&amp;number=3.13e-06&amp;sourceID=14","3.13e-06")</f>
        <v>3.13e-06</v>
      </c>
      <c r="G2362" s="4" t="str">
        <f>HYPERLINK("http://141.218.60.56/~jnz1568/getInfo.php?workbook=14_04.xlsx&amp;sheet=A0&amp;row=2362&amp;col=7&amp;number=0&amp;sourceID=14","0")</f>
        <v>0</v>
      </c>
    </row>
    <row r="2363" spans="1:7">
      <c r="A2363" s="3">
        <v>14</v>
      </c>
      <c r="B2363" s="3">
        <v>4</v>
      </c>
      <c r="C2363" s="3">
        <v>54</v>
      </c>
      <c r="D2363" s="3">
        <v>44</v>
      </c>
      <c r="E2363" s="3">
        <v>-237.108</v>
      </c>
      <c r="F2363" s="4" t="str">
        <f>HYPERLINK("http://141.218.60.56/~jnz1568/getInfo.php?workbook=14_04.xlsx&amp;sheet=A0&amp;row=2363&amp;col=6&amp;number=6.635&amp;sourceID=14","6.635")</f>
        <v>6.635</v>
      </c>
      <c r="G2363" s="4" t="str">
        <f>HYPERLINK("http://141.218.60.56/~jnz1568/getInfo.php?workbook=14_04.xlsx&amp;sheet=A0&amp;row=2363&amp;col=7&amp;number=0&amp;sourceID=14","0")</f>
        <v>0</v>
      </c>
    </row>
    <row r="2364" spans="1:7">
      <c r="A2364" s="3">
        <v>14</v>
      </c>
      <c r="B2364" s="3">
        <v>4</v>
      </c>
      <c r="C2364" s="3">
        <v>56</v>
      </c>
      <c r="D2364" s="3">
        <v>44</v>
      </c>
      <c r="E2364" s="3">
        <v>-231.265</v>
      </c>
      <c r="F2364" s="4" t="str">
        <f>HYPERLINK("http://141.218.60.56/~jnz1568/getInfo.php?workbook=14_04.xlsx&amp;sheet=A0&amp;row=2364&amp;col=6&amp;number=71890&amp;sourceID=14","71890")</f>
        <v>71890</v>
      </c>
      <c r="G2364" s="4" t="str">
        <f>HYPERLINK("http://141.218.60.56/~jnz1568/getInfo.php?workbook=14_04.xlsx&amp;sheet=A0&amp;row=2364&amp;col=7&amp;number=0&amp;sourceID=14","0")</f>
        <v>0</v>
      </c>
    </row>
    <row r="2365" spans="1:7">
      <c r="A2365" s="3">
        <v>14</v>
      </c>
      <c r="B2365" s="3">
        <v>4</v>
      </c>
      <c r="C2365" s="3">
        <v>58</v>
      </c>
      <c r="D2365" s="3">
        <v>44</v>
      </c>
      <c r="E2365" s="3">
        <v>-174.037</v>
      </c>
      <c r="F2365" s="4" t="str">
        <f>HYPERLINK("http://141.218.60.56/~jnz1568/getInfo.php?workbook=14_04.xlsx&amp;sheet=A0&amp;row=2365&amp;col=6&amp;number=625200000&amp;sourceID=14","625200000")</f>
        <v>625200000</v>
      </c>
      <c r="G2365" s="4" t="str">
        <f>HYPERLINK("http://141.218.60.56/~jnz1568/getInfo.php?workbook=14_04.xlsx&amp;sheet=A0&amp;row=2365&amp;col=7&amp;number=0&amp;sourceID=14","0")</f>
        <v>0</v>
      </c>
    </row>
    <row r="2366" spans="1:7">
      <c r="A2366" s="3">
        <v>14</v>
      </c>
      <c r="B2366" s="3">
        <v>4</v>
      </c>
      <c r="C2366" s="3">
        <v>60</v>
      </c>
      <c r="D2366" s="3">
        <v>44</v>
      </c>
      <c r="E2366" s="3">
        <v>-170.226</v>
      </c>
      <c r="F2366" s="4" t="str">
        <f>HYPERLINK("http://141.218.60.56/~jnz1568/getInfo.php?workbook=14_04.xlsx&amp;sheet=A0&amp;row=2366&amp;col=6&amp;number=9358000000&amp;sourceID=14","9358000000")</f>
        <v>9358000000</v>
      </c>
      <c r="G2366" s="4" t="str">
        <f>HYPERLINK("http://141.218.60.56/~jnz1568/getInfo.php?workbook=14_04.xlsx&amp;sheet=A0&amp;row=2366&amp;col=7&amp;number=0&amp;sourceID=14","0")</f>
        <v>0</v>
      </c>
    </row>
    <row r="2367" spans="1:7">
      <c r="A2367" s="3">
        <v>14</v>
      </c>
      <c r="B2367" s="3">
        <v>4</v>
      </c>
      <c r="C2367" s="3">
        <v>61</v>
      </c>
      <c r="D2367" s="3">
        <v>44</v>
      </c>
      <c r="E2367" s="3">
        <v>-166.836</v>
      </c>
      <c r="F2367" s="4" t="str">
        <f>HYPERLINK("http://141.218.60.56/~jnz1568/getInfo.php?workbook=14_04.xlsx&amp;sheet=A0&amp;row=2367&amp;col=6&amp;number=0.107&amp;sourceID=14","0.107")</f>
        <v>0.107</v>
      </c>
      <c r="G2367" s="4" t="str">
        <f>HYPERLINK("http://141.218.60.56/~jnz1568/getInfo.php?workbook=14_04.xlsx&amp;sheet=A0&amp;row=2367&amp;col=7&amp;number=0&amp;sourceID=14","0")</f>
        <v>0</v>
      </c>
    </row>
    <row r="2368" spans="1:7">
      <c r="A2368" s="3">
        <v>14</v>
      </c>
      <c r="B2368" s="3">
        <v>4</v>
      </c>
      <c r="C2368" s="3">
        <v>62</v>
      </c>
      <c r="D2368" s="3">
        <v>44</v>
      </c>
      <c r="E2368" s="3">
        <v>-168.063</v>
      </c>
      <c r="F2368" s="4" t="str">
        <f>HYPERLINK("http://141.218.60.56/~jnz1568/getInfo.php?workbook=14_04.xlsx&amp;sheet=A0&amp;row=2368&amp;col=6&amp;number=0.0008052&amp;sourceID=14","0.0008052")</f>
        <v>0.0008052</v>
      </c>
      <c r="G2368" s="4" t="str">
        <f>HYPERLINK("http://141.218.60.56/~jnz1568/getInfo.php?workbook=14_04.xlsx&amp;sheet=A0&amp;row=2368&amp;col=7&amp;number=0&amp;sourceID=14","0")</f>
        <v>0</v>
      </c>
    </row>
    <row r="2369" spans="1:7">
      <c r="A2369" s="3">
        <v>14</v>
      </c>
      <c r="B2369" s="3">
        <v>4</v>
      </c>
      <c r="C2369" s="3">
        <v>63</v>
      </c>
      <c r="D2369" s="3">
        <v>44</v>
      </c>
      <c r="E2369" s="3">
        <v>-166.765</v>
      </c>
      <c r="F2369" s="4" t="str">
        <f>HYPERLINK("http://141.218.60.56/~jnz1568/getInfo.php?workbook=14_04.xlsx&amp;sheet=A0&amp;row=2369&amp;col=6&amp;number=12780&amp;sourceID=14","12780")</f>
        <v>12780</v>
      </c>
      <c r="G2369" s="4" t="str">
        <f>HYPERLINK("http://141.218.60.56/~jnz1568/getInfo.php?workbook=14_04.xlsx&amp;sheet=A0&amp;row=2369&amp;col=7&amp;number=0&amp;sourceID=14","0")</f>
        <v>0</v>
      </c>
    </row>
    <row r="2370" spans="1:7">
      <c r="A2370" s="3">
        <v>14</v>
      </c>
      <c r="B2370" s="3">
        <v>4</v>
      </c>
      <c r="C2370" s="3">
        <v>65</v>
      </c>
      <c r="D2370" s="3">
        <v>44</v>
      </c>
      <c r="E2370" s="3">
        <v>-164.786</v>
      </c>
      <c r="F2370" s="4" t="str">
        <f>HYPERLINK("http://141.218.60.56/~jnz1568/getInfo.php?workbook=14_04.xlsx&amp;sheet=A0&amp;row=2370&amp;col=6&amp;number=0.5576&amp;sourceID=14","0.5576")</f>
        <v>0.5576</v>
      </c>
      <c r="G2370" s="4" t="str">
        <f>HYPERLINK("http://141.218.60.56/~jnz1568/getInfo.php?workbook=14_04.xlsx&amp;sheet=A0&amp;row=2370&amp;col=7&amp;number=0&amp;sourceID=14","0")</f>
        <v>0</v>
      </c>
    </row>
    <row r="2371" spans="1:7">
      <c r="A2371" s="3">
        <v>14</v>
      </c>
      <c r="B2371" s="3">
        <v>4</v>
      </c>
      <c r="C2371" s="3">
        <v>67</v>
      </c>
      <c r="D2371" s="3">
        <v>44</v>
      </c>
      <c r="E2371" s="3">
        <v>-163.607</v>
      </c>
      <c r="F2371" s="4" t="str">
        <f>HYPERLINK("http://141.218.60.56/~jnz1568/getInfo.php?workbook=14_04.xlsx&amp;sheet=A0&amp;row=2371&amp;col=6&amp;number=1.695&amp;sourceID=14","1.695")</f>
        <v>1.695</v>
      </c>
      <c r="G2371" s="4" t="str">
        <f>HYPERLINK("http://141.218.60.56/~jnz1568/getInfo.php?workbook=14_04.xlsx&amp;sheet=A0&amp;row=2371&amp;col=7&amp;number=0&amp;sourceID=14","0")</f>
        <v>0</v>
      </c>
    </row>
    <row r="2372" spans="1:7">
      <c r="A2372" s="3">
        <v>14</v>
      </c>
      <c r="B2372" s="3">
        <v>4</v>
      </c>
      <c r="C2372" s="3">
        <v>68</v>
      </c>
      <c r="D2372" s="3">
        <v>44</v>
      </c>
      <c r="E2372" s="3">
        <v>-163.395</v>
      </c>
      <c r="F2372" s="4" t="str">
        <f>HYPERLINK("http://141.218.60.56/~jnz1568/getInfo.php?workbook=14_04.xlsx&amp;sheet=A0&amp;row=2372&amp;col=6&amp;number=41410&amp;sourceID=14","41410")</f>
        <v>41410</v>
      </c>
      <c r="G2372" s="4" t="str">
        <f>HYPERLINK("http://141.218.60.56/~jnz1568/getInfo.php?workbook=14_04.xlsx&amp;sheet=A0&amp;row=2372&amp;col=7&amp;number=0&amp;sourceID=14","0")</f>
        <v>0</v>
      </c>
    </row>
    <row r="2373" spans="1:7">
      <c r="A2373" s="3">
        <v>14</v>
      </c>
      <c r="B2373" s="3">
        <v>4</v>
      </c>
      <c r="C2373" s="3">
        <v>72</v>
      </c>
      <c r="D2373" s="3">
        <v>44</v>
      </c>
      <c r="E2373" s="3">
        <v>-161.33</v>
      </c>
      <c r="F2373" s="4" t="str">
        <f>HYPERLINK("http://141.218.60.56/~jnz1568/getInfo.php?workbook=14_04.xlsx&amp;sheet=A0&amp;row=2373&amp;col=6&amp;number=1460000&amp;sourceID=14","1460000")</f>
        <v>1460000</v>
      </c>
      <c r="G2373" s="4" t="str">
        <f>HYPERLINK("http://141.218.60.56/~jnz1568/getInfo.php?workbook=14_04.xlsx&amp;sheet=A0&amp;row=2373&amp;col=7&amp;number=0&amp;sourceID=14","0")</f>
        <v>0</v>
      </c>
    </row>
    <row r="2374" spans="1:7">
      <c r="A2374" s="3">
        <v>14</v>
      </c>
      <c r="B2374" s="3">
        <v>4</v>
      </c>
      <c r="C2374" s="3">
        <v>74</v>
      </c>
      <c r="D2374" s="3">
        <v>44</v>
      </c>
      <c r="E2374" s="3">
        <v>-160.598</v>
      </c>
      <c r="F2374" s="4" t="str">
        <f>HYPERLINK("http://141.218.60.56/~jnz1568/getInfo.php?workbook=14_04.xlsx&amp;sheet=A0&amp;row=2374&amp;col=6&amp;number=808800000&amp;sourceID=14","808800000")</f>
        <v>808800000</v>
      </c>
      <c r="G2374" s="4" t="str">
        <f>HYPERLINK("http://141.218.60.56/~jnz1568/getInfo.php?workbook=14_04.xlsx&amp;sheet=A0&amp;row=2374&amp;col=7&amp;number=0&amp;sourceID=14","0")</f>
        <v>0</v>
      </c>
    </row>
    <row r="2375" spans="1:7">
      <c r="A2375" s="3">
        <v>14</v>
      </c>
      <c r="B2375" s="3">
        <v>4</v>
      </c>
      <c r="C2375" s="3">
        <v>78</v>
      </c>
      <c r="D2375" s="3">
        <v>44</v>
      </c>
      <c r="E2375" s="3">
        <v>-158.603</v>
      </c>
      <c r="F2375" s="4" t="str">
        <f>HYPERLINK("http://141.218.60.56/~jnz1568/getInfo.php?workbook=14_04.xlsx&amp;sheet=A0&amp;row=2375&amp;col=6&amp;number=116000000&amp;sourceID=14","116000000")</f>
        <v>116000000</v>
      </c>
      <c r="G2375" s="4" t="str">
        <f>HYPERLINK("http://141.218.60.56/~jnz1568/getInfo.php?workbook=14_04.xlsx&amp;sheet=A0&amp;row=2375&amp;col=7&amp;number=0&amp;sourceID=14","0")</f>
        <v>0</v>
      </c>
    </row>
    <row r="2376" spans="1:7">
      <c r="A2376" s="3">
        <v>14</v>
      </c>
      <c r="B2376" s="3">
        <v>4</v>
      </c>
      <c r="C2376" s="3">
        <v>82</v>
      </c>
      <c r="D2376" s="3">
        <v>44</v>
      </c>
      <c r="E2376" s="3">
        <v>-155.572</v>
      </c>
      <c r="F2376" s="4" t="str">
        <f>HYPERLINK("http://141.218.60.56/~jnz1568/getInfo.php?workbook=14_04.xlsx&amp;sheet=A0&amp;row=2376&amp;col=6&amp;number=50520000000&amp;sourceID=14","50520000000")</f>
        <v>50520000000</v>
      </c>
      <c r="G2376" s="4" t="str">
        <f>HYPERLINK("http://141.218.60.56/~jnz1568/getInfo.php?workbook=14_04.xlsx&amp;sheet=A0&amp;row=2376&amp;col=7&amp;number=0&amp;sourceID=14","0")</f>
        <v>0</v>
      </c>
    </row>
    <row r="2377" spans="1:7">
      <c r="A2377" s="3">
        <v>14</v>
      </c>
      <c r="B2377" s="3">
        <v>4</v>
      </c>
      <c r="C2377" s="3">
        <v>83</v>
      </c>
      <c r="D2377" s="3">
        <v>44</v>
      </c>
      <c r="E2377" s="3">
        <v>-142.105</v>
      </c>
      <c r="F2377" s="4" t="str">
        <f>HYPERLINK("http://141.218.60.56/~jnz1568/getInfo.php?workbook=14_04.xlsx&amp;sheet=A0&amp;row=2377&amp;col=6&amp;number=6.232e-05&amp;sourceID=14","6.232e-05")</f>
        <v>6.232e-05</v>
      </c>
      <c r="G2377" s="4" t="str">
        <f>HYPERLINK("http://141.218.60.56/~jnz1568/getInfo.php?workbook=14_04.xlsx&amp;sheet=A0&amp;row=2377&amp;col=7&amp;number=0&amp;sourceID=14","0")</f>
        <v>0</v>
      </c>
    </row>
    <row r="2378" spans="1:7">
      <c r="A2378" s="3">
        <v>14</v>
      </c>
      <c r="B2378" s="3">
        <v>4</v>
      </c>
      <c r="C2378" s="3">
        <v>86</v>
      </c>
      <c r="D2378" s="3">
        <v>44</v>
      </c>
      <c r="E2378" s="3">
        <v>-139.208</v>
      </c>
      <c r="F2378" s="4" t="str">
        <f>HYPERLINK("http://141.218.60.56/~jnz1568/getInfo.php?workbook=14_04.xlsx&amp;sheet=A0&amp;row=2378&amp;col=6&amp;number=9361000&amp;sourceID=14","9361000")</f>
        <v>9361000</v>
      </c>
      <c r="G2378" s="4" t="str">
        <f>HYPERLINK("http://141.218.60.56/~jnz1568/getInfo.php?workbook=14_04.xlsx&amp;sheet=A0&amp;row=2378&amp;col=7&amp;number=0&amp;sourceID=14","0")</f>
        <v>0</v>
      </c>
    </row>
    <row r="2379" spans="1:7">
      <c r="A2379" s="3">
        <v>14</v>
      </c>
      <c r="B2379" s="3">
        <v>4</v>
      </c>
      <c r="C2379" s="3">
        <v>88</v>
      </c>
      <c r="D2379" s="3">
        <v>44</v>
      </c>
      <c r="E2379" s="3">
        <v>-138.658</v>
      </c>
      <c r="F2379" s="4" t="str">
        <f>HYPERLINK("http://141.218.60.56/~jnz1568/getInfo.php?workbook=14_04.xlsx&amp;sheet=A0&amp;row=2379&amp;col=6&amp;number=2734000000&amp;sourceID=14","2734000000")</f>
        <v>2734000000</v>
      </c>
      <c r="G2379" s="4" t="str">
        <f>HYPERLINK("http://141.218.60.56/~jnz1568/getInfo.php?workbook=14_04.xlsx&amp;sheet=A0&amp;row=2379&amp;col=7&amp;number=0&amp;sourceID=14","0")</f>
        <v>0</v>
      </c>
    </row>
    <row r="2380" spans="1:7">
      <c r="A2380" s="3">
        <v>14</v>
      </c>
      <c r="B2380" s="3">
        <v>4</v>
      </c>
      <c r="C2380" s="3">
        <v>89</v>
      </c>
      <c r="D2380" s="3">
        <v>44</v>
      </c>
      <c r="E2380" s="3">
        <v>-137.588</v>
      </c>
      <c r="F2380" s="4" t="str">
        <f>HYPERLINK("http://141.218.60.56/~jnz1568/getInfo.php?workbook=14_04.xlsx&amp;sheet=A0&amp;row=2380&amp;col=6&amp;number=1.607e-06&amp;sourceID=14","1.607e-06")</f>
        <v>1.607e-06</v>
      </c>
      <c r="G2380" s="4" t="str">
        <f>HYPERLINK("http://141.218.60.56/~jnz1568/getInfo.php?workbook=14_04.xlsx&amp;sheet=A0&amp;row=2380&amp;col=7&amp;number=0&amp;sourceID=14","0")</f>
        <v>0</v>
      </c>
    </row>
    <row r="2381" spans="1:7">
      <c r="A2381" s="3">
        <v>14</v>
      </c>
      <c r="B2381" s="3">
        <v>4</v>
      </c>
      <c r="C2381" s="3">
        <v>90</v>
      </c>
      <c r="D2381" s="3">
        <v>44</v>
      </c>
      <c r="E2381" s="3">
        <v>-137.578</v>
      </c>
      <c r="F2381" s="4" t="str">
        <f>HYPERLINK("http://141.218.60.56/~jnz1568/getInfo.php?workbook=14_04.xlsx&amp;sheet=A0&amp;row=2381&amp;col=6&amp;number=1.532&amp;sourceID=14","1.532")</f>
        <v>1.532</v>
      </c>
      <c r="G2381" s="4" t="str">
        <f>HYPERLINK("http://141.218.60.56/~jnz1568/getInfo.php?workbook=14_04.xlsx&amp;sheet=A0&amp;row=2381&amp;col=7&amp;number=0&amp;sourceID=14","0")</f>
        <v>0</v>
      </c>
    </row>
    <row r="2382" spans="1:7">
      <c r="A2382" s="3">
        <v>14</v>
      </c>
      <c r="B2382" s="3">
        <v>4</v>
      </c>
      <c r="C2382" s="3">
        <v>92</v>
      </c>
      <c r="D2382" s="3">
        <v>44</v>
      </c>
      <c r="E2382" s="3">
        <v>-136.65</v>
      </c>
      <c r="F2382" s="4" t="str">
        <f>HYPERLINK("http://141.218.60.56/~jnz1568/getInfo.php?workbook=14_04.xlsx&amp;sheet=A0&amp;row=2382&amp;col=6&amp;number=53970&amp;sourceID=14","53970")</f>
        <v>53970</v>
      </c>
      <c r="G2382" s="4" t="str">
        <f>HYPERLINK("http://141.218.60.56/~jnz1568/getInfo.php?workbook=14_04.xlsx&amp;sheet=A0&amp;row=2382&amp;col=7&amp;number=0&amp;sourceID=14","0")</f>
        <v>0</v>
      </c>
    </row>
    <row r="2383" spans="1:7">
      <c r="A2383" s="3">
        <v>14</v>
      </c>
      <c r="B2383" s="3">
        <v>4</v>
      </c>
      <c r="C2383" s="3">
        <v>46</v>
      </c>
      <c r="D2383" s="3">
        <v>45</v>
      </c>
      <c r="E2383" s="3">
        <v>111234.91</v>
      </c>
      <c r="F2383" s="4" t="str">
        <f>HYPERLINK("http://141.218.60.56/~jnz1568/getInfo.php?workbook=14_04.xlsx&amp;sheet=A0&amp;row=2383&amp;col=6&amp;number=3.86e-09&amp;sourceID=14","3.86e-09")</f>
        <v>3.86e-09</v>
      </c>
      <c r="G2383" s="4" t="str">
        <f>HYPERLINK("http://141.218.60.56/~jnz1568/getInfo.php?workbook=14_04.xlsx&amp;sheet=A0&amp;row=2383&amp;col=7&amp;number=0&amp;sourceID=14","0")</f>
        <v>0</v>
      </c>
    </row>
    <row r="2384" spans="1:7">
      <c r="A2384" s="3">
        <v>14</v>
      </c>
      <c r="B2384" s="3">
        <v>4</v>
      </c>
      <c r="C2384" s="3">
        <v>50</v>
      </c>
      <c r="D2384" s="3">
        <v>45</v>
      </c>
      <c r="E2384" s="3">
        <v>248.161</v>
      </c>
      <c r="F2384" s="4" t="str">
        <f>HYPERLINK("http://141.218.60.56/~jnz1568/getInfo.php?workbook=14_04.xlsx&amp;sheet=A0&amp;row=2384&amp;col=6&amp;number=440.7&amp;sourceID=14","440.7")</f>
        <v>440.7</v>
      </c>
      <c r="G2384" s="4" t="str">
        <f>HYPERLINK("http://141.218.60.56/~jnz1568/getInfo.php?workbook=14_04.xlsx&amp;sheet=A0&amp;row=2384&amp;col=7&amp;number=0&amp;sourceID=14","0")</f>
        <v>0</v>
      </c>
    </row>
    <row r="2385" spans="1:7">
      <c r="A2385" s="3">
        <v>14</v>
      </c>
      <c r="B2385" s="3">
        <v>4</v>
      </c>
      <c r="C2385" s="3">
        <v>51</v>
      </c>
      <c r="D2385" s="3">
        <v>45</v>
      </c>
      <c r="E2385" s="3">
        <v>247.722</v>
      </c>
      <c r="F2385" s="4" t="str">
        <f>HYPERLINK("http://141.218.60.56/~jnz1568/getInfo.php?workbook=14_04.xlsx&amp;sheet=A0&amp;row=2385&amp;col=6&amp;number=4.073&amp;sourceID=14","4.073")</f>
        <v>4.073</v>
      </c>
      <c r="G2385" s="4" t="str">
        <f>HYPERLINK("http://141.218.60.56/~jnz1568/getInfo.php?workbook=14_04.xlsx&amp;sheet=A0&amp;row=2385&amp;col=7&amp;number=0&amp;sourceID=14","0")</f>
        <v>0</v>
      </c>
    </row>
    <row r="2386" spans="1:7">
      <c r="A2386" s="3">
        <v>14</v>
      </c>
      <c r="B2386" s="3">
        <v>4</v>
      </c>
      <c r="C2386" s="3">
        <v>52</v>
      </c>
      <c r="D2386" s="3">
        <v>45</v>
      </c>
      <c r="E2386" s="3">
        <v>250.33</v>
      </c>
      <c r="F2386" s="4" t="str">
        <f>HYPERLINK("http://141.218.60.56/~jnz1568/getInfo.php?workbook=14_04.xlsx&amp;sheet=A0&amp;row=2386&amp;col=6&amp;number=27150&amp;sourceID=14","27150")</f>
        <v>27150</v>
      </c>
      <c r="G2386" s="4" t="str">
        <f>HYPERLINK("http://141.218.60.56/~jnz1568/getInfo.php?workbook=14_04.xlsx&amp;sheet=A0&amp;row=2386&amp;col=7&amp;number=0&amp;sourceID=14","0")</f>
        <v>0</v>
      </c>
    </row>
    <row r="2387" spans="1:7">
      <c r="A2387" s="3">
        <v>14</v>
      </c>
      <c r="B2387" s="3">
        <v>4</v>
      </c>
      <c r="C2387" s="3">
        <v>54</v>
      </c>
      <c r="D2387" s="3">
        <v>45</v>
      </c>
      <c r="E2387" s="3">
        <v>240.71</v>
      </c>
      <c r="F2387" s="4" t="str">
        <f>HYPERLINK("http://141.218.60.56/~jnz1568/getInfo.php?workbook=14_04.xlsx&amp;sheet=A0&amp;row=2387&amp;col=6&amp;number=683900&amp;sourceID=14","683900")</f>
        <v>683900</v>
      </c>
      <c r="G2387" s="4" t="str">
        <f>HYPERLINK("http://141.218.60.56/~jnz1568/getInfo.php?workbook=14_04.xlsx&amp;sheet=A0&amp;row=2387&amp;col=7&amp;number=0&amp;sourceID=14","0")</f>
        <v>0</v>
      </c>
    </row>
    <row r="2388" spans="1:7">
      <c r="A2388" s="3">
        <v>14</v>
      </c>
      <c r="B2388" s="3">
        <v>4</v>
      </c>
      <c r="C2388" s="3">
        <v>55</v>
      </c>
      <c r="D2388" s="3">
        <v>45</v>
      </c>
      <c r="E2388" s="3">
        <v>240.232</v>
      </c>
      <c r="F2388" s="4" t="str">
        <f>HYPERLINK("http://141.218.60.56/~jnz1568/getInfo.php?workbook=14_04.xlsx&amp;sheet=A0&amp;row=2388&amp;col=6&amp;number=19080&amp;sourceID=14","19080")</f>
        <v>19080</v>
      </c>
      <c r="G2388" s="4" t="str">
        <f>HYPERLINK("http://141.218.60.56/~jnz1568/getInfo.php?workbook=14_04.xlsx&amp;sheet=A0&amp;row=2388&amp;col=7&amp;number=0&amp;sourceID=14","0")</f>
        <v>0</v>
      </c>
    </row>
    <row r="2389" spans="1:7">
      <c r="A2389" s="3">
        <v>14</v>
      </c>
      <c r="B2389" s="3">
        <v>4</v>
      </c>
      <c r="C2389" s="3">
        <v>56</v>
      </c>
      <c r="D2389" s="3">
        <v>45</v>
      </c>
      <c r="E2389" s="3">
        <v>234.195</v>
      </c>
      <c r="F2389" s="4" t="str">
        <f>HYPERLINK("http://141.218.60.56/~jnz1568/getInfo.php?workbook=14_04.xlsx&amp;sheet=A0&amp;row=2389&amp;col=6&amp;number=379200000&amp;sourceID=14","379200000")</f>
        <v>379200000</v>
      </c>
      <c r="G2389" s="4" t="str">
        <f>HYPERLINK("http://141.218.60.56/~jnz1568/getInfo.php?workbook=14_04.xlsx&amp;sheet=A0&amp;row=2389&amp;col=7&amp;number=0&amp;sourceID=14","0")</f>
        <v>0</v>
      </c>
    </row>
    <row r="2390" spans="1:7">
      <c r="A2390" s="3">
        <v>14</v>
      </c>
      <c r="B2390" s="3">
        <v>4</v>
      </c>
      <c r="C2390" s="3">
        <v>58</v>
      </c>
      <c r="D2390" s="3">
        <v>45</v>
      </c>
      <c r="E2390" s="3">
        <v>-177.621</v>
      </c>
      <c r="F2390" s="4" t="str">
        <f>HYPERLINK("http://141.218.60.56/~jnz1568/getInfo.php?workbook=14_04.xlsx&amp;sheet=A0&amp;row=2390&amp;col=6&amp;number=69640&amp;sourceID=14","69640")</f>
        <v>69640</v>
      </c>
      <c r="G2390" s="4" t="str">
        <f>HYPERLINK("http://141.218.60.56/~jnz1568/getInfo.php?workbook=14_04.xlsx&amp;sheet=A0&amp;row=2390&amp;col=7&amp;number=0&amp;sourceID=14","0")</f>
        <v>0</v>
      </c>
    </row>
    <row r="2391" spans="1:7">
      <c r="A2391" s="3">
        <v>14</v>
      </c>
      <c r="B2391" s="3">
        <v>4</v>
      </c>
      <c r="C2391" s="3">
        <v>59</v>
      </c>
      <c r="D2391" s="3">
        <v>45</v>
      </c>
      <c r="E2391" s="3">
        <v>176.57</v>
      </c>
      <c r="F2391" s="4" t="str">
        <f>HYPERLINK("http://141.218.60.56/~jnz1568/getInfo.php?workbook=14_04.xlsx&amp;sheet=A0&amp;row=2391&amp;col=6&amp;number=327.8&amp;sourceID=14","327.8")</f>
        <v>327.8</v>
      </c>
      <c r="G2391" s="4" t="str">
        <f>HYPERLINK("http://141.218.60.56/~jnz1568/getInfo.php?workbook=14_04.xlsx&amp;sheet=A0&amp;row=2391&amp;col=7&amp;number=0&amp;sourceID=14","0")</f>
        <v>0</v>
      </c>
    </row>
    <row r="2392" spans="1:7">
      <c r="A2392" s="3">
        <v>14</v>
      </c>
      <c r="B2392" s="3">
        <v>4</v>
      </c>
      <c r="C2392" s="3">
        <v>60</v>
      </c>
      <c r="D2392" s="3">
        <v>45</v>
      </c>
      <c r="E2392" s="3">
        <v>-173.653</v>
      </c>
      <c r="F2392" s="4" t="str">
        <f>HYPERLINK("http://141.218.60.56/~jnz1568/getInfo.php?workbook=14_04.xlsx&amp;sheet=A0&amp;row=2392&amp;col=6&amp;number=1089000&amp;sourceID=14","1089000")</f>
        <v>1089000</v>
      </c>
      <c r="G2392" s="4" t="str">
        <f>HYPERLINK("http://141.218.60.56/~jnz1568/getInfo.php?workbook=14_04.xlsx&amp;sheet=A0&amp;row=2392&amp;col=7&amp;number=0&amp;sourceID=14","0")</f>
        <v>0</v>
      </c>
    </row>
    <row r="2393" spans="1:7">
      <c r="A2393" s="3">
        <v>14</v>
      </c>
      <c r="B2393" s="3">
        <v>4</v>
      </c>
      <c r="C2393" s="3">
        <v>63</v>
      </c>
      <c r="D2393" s="3">
        <v>45</v>
      </c>
      <c r="E2393" s="3">
        <v>-170.054</v>
      </c>
      <c r="F2393" s="4" t="str">
        <f>HYPERLINK("http://141.218.60.56/~jnz1568/getInfo.php?workbook=14_04.xlsx&amp;sheet=A0&amp;row=2393&amp;col=6&amp;number=115100000&amp;sourceID=14","115100000")</f>
        <v>115100000</v>
      </c>
      <c r="G2393" s="4" t="str">
        <f>HYPERLINK("http://141.218.60.56/~jnz1568/getInfo.php?workbook=14_04.xlsx&amp;sheet=A0&amp;row=2393&amp;col=7&amp;number=0&amp;sourceID=14","0")</f>
        <v>0</v>
      </c>
    </row>
    <row r="2394" spans="1:7">
      <c r="A2394" s="3">
        <v>14</v>
      </c>
      <c r="B2394" s="3">
        <v>4</v>
      </c>
      <c r="C2394" s="3">
        <v>64</v>
      </c>
      <c r="D2394" s="3">
        <v>45</v>
      </c>
      <c r="E2394" s="3">
        <v>-168.498</v>
      </c>
      <c r="F2394" s="4" t="str">
        <f>HYPERLINK("http://141.218.60.56/~jnz1568/getInfo.php?workbook=14_04.xlsx&amp;sheet=A0&amp;row=2394&amp;col=6&amp;number=2373000&amp;sourceID=14","2373000")</f>
        <v>2373000</v>
      </c>
      <c r="G2394" s="4" t="str">
        <f>HYPERLINK("http://141.218.60.56/~jnz1568/getInfo.php?workbook=14_04.xlsx&amp;sheet=A0&amp;row=2394&amp;col=7&amp;number=0&amp;sourceID=14","0")</f>
        <v>0</v>
      </c>
    </row>
    <row r="2395" spans="1:7">
      <c r="A2395" s="3">
        <v>14</v>
      </c>
      <c r="B2395" s="3">
        <v>4</v>
      </c>
      <c r="C2395" s="3">
        <v>68</v>
      </c>
      <c r="D2395" s="3">
        <v>45</v>
      </c>
      <c r="E2395" s="3">
        <v>-166.551</v>
      </c>
      <c r="F2395" s="4" t="str">
        <f>HYPERLINK("http://141.218.60.56/~jnz1568/getInfo.php?workbook=14_04.xlsx&amp;sheet=A0&amp;row=2395&amp;col=6&amp;number=221700000&amp;sourceID=14","221700000")</f>
        <v>221700000</v>
      </c>
      <c r="G2395" s="4" t="str">
        <f>HYPERLINK("http://141.218.60.56/~jnz1568/getInfo.php?workbook=14_04.xlsx&amp;sheet=A0&amp;row=2395&amp;col=7&amp;number=0&amp;sourceID=14","0")</f>
        <v>0</v>
      </c>
    </row>
    <row r="2396" spans="1:7">
      <c r="A2396" s="3">
        <v>14</v>
      </c>
      <c r="B2396" s="3">
        <v>4</v>
      </c>
      <c r="C2396" s="3">
        <v>69</v>
      </c>
      <c r="D2396" s="3">
        <v>45</v>
      </c>
      <c r="E2396" s="3">
        <v>-166.326</v>
      </c>
      <c r="F2396" s="4" t="str">
        <f>HYPERLINK("http://141.218.60.56/~jnz1568/getInfo.php?workbook=14_04.xlsx&amp;sheet=A0&amp;row=2396&amp;col=6&amp;number=163000&amp;sourceID=14","163000")</f>
        <v>163000</v>
      </c>
      <c r="G2396" s="4" t="str">
        <f>HYPERLINK("http://141.218.60.56/~jnz1568/getInfo.php?workbook=14_04.xlsx&amp;sheet=A0&amp;row=2396&amp;col=7&amp;number=0&amp;sourceID=14","0")</f>
        <v>0</v>
      </c>
    </row>
    <row r="2397" spans="1:7">
      <c r="A2397" s="3">
        <v>14</v>
      </c>
      <c r="B2397" s="3">
        <v>4</v>
      </c>
      <c r="C2397" s="3">
        <v>70</v>
      </c>
      <c r="D2397" s="3">
        <v>45</v>
      </c>
      <c r="E2397" s="3">
        <v>-165.382</v>
      </c>
      <c r="F2397" s="4" t="str">
        <f>HYPERLINK("http://141.218.60.56/~jnz1568/getInfo.php?workbook=14_04.xlsx&amp;sheet=A0&amp;row=2397&amp;col=6&amp;number=8765&amp;sourceID=14","8765")</f>
        <v>8765</v>
      </c>
      <c r="G2397" s="4" t="str">
        <f>HYPERLINK("http://141.218.60.56/~jnz1568/getInfo.php?workbook=14_04.xlsx&amp;sheet=A0&amp;row=2397&amp;col=7&amp;number=0&amp;sourceID=14","0")</f>
        <v>0</v>
      </c>
    </row>
    <row r="2398" spans="1:7">
      <c r="A2398" s="3">
        <v>14</v>
      </c>
      <c r="B2398" s="3">
        <v>4</v>
      </c>
      <c r="C2398" s="3">
        <v>71</v>
      </c>
      <c r="D2398" s="3">
        <v>45</v>
      </c>
      <c r="E2398" s="3">
        <v>-164.997</v>
      </c>
      <c r="F2398" s="4" t="str">
        <f>HYPERLINK("http://141.218.60.56/~jnz1568/getInfo.php?workbook=14_04.xlsx&amp;sheet=A0&amp;row=2398&amp;col=6&amp;number=471100&amp;sourceID=14","471100")</f>
        <v>471100</v>
      </c>
      <c r="G2398" s="4" t="str">
        <f>HYPERLINK("http://141.218.60.56/~jnz1568/getInfo.php?workbook=14_04.xlsx&amp;sheet=A0&amp;row=2398&amp;col=7&amp;number=0&amp;sourceID=14","0")</f>
        <v>0</v>
      </c>
    </row>
    <row r="2399" spans="1:7">
      <c r="A2399" s="3">
        <v>14</v>
      </c>
      <c r="B2399" s="3">
        <v>4</v>
      </c>
      <c r="C2399" s="3">
        <v>72</v>
      </c>
      <c r="D2399" s="3">
        <v>45</v>
      </c>
      <c r="E2399" s="3">
        <v>-164.406</v>
      </c>
      <c r="F2399" s="4" t="str">
        <f>HYPERLINK("http://141.218.60.56/~jnz1568/getInfo.php?workbook=14_04.xlsx&amp;sheet=A0&amp;row=2399&amp;col=6&amp;number=8053000000&amp;sourceID=14","8053000000")</f>
        <v>8053000000</v>
      </c>
      <c r="G2399" s="4" t="str">
        <f>HYPERLINK("http://141.218.60.56/~jnz1568/getInfo.php?workbook=14_04.xlsx&amp;sheet=A0&amp;row=2399&amp;col=7&amp;number=0&amp;sourceID=14","0")</f>
        <v>0</v>
      </c>
    </row>
    <row r="2400" spans="1:7">
      <c r="A2400" s="3">
        <v>14</v>
      </c>
      <c r="B2400" s="3">
        <v>4</v>
      </c>
      <c r="C2400" s="3">
        <v>73</v>
      </c>
      <c r="D2400" s="3">
        <v>45</v>
      </c>
      <c r="E2400" s="3">
        <v>-164.051</v>
      </c>
      <c r="F2400" s="4" t="str">
        <f>HYPERLINK("http://141.218.60.56/~jnz1568/getInfo.php?workbook=14_04.xlsx&amp;sheet=A0&amp;row=2400&amp;col=6&amp;number=425.4&amp;sourceID=14","425.4")</f>
        <v>425.4</v>
      </c>
      <c r="G2400" s="4" t="str">
        <f>HYPERLINK("http://141.218.60.56/~jnz1568/getInfo.php?workbook=14_04.xlsx&amp;sheet=A0&amp;row=2400&amp;col=7&amp;number=0&amp;sourceID=14","0")</f>
        <v>0</v>
      </c>
    </row>
    <row r="2401" spans="1:7">
      <c r="A2401" s="3">
        <v>14</v>
      </c>
      <c r="B2401" s="3">
        <v>4</v>
      </c>
      <c r="C2401" s="3">
        <v>74</v>
      </c>
      <c r="D2401" s="3">
        <v>45</v>
      </c>
      <c r="E2401" s="3">
        <v>-163.645</v>
      </c>
      <c r="F2401" s="4" t="str">
        <f>HYPERLINK("http://141.218.60.56/~jnz1568/getInfo.php?workbook=14_04.xlsx&amp;sheet=A0&amp;row=2401&amp;col=6&amp;number=1735&amp;sourceID=14","1735")</f>
        <v>1735</v>
      </c>
      <c r="G2401" s="4" t="str">
        <f>HYPERLINK("http://141.218.60.56/~jnz1568/getInfo.php?workbook=14_04.xlsx&amp;sheet=A0&amp;row=2401&amp;col=7&amp;number=0&amp;sourceID=14","0")</f>
        <v>0</v>
      </c>
    </row>
    <row r="2402" spans="1:7">
      <c r="A2402" s="3">
        <v>14</v>
      </c>
      <c r="B2402" s="3">
        <v>4</v>
      </c>
      <c r="C2402" s="3">
        <v>75</v>
      </c>
      <c r="D2402" s="3">
        <v>45</v>
      </c>
      <c r="E2402" s="3">
        <v>-163.133</v>
      </c>
      <c r="F2402" s="4" t="str">
        <f>HYPERLINK("http://141.218.60.56/~jnz1568/getInfo.php?workbook=14_04.xlsx&amp;sheet=A0&amp;row=2402&amp;col=6&amp;number=151900&amp;sourceID=14","151900")</f>
        <v>151900</v>
      </c>
      <c r="G2402" s="4" t="str">
        <f>HYPERLINK("http://141.218.60.56/~jnz1568/getInfo.php?workbook=14_04.xlsx&amp;sheet=A0&amp;row=2402&amp;col=7&amp;number=0&amp;sourceID=14","0")</f>
        <v>0</v>
      </c>
    </row>
    <row r="2403" spans="1:7">
      <c r="A2403" s="3">
        <v>14</v>
      </c>
      <c r="B2403" s="3">
        <v>4</v>
      </c>
      <c r="C2403" s="3">
        <v>76</v>
      </c>
      <c r="D2403" s="3">
        <v>45</v>
      </c>
      <c r="E2403" s="3">
        <v>160.897</v>
      </c>
      <c r="F2403" s="4" t="str">
        <f>HYPERLINK("http://141.218.60.56/~jnz1568/getInfo.php?workbook=14_04.xlsx&amp;sheet=A0&amp;row=2403&amp;col=6&amp;number=7572&amp;sourceID=14","7572")</f>
        <v>7572</v>
      </c>
      <c r="G2403" s="4" t="str">
        <f>HYPERLINK("http://141.218.60.56/~jnz1568/getInfo.php?workbook=14_04.xlsx&amp;sheet=A0&amp;row=2403&amp;col=7&amp;number=0&amp;sourceID=14","0")</f>
        <v>0</v>
      </c>
    </row>
    <row r="2404" spans="1:7">
      <c r="A2404" s="3">
        <v>14</v>
      </c>
      <c r="B2404" s="3">
        <v>4</v>
      </c>
      <c r="C2404" s="3">
        <v>77</v>
      </c>
      <c r="D2404" s="3">
        <v>45</v>
      </c>
      <c r="E2404" s="3">
        <v>160.662</v>
      </c>
      <c r="F2404" s="4" t="str">
        <f>HYPERLINK("http://141.218.60.56/~jnz1568/getInfo.php?workbook=14_04.xlsx&amp;sheet=A0&amp;row=2404&amp;col=6&amp;number=21950&amp;sourceID=14","21950")</f>
        <v>21950</v>
      </c>
      <c r="G2404" s="4" t="str">
        <f>HYPERLINK("http://141.218.60.56/~jnz1568/getInfo.php?workbook=14_04.xlsx&amp;sheet=A0&amp;row=2404&amp;col=7&amp;number=0&amp;sourceID=14","0")</f>
        <v>0</v>
      </c>
    </row>
    <row r="2405" spans="1:7">
      <c r="A2405" s="3">
        <v>14</v>
      </c>
      <c r="B2405" s="3">
        <v>4</v>
      </c>
      <c r="C2405" s="3">
        <v>78</v>
      </c>
      <c r="D2405" s="3">
        <v>45</v>
      </c>
      <c r="E2405" s="3">
        <v>-161.575</v>
      </c>
      <c r="F2405" s="4" t="str">
        <f>HYPERLINK("http://141.218.60.56/~jnz1568/getInfo.php?workbook=14_04.xlsx&amp;sheet=A0&amp;row=2405&amp;col=6&amp;number=15.79&amp;sourceID=14","15.79")</f>
        <v>15.79</v>
      </c>
      <c r="G2405" s="4" t="str">
        <f>HYPERLINK("http://141.218.60.56/~jnz1568/getInfo.php?workbook=14_04.xlsx&amp;sheet=A0&amp;row=2405&amp;col=7&amp;number=0&amp;sourceID=14","0")</f>
        <v>0</v>
      </c>
    </row>
    <row r="2406" spans="1:7">
      <c r="A2406" s="3">
        <v>14</v>
      </c>
      <c r="B2406" s="3">
        <v>4</v>
      </c>
      <c r="C2406" s="3">
        <v>81</v>
      </c>
      <c r="D2406" s="3">
        <v>45</v>
      </c>
      <c r="E2406" s="3">
        <v>158.09</v>
      </c>
      <c r="F2406" s="4" t="str">
        <f>HYPERLINK("http://141.218.60.56/~jnz1568/getInfo.php?workbook=14_04.xlsx&amp;sheet=A0&amp;row=2406&amp;col=6&amp;number=1382000&amp;sourceID=14","1382000")</f>
        <v>1382000</v>
      </c>
      <c r="G2406" s="4" t="str">
        <f>HYPERLINK("http://141.218.60.56/~jnz1568/getInfo.php?workbook=14_04.xlsx&amp;sheet=A0&amp;row=2406&amp;col=7&amp;number=0&amp;sourceID=14","0")</f>
        <v>0</v>
      </c>
    </row>
    <row r="2407" spans="1:7">
      <c r="A2407" s="3">
        <v>14</v>
      </c>
      <c r="B2407" s="3">
        <v>4</v>
      </c>
      <c r="C2407" s="3">
        <v>82</v>
      </c>
      <c r="D2407" s="3">
        <v>45</v>
      </c>
      <c r="E2407" s="3">
        <v>-158.43</v>
      </c>
      <c r="F2407" s="4" t="str">
        <f>HYPERLINK("http://141.218.60.56/~jnz1568/getInfo.php?workbook=14_04.xlsx&amp;sheet=A0&amp;row=2407&amp;col=6&amp;number=104400&amp;sourceID=14","104400")</f>
        <v>104400</v>
      </c>
      <c r="G2407" s="4" t="str">
        <f>HYPERLINK("http://141.218.60.56/~jnz1568/getInfo.php?workbook=14_04.xlsx&amp;sheet=A0&amp;row=2407&amp;col=7&amp;number=0&amp;sourceID=14","0")</f>
        <v>0</v>
      </c>
    </row>
    <row r="2408" spans="1:7">
      <c r="A2408" s="3">
        <v>14</v>
      </c>
      <c r="B2408" s="3">
        <v>4</v>
      </c>
      <c r="C2408" s="3">
        <v>86</v>
      </c>
      <c r="D2408" s="3">
        <v>45</v>
      </c>
      <c r="E2408" s="3">
        <v>-141.492</v>
      </c>
      <c r="F2408" s="4" t="str">
        <f>HYPERLINK("http://141.218.60.56/~jnz1568/getInfo.php?workbook=14_04.xlsx&amp;sheet=A0&amp;row=2408&amp;col=6&amp;number=3641&amp;sourceID=14","3641")</f>
        <v>3641</v>
      </c>
      <c r="G2408" s="4" t="str">
        <f>HYPERLINK("http://141.218.60.56/~jnz1568/getInfo.php?workbook=14_04.xlsx&amp;sheet=A0&amp;row=2408&amp;col=7&amp;number=0&amp;sourceID=14","0")</f>
        <v>0</v>
      </c>
    </row>
    <row r="2409" spans="1:7">
      <c r="A2409" s="3">
        <v>14</v>
      </c>
      <c r="B2409" s="3">
        <v>4</v>
      </c>
      <c r="C2409" s="3">
        <v>87</v>
      </c>
      <c r="D2409" s="3">
        <v>45</v>
      </c>
      <c r="E2409" s="3">
        <v>139.489</v>
      </c>
      <c r="F2409" s="4" t="str">
        <f>HYPERLINK("http://141.218.60.56/~jnz1568/getInfo.php?workbook=14_04.xlsx&amp;sheet=A0&amp;row=2409&amp;col=6&amp;number=14.46&amp;sourceID=14","14.46")</f>
        <v>14.46</v>
      </c>
      <c r="G2409" s="4" t="str">
        <f>HYPERLINK("http://141.218.60.56/~jnz1568/getInfo.php?workbook=14_04.xlsx&amp;sheet=A0&amp;row=2409&amp;col=7&amp;number=0&amp;sourceID=14","0")</f>
        <v>0</v>
      </c>
    </row>
    <row r="2410" spans="1:7">
      <c r="A2410" s="3">
        <v>14</v>
      </c>
      <c r="B2410" s="3">
        <v>4</v>
      </c>
      <c r="C2410" s="3">
        <v>88</v>
      </c>
      <c r="D2410" s="3">
        <v>45</v>
      </c>
      <c r="E2410" s="3">
        <v>-140.923</v>
      </c>
      <c r="F2410" s="4" t="str">
        <f>HYPERLINK("http://141.218.60.56/~jnz1568/getInfo.php?workbook=14_04.xlsx&amp;sheet=A0&amp;row=2410&amp;col=6&amp;number=380600&amp;sourceID=14","380600")</f>
        <v>380600</v>
      </c>
      <c r="G2410" s="4" t="str">
        <f>HYPERLINK("http://141.218.60.56/~jnz1568/getInfo.php?workbook=14_04.xlsx&amp;sheet=A0&amp;row=2410&amp;col=7&amp;number=0&amp;sourceID=14","0")</f>
        <v>0</v>
      </c>
    </row>
    <row r="2411" spans="1:7">
      <c r="A2411" s="3">
        <v>14</v>
      </c>
      <c r="B2411" s="3">
        <v>4</v>
      </c>
      <c r="C2411" s="3">
        <v>90</v>
      </c>
      <c r="D2411" s="3">
        <v>45</v>
      </c>
      <c r="E2411" s="3">
        <v>138.603</v>
      </c>
      <c r="F2411" s="4" t="str">
        <f>HYPERLINK("http://141.218.60.56/~jnz1568/getInfo.php?workbook=14_04.xlsx&amp;sheet=A0&amp;row=2411&amp;col=6&amp;number=2351000&amp;sourceID=14","2351000")</f>
        <v>2351000</v>
      </c>
      <c r="G2411" s="4" t="str">
        <f>HYPERLINK("http://141.218.60.56/~jnz1568/getInfo.php?workbook=14_04.xlsx&amp;sheet=A0&amp;row=2411&amp;col=7&amp;number=0&amp;sourceID=14","0")</f>
        <v>0</v>
      </c>
    </row>
    <row r="2412" spans="1:7">
      <c r="A2412" s="3">
        <v>14</v>
      </c>
      <c r="B2412" s="3">
        <v>4</v>
      </c>
      <c r="C2412" s="3">
        <v>91</v>
      </c>
      <c r="D2412" s="3">
        <v>45</v>
      </c>
      <c r="E2412" s="3">
        <v>138.619</v>
      </c>
      <c r="F2412" s="4" t="str">
        <f>HYPERLINK("http://141.218.60.56/~jnz1568/getInfo.php?workbook=14_04.xlsx&amp;sheet=A0&amp;row=2412&amp;col=6&amp;number=4620&amp;sourceID=14","4620")</f>
        <v>4620</v>
      </c>
      <c r="G2412" s="4" t="str">
        <f>HYPERLINK("http://141.218.60.56/~jnz1568/getInfo.php?workbook=14_04.xlsx&amp;sheet=A0&amp;row=2412&amp;col=7&amp;number=0&amp;sourceID=14","0")</f>
        <v>0</v>
      </c>
    </row>
    <row r="2413" spans="1:7">
      <c r="A2413" s="3">
        <v>14</v>
      </c>
      <c r="B2413" s="3">
        <v>4</v>
      </c>
      <c r="C2413" s="3">
        <v>92</v>
      </c>
      <c r="D2413" s="3">
        <v>45</v>
      </c>
      <c r="E2413" s="3">
        <v>137.869</v>
      </c>
      <c r="F2413" s="4" t="str">
        <f>HYPERLINK("http://141.218.60.56/~jnz1568/getInfo.php?workbook=14_04.xlsx&amp;sheet=A0&amp;row=2413&amp;col=6&amp;number=1584000000&amp;sourceID=14","1584000000")</f>
        <v>1584000000</v>
      </c>
      <c r="G2413" s="4" t="str">
        <f>HYPERLINK("http://141.218.60.56/~jnz1568/getInfo.php?workbook=14_04.xlsx&amp;sheet=A0&amp;row=2413&amp;col=7&amp;number=0&amp;sourceID=14","0")</f>
        <v>0</v>
      </c>
    </row>
    <row r="2414" spans="1:7">
      <c r="A2414" s="3">
        <v>14</v>
      </c>
      <c r="B2414" s="3">
        <v>4</v>
      </c>
      <c r="C2414" s="3">
        <v>47</v>
      </c>
      <c r="D2414" s="3">
        <v>46</v>
      </c>
      <c r="E2414" s="3">
        <v>283.275</v>
      </c>
      <c r="F2414" s="4" t="str">
        <f>HYPERLINK("http://141.218.60.56/~jnz1568/getInfo.php?workbook=14_04.xlsx&amp;sheet=A0&amp;row=2414&amp;col=6&amp;number=147100&amp;sourceID=14","147100")</f>
        <v>147100</v>
      </c>
      <c r="G2414" s="4" t="str">
        <f>HYPERLINK("http://141.218.60.56/~jnz1568/getInfo.php?workbook=14_04.xlsx&amp;sheet=A0&amp;row=2414&amp;col=7&amp;number=0&amp;sourceID=14","0")</f>
        <v>0</v>
      </c>
    </row>
    <row r="2415" spans="1:7">
      <c r="A2415" s="3">
        <v>14</v>
      </c>
      <c r="B2415" s="3">
        <v>4</v>
      </c>
      <c r="C2415" s="3">
        <v>48</v>
      </c>
      <c r="D2415" s="3">
        <v>46</v>
      </c>
      <c r="E2415" s="3">
        <v>282.197</v>
      </c>
      <c r="F2415" s="4" t="str">
        <f>HYPERLINK("http://141.218.60.56/~jnz1568/getInfo.php?workbook=14_04.xlsx&amp;sheet=A0&amp;row=2415&amp;col=6&amp;number=6919000&amp;sourceID=14","6919000")</f>
        <v>6919000</v>
      </c>
      <c r="G2415" s="4" t="str">
        <f>HYPERLINK("http://141.218.60.56/~jnz1568/getInfo.php?workbook=14_04.xlsx&amp;sheet=A0&amp;row=2415&amp;col=7&amp;number=0&amp;sourceID=14","0")</f>
        <v>0</v>
      </c>
    </row>
    <row r="2416" spans="1:7">
      <c r="A2416" s="3">
        <v>14</v>
      </c>
      <c r="B2416" s="3">
        <v>4</v>
      </c>
      <c r="C2416" s="3">
        <v>49</v>
      </c>
      <c r="D2416" s="3">
        <v>46</v>
      </c>
      <c r="E2416" s="3">
        <v>248.716</v>
      </c>
      <c r="F2416" s="4" t="str">
        <f>HYPERLINK("http://141.218.60.56/~jnz1568/getInfo.php?workbook=14_04.xlsx&amp;sheet=A0&amp;row=2416&amp;col=6&amp;number=0.032&amp;sourceID=14","0.032")</f>
        <v>0.032</v>
      </c>
      <c r="G2416" s="4" t="str">
        <f>HYPERLINK("http://141.218.60.56/~jnz1568/getInfo.php?workbook=14_04.xlsx&amp;sheet=A0&amp;row=2416&amp;col=7&amp;number=0&amp;sourceID=14","0")</f>
        <v>0</v>
      </c>
    </row>
    <row r="2417" spans="1:7">
      <c r="A2417" s="3">
        <v>14</v>
      </c>
      <c r="B2417" s="3">
        <v>4</v>
      </c>
      <c r="C2417" s="3">
        <v>50</v>
      </c>
      <c r="D2417" s="3">
        <v>46</v>
      </c>
      <c r="E2417" s="3">
        <v>248.716</v>
      </c>
      <c r="F2417" s="4" t="str">
        <f>HYPERLINK("http://141.218.60.56/~jnz1568/getInfo.php?workbook=14_04.xlsx&amp;sheet=A0&amp;row=2417&amp;col=6&amp;number=74.65&amp;sourceID=14","74.65")</f>
        <v>74.65</v>
      </c>
      <c r="G2417" s="4" t="str">
        <f>HYPERLINK("http://141.218.60.56/~jnz1568/getInfo.php?workbook=14_04.xlsx&amp;sheet=A0&amp;row=2417&amp;col=7&amp;number=0&amp;sourceID=14","0")</f>
        <v>0</v>
      </c>
    </row>
    <row r="2418" spans="1:7">
      <c r="A2418" s="3">
        <v>14</v>
      </c>
      <c r="B2418" s="3">
        <v>4</v>
      </c>
      <c r="C2418" s="3">
        <v>51</v>
      </c>
      <c r="D2418" s="3">
        <v>46</v>
      </c>
      <c r="E2418" s="3">
        <v>248.275</v>
      </c>
      <c r="F2418" s="4" t="str">
        <f>HYPERLINK("http://141.218.60.56/~jnz1568/getInfo.php?workbook=14_04.xlsx&amp;sheet=A0&amp;row=2418&amp;col=6&amp;number=9.225&amp;sourceID=14","9.225")</f>
        <v>9.225</v>
      </c>
      <c r="G2418" s="4" t="str">
        <f>HYPERLINK("http://141.218.60.56/~jnz1568/getInfo.php?workbook=14_04.xlsx&amp;sheet=A0&amp;row=2418&amp;col=7&amp;number=0&amp;sourceID=14","0")</f>
        <v>0</v>
      </c>
    </row>
    <row r="2419" spans="1:7">
      <c r="A2419" s="3">
        <v>14</v>
      </c>
      <c r="B2419" s="3">
        <v>4</v>
      </c>
      <c r="C2419" s="3">
        <v>52</v>
      </c>
      <c r="D2419" s="3">
        <v>46</v>
      </c>
      <c r="E2419" s="3">
        <v>250.894</v>
      </c>
      <c r="F2419" s="4" t="str">
        <f>HYPERLINK("http://141.218.60.56/~jnz1568/getInfo.php?workbook=14_04.xlsx&amp;sheet=A0&amp;row=2419&amp;col=6&amp;number=1791&amp;sourceID=14","1791")</f>
        <v>1791</v>
      </c>
      <c r="G2419" s="4" t="str">
        <f>HYPERLINK("http://141.218.60.56/~jnz1568/getInfo.php?workbook=14_04.xlsx&amp;sheet=A0&amp;row=2419&amp;col=7&amp;number=0&amp;sourceID=14","0")</f>
        <v>0</v>
      </c>
    </row>
    <row r="2420" spans="1:7">
      <c r="A2420" s="3">
        <v>14</v>
      </c>
      <c r="B2420" s="3">
        <v>4</v>
      </c>
      <c r="C2420" s="3">
        <v>53</v>
      </c>
      <c r="D2420" s="3">
        <v>46</v>
      </c>
      <c r="E2420" s="3">
        <v>241.215</v>
      </c>
      <c r="F2420" s="4" t="str">
        <f>HYPERLINK("http://141.218.60.56/~jnz1568/getInfo.php?workbook=14_04.xlsx&amp;sheet=A0&amp;row=2420&amp;col=6&amp;number=628900&amp;sourceID=14","628900")</f>
        <v>628900</v>
      </c>
      <c r="G2420" s="4" t="str">
        <f>HYPERLINK("http://141.218.60.56/~jnz1568/getInfo.php?workbook=14_04.xlsx&amp;sheet=A0&amp;row=2420&amp;col=7&amp;number=0&amp;sourceID=14","0")</f>
        <v>0</v>
      </c>
    </row>
    <row r="2421" spans="1:7">
      <c r="A2421" s="3">
        <v>14</v>
      </c>
      <c r="B2421" s="3">
        <v>4</v>
      </c>
      <c r="C2421" s="3">
        <v>54</v>
      </c>
      <c r="D2421" s="3">
        <v>46</v>
      </c>
      <c r="E2421" s="3">
        <v>241.232</v>
      </c>
      <c r="F2421" s="4" t="str">
        <f>HYPERLINK("http://141.218.60.56/~jnz1568/getInfo.php?workbook=14_04.xlsx&amp;sheet=A0&amp;row=2421&amp;col=6&amp;number=651900&amp;sourceID=14","651900")</f>
        <v>651900</v>
      </c>
      <c r="G2421" s="4" t="str">
        <f>HYPERLINK("http://141.218.60.56/~jnz1568/getInfo.php?workbook=14_04.xlsx&amp;sheet=A0&amp;row=2421&amp;col=7&amp;number=0&amp;sourceID=14","0")</f>
        <v>0</v>
      </c>
    </row>
    <row r="2422" spans="1:7">
      <c r="A2422" s="3">
        <v>14</v>
      </c>
      <c r="B2422" s="3">
        <v>4</v>
      </c>
      <c r="C2422" s="3">
        <v>56</v>
      </c>
      <c r="D2422" s="3">
        <v>46</v>
      </c>
      <c r="E2422" s="3">
        <v>234.689</v>
      </c>
      <c r="F2422" s="4" t="str">
        <f>HYPERLINK("http://141.218.60.56/~jnz1568/getInfo.php?workbook=14_04.xlsx&amp;sheet=A0&amp;row=2422&amp;col=6&amp;number=710000000&amp;sourceID=14","710000000")</f>
        <v>710000000</v>
      </c>
      <c r="G2422" s="4" t="str">
        <f>HYPERLINK("http://141.218.60.56/~jnz1568/getInfo.php?workbook=14_04.xlsx&amp;sheet=A0&amp;row=2422&amp;col=7&amp;number=0&amp;sourceID=14","0")</f>
        <v>0</v>
      </c>
    </row>
    <row r="2423" spans="1:7">
      <c r="A2423" s="3">
        <v>14</v>
      </c>
      <c r="B2423" s="3">
        <v>4</v>
      </c>
      <c r="C2423" s="3">
        <v>57</v>
      </c>
      <c r="D2423" s="3">
        <v>46</v>
      </c>
      <c r="E2423" s="3">
        <v>-179.829</v>
      </c>
      <c r="F2423" s="4" t="str">
        <f>HYPERLINK("http://141.218.60.56/~jnz1568/getInfo.php?workbook=14_04.xlsx&amp;sheet=A0&amp;row=2423&amp;col=6&amp;number=0.0003219&amp;sourceID=14","0.0003219")</f>
        <v>0.0003219</v>
      </c>
      <c r="G2423" s="4" t="str">
        <f>HYPERLINK("http://141.218.60.56/~jnz1568/getInfo.php?workbook=14_04.xlsx&amp;sheet=A0&amp;row=2423&amp;col=7&amp;number=0&amp;sourceID=14","0")</f>
        <v>0</v>
      </c>
    </row>
    <row r="2424" spans="1:7">
      <c r="A2424" s="3">
        <v>14</v>
      </c>
      <c r="B2424" s="3">
        <v>4</v>
      </c>
      <c r="C2424" s="3">
        <v>58</v>
      </c>
      <c r="D2424" s="3">
        <v>46</v>
      </c>
      <c r="E2424" s="3">
        <v>-179.361</v>
      </c>
      <c r="F2424" s="4" t="str">
        <f>HYPERLINK("http://141.218.60.56/~jnz1568/getInfo.php?workbook=14_04.xlsx&amp;sheet=A0&amp;row=2424&amp;col=6&amp;number=25460&amp;sourceID=14","25460")</f>
        <v>25460</v>
      </c>
      <c r="G2424" s="4" t="str">
        <f>HYPERLINK("http://141.218.60.56/~jnz1568/getInfo.php?workbook=14_04.xlsx&amp;sheet=A0&amp;row=2424&amp;col=7&amp;number=0&amp;sourceID=14","0")</f>
        <v>0</v>
      </c>
    </row>
    <row r="2425" spans="1:7">
      <c r="A2425" s="3">
        <v>14</v>
      </c>
      <c r="B2425" s="3">
        <v>4</v>
      </c>
      <c r="C2425" s="3">
        <v>59</v>
      </c>
      <c r="D2425" s="3">
        <v>46</v>
      </c>
      <c r="E2425" s="3">
        <v>176.85</v>
      </c>
      <c r="F2425" s="4" t="str">
        <f>HYPERLINK("http://141.218.60.56/~jnz1568/getInfo.php?workbook=14_04.xlsx&amp;sheet=A0&amp;row=2425&amp;col=6&amp;number=43.67&amp;sourceID=14","43.67")</f>
        <v>43.67</v>
      </c>
      <c r="G2425" s="4" t="str">
        <f>HYPERLINK("http://141.218.60.56/~jnz1568/getInfo.php?workbook=14_04.xlsx&amp;sheet=A0&amp;row=2425&amp;col=7&amp;number=0&amp;sourceID=14","0")</f>
        <v>0</v>
      </c>
    </row>
    <row r="2426" spans="1:7">
      <c r="A2426" s="3">
        <v>14</v>
      </c>
      <c r="B2426" s="3">
        <v>4</v>
      </c>
      <c r="C2426" s="3">
        <v>60</v>
      </c>
      <c r="D2426" s="3">
        <v>46</v>
      </c>
      <c r="E2426" s="3">
        <v>-175.315</v>
      </c>
      <c r="F2426" s="4" t="str">
        <f>HYPERLINK("http://141.218.60.56/~jnz1568/getInfo.php?workbook=14_04.xlsx&amp;sheet=A0&amp;row=2426&amp;col=6&amp;number=477300&amp;sourceID=14","477300")</f>
        <v>477300</v>
      </c>
      <c r="G2426" s="4" t="str">
        <f>HYPERLINK("http://141.218.60.56/~jnz1568/getInfo.php?workbook=14_04.xlsx&amp;sheet=A0&amp;row=2426&amp;col=7&amp;number=0&amp;sourceID=14","0")</f>
        <v>0</v>
      </c>
    </row>
    <row r="2427" spans="1:7">
      <c r="A2427" s="3">
        <v>14</v>
      </c>
      <c r="B2427" s="3">
        <v>4</v>
      </c>
      <c r="C2427" s="3">
        <v>61</v>
      </c>
      <c r="D2427" s="3">
        <v>46</v>
      </c>
      <c r="E2427" s="3">
        <v>-171.722</v>
      </c>
      <c r="F2427" s="4" t="str">
        <f>HYPERLINK("http://141.218.60.56/~jnz1568/getInfo.php?workbook=14_04.xlsx&amp;sheet=A0&amp;row=2427&amp;col=6&amp;number=1810000000&amp;sourceID=14","1810000000")</f>
        <v>1810000000</v>
      </c>
      <c r="G2427" s="4" t="str">
        <f>HYPERLINK("http://141.218.60.56/~jnz1568/getInfo.php?workbook=14_04.xlsx&amp;sheet=A0&amp;row=2427&amp;col=7&amp;number=0&amp;sourceID=14","0")</f>
        <v>0</v>
      </c>
    </row>
    <row r="2428" spans="1:7">
      <c r="A2428" s="3">
        <v>14</v>
      </c>
      <c r="B2428" s="3">
        <v>4</v>
      </c>
      <c r="C2428" s="3">
        <v>62</v>
      </c>
      <c r="D2428" s="3">
        <v>46</v>
      </c>
      <c r="E2428" s="3">
        <v>-173.023</v>
      </c>
      <c r="F2428" s="4" t="str">
        <f>HYPERLINK("http://141.218.60.56/~jnz1568/getInfo.php?workbook=14_04.xlsx&amp;sheet=A0&amp;row=2428&amp;col=6&amp;number=1900000000&amp;sourceID=14","1900000000")</f>
        <v>1900000000</v>
      </c>
      <c r="G2428" s="4" t="str">
        <f>HYPERLINK("http://141.218.60.56/~jnz1568/getInfo.php?workbook=14_04.xlsx&amp;sheet=A0&amp;row=2428&amp;col=7&amp;number=0&amp;sourceID=14","0")</f>
        <v>0</v>
      </c>
    </row>
    <row r="2429" spans="1:7">
      <c r="A2429" s="3">
        <v>14</v>
      </c>
      <c r="B2429" s="3">
        <v>4</v>
      </c>
      <c r="C2429" s="3">
        <v>63</v>
      </c>
      <c r="D2429" s="3">
        <v>46</v>
      </c>
      <c r="E2429" s="3">
        <v>-171.647</v>
      </c>
      <c r="F2429" s="4" t="str">
        <f>HYPERLINK("http://141.218.60.56/~jnz1568/getInfo.php?workbook=14_04.xlsx&amp;sheet=A0&amp;row=2429&amp;col=6&amp;number=37030000&amp;sourceID=14","37030000")</f>
        <v>37030000</v>
      </c>
      <c r="G2429" s="4" t="str">
        <f>HYPERLINK("http://141.218.60.56/~jnz1568/getInfo.php?workbook=14_04.xlsx&amp;sheet=A0&amp;row=2429&amp;col=7&amp;number=0&amp;sourceID=14","0")</f>
        <v>0</v>
      </c>
    </row>
    <row r="2430" spans="1:7">
      <c r="A2430" s="3">
        <v>14</v>
      </c>
      <c r="B2430" s="3">
        <v>4</v>
      </c>
      <c r="C2430" s="3">
        <v>65</v>
      </c>
      <c r="D2430" s="3">
        <v>46</v>
      </c>
      <c r="E2430" s="3">
        <v>-169.551</v>
      </c>
      <c r="F2430" s="4" t="str">
        <f>HYPERLINK("http://141.218.60.56/~jnz1568/getInfo.php?workbook=14_04.xlsx&amp;sheet=A0&amp;row=2430&amp;col=6&amp;number=950000000&amp;sourceID=14","950000000")</f>
        <v>950000000</v>
      </c>
      <c r="G2430" s="4" t="str">
        <f>HYPERLINK("http://141.218.60.56/~jnz1568/getInfo.php?workbook=14_04.xlsx&amp;sheet=A0&amp;row=2430&amp;col=7&amp;number=0&amp;sourceID=14","0")</f>
        <v>0</v>
      </c>
    </row>
    <row r="2431" spans="1:7">
      <c r="A2431" s="3">
        <v>14</v>
      </c>
      <c r="B2431" s="3">
        <v>4</v>
      </c>
      <c r="C2431" s="3">
        <v>66</v>
      </c>
      <c r="D2431" s="3">
        <v>46</v>
      </c>
      <c r="E2431" s="3">
        <v>-169.595</v>
      </c>
      <c r="F2431" s="4" t="str">
        <f>HYPERLINK("http://141.218.60.56/~jnz1568/getInfo.php?workbook=14_04.xlsx&amp;sheet=A0&amp;row=2431&amp;col=6&amp;number=44380000&amp;sourceID=14","44380000")</f>
        <v>44380000</v>
      </c>
      <c r="G2431" s="4" t="str">
        <f>HYPERLINK("http://141.218.60.56/~jnz1568/getInfo.php?workbook=14_04.xlsx&amp;sheet=A0&amp;row=2431&amp;col=7&amp;number=0&amp;sourceID=14","0")</f>
        <v>0</v>
      </c>
    </row>
    <row r="2432" spans="1:7">
      <c r="A2432" s="3">
        <v>14</v>
      </c>
      <c r="B2432" s="3">
        <v>4</v>
      </c>
      <c r="C2432" s="3">
        <v>67</v>
      </c>
      <c r="D2432" s="3">
        <v>46</v>
      </c>
      <c r="E2432" s="3">
        <v>-168.303</v>
      </c>
      <c r="F2432" s="4" t="str">
        <f>HYPERLINK("http://141.218.60.56/~jnz1568/getInfo.php?workbook=14_04.xlsx&amp;sheet=A0&amp;row=2432&amp;col=6&amp;number=540800&amp;sourceID=14","540800")</f>
        <v>540800</v>
      </c>
      <c r="G2432" s="4" t="str">
        <f>HYPERLINK("http://141.218.60.56/~jnz1568/getInfo.php?workbook=14_04.xlsx&amp;sheet=A0&amp;row=2432&amp;col=7&amp;number=0&amp;sourceID=14","0")</f>
        <v>0</v>
      </c>
    </row>
    <row r="2433" spans="1:7">
      <c r="A2433" s="3">
        <v>14</v>
      </c>
      <c r="B2433" s="3">
        <v>4</v>
      </c>
      <c r="C2433" s="3">
        <v>68</v>
      </c>
      <c r="D2433" s="3">
        <v>46</v>
      </c>
      <c r="E2433" s="3">
        <v>-168.079</v>
      </c>
      <c r="F2433" s="4" t="str">
        <f>HYPERLINK("http://141.218.60.56/~jnz1568/getInfo.php?workbook=14_04.xlsx&amp;sheet=A0&amp;row=2433&amp;col=6&amp;number=76950000&amp;sourceID=14","76950000")</f>
        <v>76950000</v>
      </c>
      <c r="G2433" s="4" t="str">
        <f>HYPERLINK("http://141.218.60.56/~jnz1568/getInfo.php?workbook=14_04.xlsx&amp;sheet=A0&amp;row=2433&amp;col=7&amp;number=0&amp;sourceID=14","0")</f>
        <v>0</v>
      </c>
    </row>
    <row r="2434" spans="1:7">
      <c r="A2434" s="3">
        <v>14</v>
      </c>
      <c r="B2434" s="3">
        <v>4</v>
      </c>
      <c r="C2434" s="3">
        <v>69</v>
      </c>
      <c r="D2434" s="3">
        <v>46</v>
      </c>
      <c r="E2434" s="3">
        <v>-167.851</v>
      </c>
      <c r="F2434" s="4" t="str">
        <f>HYPERLINK("http://141.218.60.56/~jnz1568/getInfo.php?workbook=14_04.xlsx&amp;sheet=A0&amp;row=2434&amp;col=6&amp;number=140900&amp;sourceID=14","140900")</f>
        <v>140900</v>
      </c>
      <c r="G2434" s="4" t="str">
        <f>HYPERLINK("http://141.218.60.56/~jnz1568/getInfo.php?workbook=14_04.xlsx&amp;sheet=A0&amp;row=2434&amp;col=7&amp;number=0&amp;sourceID=14","0")</f>
        <v>0</v>
      </c>
    </row>
    <row r="2435" spans="1:7">
      <c r="A2435" s="3">
        <v>14</v>
      </c>
      <c r="B2435" s="3">
        <v>4</v>
      </c>
      <c r="C2435" s="3">
        <v>70</v>
      </c>
      <c r="D2435" s="3">
        <v>46</v>
      </c>
      <c r="E2435" s="3">
        <v>-166.889</v>
      </c>
      <c r="F2435" s="4" t="str">
        <f>HYPERLINK("http://141.218.60.56/~jnz1568/getInfo.php?workbook=14_04.xlsx&amp;sheet=A0&amp;row=2435&amp;col=6&amp;number=313.2&amp;sourceID=14","313.2")</f>
        <v>313.2</v>
      </c>
      <c r="G2435" s="4" t="str">
        <f>HYPERLINK("http://141.218.60.56/~jnz1568/getInfo.php?workbook=14_04.xlsx&amp;sheet=A0&amp;row=2435&amp;col=7&amp;number=0&amp;sourceID=14","0")</f>
        <v>0</v>
      </c>
    </row>
    <row r="2436" spans="1:7">
      <c r="A2436" s="3">
        <v>14</v>
      </c>
      <c r="B2436" s="3">
        <v>4</v>
      </c>
      <c r="C2436" s="3">
        <v>71</v>
      </c>
      <c r="D2436" s="3">
        <v>46</v>
      </c>
      <c r="E2436" s="3">
        <v>-166.497</v>
      </c>
      <c r="F2436" s="4" t="str">
        <f>HYPERLINK("http://141.218.60.56/~jnz1568/getInfo.php?workbook=14_04.xlsx&amp;sheet=A0&amp;row=2436&amp;col=6&amp;number=449900&amp;sourceID=14","449900")</f>
        <v>449900</v>
      </c>
      <c r="G2436" s="4" t="str">
        <f>HYPERLINK("http://141.218.60.56/~jnz1568/getInfo.php?workbook=14_04.xlsx&amp;sheet=A0&amp;row=2436&amp;col=7&amp;number=0&amp;sourceID=14","0")</f>
        <v>0</v>
      </c>
    </row>
    <row r="2437" spans="1:7">
      <c r="A2437" s="3">
        <v>14</v>
      </c>
      <c r="B2437" s="3">
        <v>4</v>
      </c>
      <c r="C2437" s="3">
        <v>72</v>
      </c>
      <c r="D2437" s="3">
        <v>46</v>
      </c>
      <c r="E2437" s="3">
        <v>-165.895</v>
      </c>
      <c r="F2437" s="4" t="str">
        <f>HYPERLINK("http://141.218.60.56/~jnz1568/getInfo.php?workbook=14_04.xlsx&amp;sheet=A0&amp;row=2437&amp;col=6&amp;number=4126000000&amp;sourceID=14","4126000000")</f>
        <v>4126000000</v>
      </c>
      <c r="G2437" s="4" t="str">
        <f>HYPERLINK("http://141.218.60.56/~jnz1568/getInfo.php?workbook=14_04.xlsx&amp;sheet=A0&amp;row=2437&amp;col=7&amp;number=0&amp;sourceID=14","0")</f>
        <v>0</v>
      </c>
    </row>
    <row r="2438" spans="1:7">
      <c r="A2438" s="3">
        <v>14</v>
      </c>
      <c r="B2438" s="3">
        <v>4</v>
      </c>
      <c r="C2438" s="3">
        <v>74</v>
      </c>
      <c r="D2438" s="3">
        <v>46</v>
      </c>
      <c r="E2438" s="3">
        <v>-165.121</v>
      </c>
      <c r="F2438" s="4" t="str">
        <f>HYPERLINK("http://141.218.60.56/~jnz1568/getInfo.php?workbook=14_04.xlsx&amp;sheet=A0&amp;row=2438&amp;col=6&amp;number=7308&amp;sourceID=14","7308")</f>
        <v>7308</v>
      </c>
      <c r="G2438" s="4" t="str">
        <f>HYPERLINK("http://141.218.60.56/~jnz1568/getInfo.php?workbook=14_04.xlsx&amp;sheet=A0&amp;row=2438&amp;col=7&amp;number=0&amp;sourceID=14","0")</f>
        <v>0</v>
      </c>
    </row>
    <row r="2439" spans="1:7">
      <c r="A2439" s="3">
        <v>14</v>
      </c>
      <c r="B2439" s="3">
        <v>4</v>
      </c>
      <c r="C2439" s="3">
        <v>75</v>
      </c>
      <c r="D2439" s="3">
        <v>46</v>
      </c>
      <c r="E2439" s="3">
        <v>-164.599</v>
      </c>
      <c r="F2439" s="4" t="str">
        <f>HYPERLINK("http://141.218.60.56/~jnz1568/getInfo.php?workbook=14_04.xlsx&amp;sheet=A0&amp;row=2439&amp;col=6&amp;number=167300&amp;sourceID=14","167300")</f>
        <v>167300</v>
      </c>
      <c r="G2439" s="4" t="str">
        <f>HYPERLINK("http://141.218.60.56/~jnz1568/getInfo.php?workbook=14_04.xlsx&amp;sheet=A0&amp;row=2439&amp;col=7&amp;number=0&amp;sourceID=14","0")</f>
        <v>0</v>
      </c>
    </row>
    <row r="2440" spans="1:7">
      <c r="A2440" s="3">
        <v>14</v>
      </c>
      <c r="B2440" s="3">
        <v>4</v>
      </c>
      <c r="C2440" s="3">
        <v>76</v>
      </c>
      <c r="D2440" s="3">
        <v>46</v>
      </c>
      <c r="E2440" s="3">
        <v>161.13</v>
      </c>
      <c r="F2440" s="4" t="str">
        <f>HYPERLINK("http://141.218.60.56/~jnz1568/getInfo.php?workbook=14_04.xlsx&amp;sheet=A0&amp;row=2440&amp;col=6&amp;number=61.56&amp;sourceID=14","61.56")</f>
        <v>61.56</v>
      </c>
      <c r="G2440" s="4" t="str">
        <f>HYPERLINK("http://141.218.60.56/~jnz1568/getInfo.php?workbook=14_04.xlsx&amp;sheet=A0&amp;row=2440&amp;col=7&amp;number=0&amp;sourceID=14","0")</f>
        <v>0</v>
      </c>
    </row>
    <row r="2441" spans="1:7">
      <c r="A2441" s="3">
        <v>14</v>
      </c>
      <c r="B2441" s="3">
        <v>4</v>
      </c>
      <c r="C2441" s="3">
        <v>77</v>
      </c>
      <c r="D2441" s="3">
        <v>46</v>
      </c>
      <c r="E2441" s="3">
        <v>160.894</v>
      </c>
      <c r="F2441" s="4" t="str">
        <f>HYPERLINK("http://141.218.60.56/~jnz1568/getInfo.php?workbook=14_04.xlsx&amp;sheet=A0&amp;row=2441&amp;col=6&amp;number=21120&amp;sourceID=14","21120")</f>
        <v>21120</v>
      </c>
      <c r="G2441" s="4" t="str">
        <f>HYPERLINK("http://141.218.60.56/~jnz1568/getInfo.php?workbook=14_04.xlsx&amp;sheet=A0&amp;row=2441&amp;col=7&amp;number=0&amp;sourceID=14","0")</f>
        <v>0</v>
      </c>
    </row>
    <row r="2442" spans="1:7">
      <c r="A2442" s="3">
        <v>14</v>
      </c>
      <c r="B2442" s="3">
        <v>4</v>
      </c>
      <c r="C2442" s="3">
        <v>78</v>
      </c>
      <c r="D2442" s="3">
        <v>46</v>
      </c>
      <c r="E2442" s="3">
        <v>-163.013</v>
      </c>
      <c r="F2442" s="4" t="str">
        <f>HYPERLINK("http://141.218.60.56/~jnz1568/getInfo.php?workbook=14_04.xlsx&amp;sheet=A0&amp;row=2442&amp;col=6&amp;number=2555&amp;sourceID=14","2555")</f>
        <v>2555</v>
      </c>
      <c r="G2442" s="4" t="str">
        <f>HYPERLINK("http://141.218.60.56/~jnz1568/getInfo.php?workbook=14_04.xlsx&amp;sheet=A0&amp;row=2442&amp;col=7&amp;number=0&amp;sourceID=14","0")</f>
        <v>0</v>
      </c>
    </row>
    <row r="2443" spans="1:7">
      <c r="A2443" s="3">
        <v>14</v>
      </c>
      <c r="B2443" s="3">
        <v>4</v>
      </c>
      <c r="C2443" s="3">
        <v>79</v>
      </c>
      <c r="D2443" s="3">
        <v>46</v>
      </c>
      <c r="E2443" s="3">
        <v>-162.897</v>
      </c>
      <c r="F2443" s="4" t="str">
        <f>HYPERLINK("http://141.218.60.56/~jnz1568/getInfo.php?workbook=14_04.xlsx&amp;sheet=A0&amp;row=2443&amp;col=6&amp;number=0.249&amp;sourceID=14","0.249")</f>
        <v>0.249</v>
      </c>
      <c r="G2443" s="4" t="str">
        <f>HYPERLINK("http://141.218.60.56/~jnz1568/getInfo.php?workbook=14_04.xlsx&amp;sheet=A0&amp;row=2443&amp;col=7&amp;number=0&amp;sourceID=14","0")</f>
        <v>0</v>
      </c>
    </row>
    <row r="2444" spans="1:7">
      <c r="A2444" s="3">
        <v>14</v>
      </c>
      <c r="B2444" s="3">
        <v>4</v>
      </c>
      <c r="C2444" s="3">
        <v>80</v>
      </c>
      <c r="D2444" s="3">
        <v>46</v>
      </c>
      <c r="E2444" s="3">
        <v>163.619</v>
      </c>
      <c r="F2444" s="4" t="str">
        <f>HYPERLINK("http://141.218.60.56/~jnz1568/getInfo.php?workbook=14_04.xlsx&amp;sheet=A0&amp;row=2444&amp;col=6&amp;number=6573000000&amp;sourceID=14","6573000000")</f>
        <v>6573000000</v>
      </c>
      <c r="G2444" s="4" t="str">
        <f>HYPERLINK("http://141.218.60.56/~jnz1568/getInfo.php?workbook=14_04.xlsx&amp;sheet=A0&amp;row=2444&amp;col=7&amp;number=0&amp;sourceID=14","0")</f>
        <v>0</v>
      </c>
    </row>
    <row r="2445" spans="1:7">
      <c r="A2445" s="3">
        <v>14</v>
      </c>
      <c r="B2445" s="3">
        <v>4</v>
      </c>
      <c r="C2445" s="3">
        <v>81</v>
      </c>
      <c r="D2445" s="3">
        <v>46</v>
      </c>
      <c r="E2445" s="3">
        <v>158.315</v>
      </c>
      <c r="F2445" s="4" t="str">
        <f>HYPERLINK("http://141.218.60.56/~jnz1568/getInfo.php?workbook=14_04.xlsx&amp;sheet=A0&amp;row=2445&amp;col=6&amp;number=30550&amp;sourceID=14","30550")</f>
        <v>30550</v>
      </c>
      <c r="G2445" s="4" t="str">
        <f>HYPERLINK("http://141.218.60.56/~jnz1568/getInfo.php?workbook=14_04.xlsx&amp;sheet=A0&amp;row=2445&amp;col=7&amp;number=0&amp;sourceID=14","0")</f>
        <v>0</v>
      </c>
    </row>
    <row r="2446" spans="1:7">
      <c r="A2446" s="3">
        <v>14</v>
      </c>
      <c r="B2446" s="3">
        <v>4</v>
      </c>
      <c r="C2446" s="3">
        <v>82</v>
      </c>
      <c r="D2446" s="3">
        <v>46</v>
      </c>
      <c r="E2446" s="3">
        <v>-159.813</v>
      </c>
      <c r="F2446" s="4" t="str">
        <f>HYPERLINK("http://141.218.60.56/~jnz1568/getInfo.php?workbook=14_04.xlsx&amp;sheet=A0&amp;row=2446&amp;col=6&amp;number=556100&amp;sourceID=14","556100")</f>
        <v>556100</v>
      </c>
      <c r="G2446" s="4" t="str">
        <f>HYPERLINK("http://141.218.60.56/~jnz1568/getInfo.php?workbook=14_04.xlsx&amp;sheet=A0&amp;row=2446&amp;col=7&amp;number=0&amp;sourceID=14","0")</f>
        <v>0</v>
      </c>
    </row>
    <row r="2447" spans="1:7">
      <c r="A2447" s="3">
        <v>14</v>
      </c>
      <c r="B2447" s="3">
        <v>4</v>
      </c>
      <c r="C2447" s="3">
        <v>83</v>
      </c>
      <c r="D2447" s="3">
        <v>46</v>
      </c>
      <c r="E2447" s="3">
        <v>-145.635</v>
      </c>
      <c r="F2447" s="4" t="str">
        <f>HYPERLINK("http://141.218.60.56/~jnz1568/getInfo.php?workbook=14_04.xlsx&amp;sheet=A0&amp;row=2447&amp;col=6&amp;number=806100&amp;sourceID=14","806100")</f>
        <v>806100</v>
      </c>
      <c r="G2447" s="4" t="str">
        <f>HYPERLINK("http://141.218.60.56/~jnz1568/getInfo.php?workbook=14_04.xlsx&amp;sheet=A0&amp;row=2447&amp;col=7&amp;number=0&amp;sourceID=14","0")</f>
        <v>0</v>
      </c>
    </row>
    <row r="2448" spans="1:7">
      <c r="A2448" s="3">
        <v>14</v>
      </c>
      <c r="B2448" s="3">
        <v>4</v>
      </c>
      <c r="C2448" s="3">
        <v>84</v>
      </c>
      <c r="D2448" s="3">
        <v>46</v>
      </c>
      <c r="E2448" s="3">
        <v>-144.125</v>
      </c>
      <c r="F2448" s="4" t="str">
        <f>HYPERLINK("http://141.218.60.56/~jnz1568/getInfo.php?workbook=14_04.xlsx&amp;sheet=A0&amp;row=2448&amp;col=6&amp;number=573500000&amp;sourceID=14","573500000")</f>
        <v>573500000</v>
      </c>
      <c r="G2448" s="4" t="str">
        <f>HYPERLINK("http://141.218.60.56/~jnz1568/getInfo.php?workbook=14_04.xlsx&amp;sheet=A0&amp;row=2448&amp;col=7&amp;number=0&amp;sourceID=14","0")</f>
        <v>0</v>
      </c>
    </row>
    <row r="2449" spans="1:7">
      <c r="A2449" s="3">
        <v>14</v>
      </c>
      <c r="B2449" s="3">
        <v>4</v>
      </c>
      <c r="C2449" s="3">
        <v>85</v>
      </c>
      <c r="D2449" s="3">
        <v>46</v>
      </c>
      <c r="E2449" s="3">
        <v>-142.618</v>
      </c>
      <c r="F2449" s="4" t="str">
        <f>HYPERLINK("http://141.218.60.56/~jnz1568/getInfo.php?workbook=14_04.xlsx&amp;sheet=A0&amp;row=2449&amp;col=6&amp;number=0.01011&amp;sourceID=14","0.01011")</f>
        <v>0.01011</v>
      </c>
      <c r="G2449" s="4" t="str">
        <f>HYPERLINK("http://141.218.60.56/~jnz1568/getInfo.php?workbook=14_04.xlsx&amp;sheet=A0&amp;row=2449&amp;col=7&amp;number=0&amp;sourceID=14","0")</f>
        <v>0</v>
      </c>
    </row>
    <row r="2450" spans="1:7">
      <c r="A2450" s="3">
        <v>14</v>
      </c>
      <c r="B2450" s="3">
        <v>4</v>
      </c>
      <c r="C2450" s="3">
        <v>86</v>
      </c>
      <c r="D2450" s="3">
        <v>46</v>
      </c>
      <c r="E2450" s="3">
        <v>-142.594</v>
      </c>
      <c r="F2450" s="4" t="str">
        <f>HYPERLINK("http://141.218.60.56/~jnz1568/getInfo.php?workbook=14_04.xlsx&amp;sheet=A0&amp;row=2450&amp;col=6&amp;number=517.4&amp;sourceID=14","517.4")</f>
        <v>517.4</v>
      </c>
      <c r="G2450" s="4" t="str">
        <f>HYPERLINK("http://141.218.60.56/~jnz1568/getInfo.php?workbook=14_04.xlsx&amp;sheet=A0&amp;row=2450&amp;col=7&amp;number=0&amp;sourceID=14","0")</f>
        <v>0</v>
      </c>
    </row>
    <row r="2451" spans="1:7">
      <c r="A2451" s="3">
        <v>14</v>
      </c>
      <c r="B2451" s="3">
        <v>4</v>
      </c>
      <c r="C2451" s="3">
        <v>87</v>
      </c>
      <c r="D2451" s="3">
        <v>46</v>
      </c>
      <c r="E2451" s="3">
        <v>139.664</v>
      </c>
      <c r="F2451" s="4" t="str">
        <f>HYPERLINK("http://141.218.60.56/~jnz1568/getInfo.php?workbook=14_04.xlsx&amp;sheet=A0&amp;row=2451&amp;col=6&amp;number=139.3&amp;sourceID=14","139.3")</f>
        <v>139.3</v>
      </c>
      <c r="G2451" s="4" t="str">
        <f>HYPERLINK("http://141.218.60.56/~jnz1568/getInfo.php?workbook=14_04.xlsx&amp;sheet=A0&amp;row=2451&amp;col=7&amp;number=0&amp;sourceID=14","0")</f>
        <v>0</v>
      </c>
    </row>
    <row r="2452" spans="1:7">
      <c r="A2452" s="3">
        <v>14</v>
      </c>
      <c r="B2452" s="3">
        <v>4</v>
      </c>
      <c r="C2452" s="3">
        <v>88</v>
      </c>
      <c r="D2452" s="3">
        <v>46</v>
      </c>
      <c r="E2452" s="3">
        <v>-142.016</v>
      </c>
      <c r="F2452" s="4" t="str">
        <f>HYPERLINK("http://141.218.60.56/~jnz1568/getInfo.php?workbook=14_04.xlsx&amp;sheet=A0&amp;row=2452&amp;col=6&amp;number=75580&amp;sourceID=14","75580")</f>
        <v>75580</v>
      </c>
      <c r="G2452" s="4" t="str">
        <f>HYPERLINK("http://141.218.60.56/~jnz1568/getInfo.php?workbook=14_04.xlsx&amp;sheet=A0&amp;row=2452&amp;col=7&amp;number=0&amp;sourceID=14","0")</f>
        <v>0</v>
      </c>
    </row>
    <row r="2453" spans="1:7">
      <c r="A2453" s="3">
        <v>14</v>
      </c>
      <c r="B2453" s="3">
        <v>4</v>
      </c>
      <c r="C2453" s="3">
        <v>89</v>
      </c>
      <c r="D2453" s="3">
        <v>46</v>
      </c>
      <c r="E2453" s="3">
        <v>-140.894</v>
      </c>
      <c r="F2453" s="4" t="str">
        <f>HYPERLINK("http://141.218.60.56/~jnz1568/getInfo.php?workbook=14_04.xlsx&amp;sheet=A0&amp;row=2453&amp;col=6&amp;number=389500&amp;sourceID=14","389500")</f>
        <v>389500</v>
      </c>
      <c r="G2453" s="4" t="str">
        <f>HYPERLINK("http://141.218.60.56/~jnz1568/getInfo.php?workbook=14_04.xlsx&amp;sheet=A0&amp;row=2453&amp;col=7&amp;number=0&amp;sourceID=14","0")</f>
        <v>0</v>
      </c>
    </row>
    <row r="2454" spans="1:7">
      <c r="A2454" s="3">
        <v>14</v>
      </c>
      <c r="B2454" s="3">
        <v>4</v>
      </c>
      <c r="C2454" s="3">
        <v>90</v>
      </c>
      <c r="D2454" s="3">
        <v>46</v>
      </c>
      <c r="E2454" s="3">
        <v>138.776</v>
      </c>
      <c r="F2454" s="4" t="str">
        <f>HYPERLINK("http://141.218.60.56/~jnz1568/getInfo.php?workbook=14_04.xlsx&amp;sheet=A0&amp;row=2454&amp;col=6&amp;number=1378000&amp;sourceID=14","1378000")</f>
        <v>1378000</v>
      </c>
      <c r="G2454" s="4" t="str">
        <f>HYPERLINK("http://141.218.60.56/~jnz1568/getInfo.php?workbook=14_04.xlsx&amp;sheet=A0&amp;row=2454&amp;col=7&amp;number=0&amp;sourceID=14","0")</f>
        <v>0</v>
      </c>
    </row>
    <row r="2455" spans="1:7">
      <c r="A2455" s="3">
        <v>14</v>
      </c>
      <c r="B2455" s="3">
        <v>4</v>
      </c>
      <c r="C2455" s="3">
        <v>92</v>
      </c>
      <c r="D2455" s="3">
        <v>46</v>
      </c>
      <c r="E2455" s="3">
        <v>138.04</v>
      </c>
      <c r="F2455" s="4" t="str">
        <f>HYPERLINK("http://141.218.60.56/~jnz1568/getInfo.php?workbook=14_04.xlsx&amp;sheet=A0&amp;row=2455&amp;col=6&amp;number=137500000&amp;sourceID=14","137500000")</f>
        <v>137500000</v>
      </c>
      <c r="G2455" s="4" t="str">
        <f>HYPERLINK("http://141.218.60.56/~jnz1568/getInfo.php?workbook=14_04.xlsx&amp;sheet=A0&amp;row=2455&amp;col=7&amp;number=0&amp;sourceID=14","0")</f>
        <v>0</v>
      </c>
    </row>
    <row r="2456" spans="1:7">
      <c r="A2456" s="3">
        <v>14</v>
      </c>
      <c r="B2456" s="3">
        <v>4</v>
      </c>
      <c r="C2456" s="3">
        <v>48</v>
      </c>
      <c r="D2456" s="3">
        <v>47</v>
      </c>
      <c r="E2456" s="3">
        <v>74129.121</v>
      </c>
      <c r="F2456" s="4" t="str">
        <f>HYPERLINK("http://141.218.60.56/~jnz1568/getInfo.php?workbook=14_04.xlsx&amp;sheet=A0&amp;row=2456&amp;col=6&amp;number=7.368e-13&amp;sourceID=14","7.368e-13")</f>
        <v>7.368e-13</v>
      </c>
      <c r="G2456" s="4" t="str">
        <f>HYPERLINK("http://141.218.60.56/~jnz1568/getInfo.php?workbook=14_04.xlsx&amp;sheet=A0&amp;row=2456&amp;col=7&amp;number=0&amp;sourceID=14","0")</f>
        <v>0</v>
      </c>
    </row>
    <row r="2457" spans="1:7">
      <c r="A2457" s="3">
        <v>14</v>
      </c>
      <c r="B2457" s="3">
        <v>4</v>
      </c>
      <c r="C2457" s="3">
        <v>49</v>
      </c>
      <c r="D2457" s="3">
        <v>47</v>
      </c>
      <c r="E2457" s="3">
        <v>2038.657</v>
      </c>
      <c r="F2457" s="4" t="str">
        <f>HYPERLINK("http://141.218.60.56/~jnz1568/getInfo.php?workbook=14_04.xlsx&amp;sheet=A0&amp;row=2457&amp;col=6&amp;number=316500000&amp;sourceID=14","316500000")</f>
        <v>316500000</v>
      </c>
      <c r="G2457" s="4" t="str">
        <f>HYPERLINK("http://141.218.60.56/~jnz1568/getInfo.php?workbook=14_04.xlsx&amp;sheet=A0&amp;row=2457&amp;col=7&amp;number=0&amp;sourceID=14","0")</f>
        <v>0</v>
      </c>
    </row>
    <row r="2458" spans="1:7">
      <c r="A2458" s="3">
        <v>14</v>
      </c>
      <c r="B2458" s="3">
        <v>4</v>
      </c>
      <c r="C2458" s="3">
        <v>50</v>
      </c>
      <c r="D2458" s="3">
        <v>47</v>
      </c>
      <c r="E2458" s="3">
        <v>2038.657</v>
      </c>
      <c r="F2458" s="4" t="str">
        <f>HYPERLINK("http://141.218.60.56/~jnz1568/getInfo.php?workbook=14_04.xlsx&amp;sheet=A0&amp;row=2458&amp;col=6&amp;number=312400000&amp;sourceID=14","312400000")</f>
        <v>312400000</v>
      </c>
      <c r="G2458" s="4" t="str">
        <f>HYPERLINK("http://141.218.60.56/~jnz1568/getInfo.php?workbook=14_04.xlsx&amp;sheet=A0&amp;row=2458&amp;col=7&amp;number=0&amp;sourceID=14","0")</f>
        <v>0</v>
      </c>
    </row>
    <row r="2459" spans="1:7">
      <c r="A2459" s="3">
        <v>14</v>
      </c>
      <c r="B2459" s="3">
        <v>4</v>
      </c>
      <c r="C2459" s="3">
        <v>51</v>
      </c>
      <c r="D2459" s="3">
        <v>47</v>
      </c>
      <c r="E2459" s="3">
        <v>2009.408</v>
      </c>
      <c r="F2459" s="4" t="str">
        <f>HYPERLINK("http://141.218.60.56/~jnz1568/getInfo.php?workbook=14_04.xlsx&amp;sheet=A0&amp;row=2459&amp;col=6&amp;number=330700000&amp;sourceID=14","330700000")</f>
        <v>330700000</v>
      </c>
      <c r="G2459" s="4" t="str">
        <f>HYPERLINK("http://141.218.60.56/~jnz1568/getInfo.php?workbook=14_04.xlsx&amp;sheet=A0&amp;row=2459&amp;col=7&amp;number=0&amp;sourceID=14","0")</f>
        <v>0</v>
      </c>
    </row>
    <row r="2460" spans="1:7">
      <c r="A2460" s="3">
        <v>14</v>
      </c>
      <c r="B2460" s="3">
        <v>4</v>
      </c>
      <c r="C2460" s="3">
        <v>52</v>
      </c>
      <c r="D2460" s="3">
        <v>47</v>
      </c>
      <c r="E2460" s="3">
        <v>2194.864</v>
      </c>
      <c r="F2460" s="4" t="str">
        <f>HYPERLINK("http://141.218.60.56/~jnz1568/getInfo.php?workbook=14_04.xlsx&amp;sheet=A0&amp;row=2460&amp;col=6&amp;number=3297000&amp;sourceID=14","3297000")</f>
        <v>3297000</v>
      </c>
      <c r="G2460" s="4" t="str">
        <f>HYPERLINK("http://141.218.60.56/~jnz1568/getInfo.php?workbook=14_04.xlsx&amp;sheet=A0&amp;row=2460&amp;col=7&amp;number=0&amp;sourceID=14","0")</f>
        <v>0</v>
      </c>
    </row>
    <row r="2461" spans="1:7">
      <c r="A2461" s="3">
        <v>14</v>
      </c>
      <c r="B2461" s="3">
        <v>4</v>
      </c>
      <c r="C2461" s="3">
        <v>53</v>
      </c>
      <c r="D2461" s="3">
        <v>47</v>
      </c>
      <c r="E2461" s="3">
        <v>1624.593</v>
      </c>
      <c r="F2461" s="4" t="str">
        <f>HYPERLINK("http://141.218.60.56/~jnz1568/getInfo.php?workbook=14_04.xlsx&amp;sheet=A0&amp;row=2461&amp;col=6&amp;number=356.7&amp;sourceID=14","356.7")</f>
        <v>356.7</v>
      </c>
      <c r="G2461" s="4" t="str">
        <f>HYPERLINK("http://141.218.60.56/~jnz1568/getInfo.php?workbook=14_04.xlsx&amp;sheet=A0&amp;row=2461&amp;col=7&amp;number=0&amp;sourceID=14","0")</f>
        <v>0</v>
      </c>
    </row>
    <row r="2462" spans="1:7">
      <c r="A2462" s="3">
        <v>14</v>
      </c>
      <c r="B2462" s="3">
        <v>4</v>
      </c>
      <c r="C2462" s="3">
        <v>54</v>
      </c>
      <c r="D2462" s="3">
        <v>47</v>
      </c>
      <c r="E2462" s="3">
        <v>1625.332</v>
      </c>
      <c r="F2462" s="4" t="str">
        <f>HYPERLINK("http://141.218.60.56/~jnz1568/getInfo.php?workbook=14_04.xlsx&amp;sheet=A0&amp;row=2462&amp;col=6&amp;number=355.6&amp;sourceID=14","355.6")</f>
        <v>355.6</v>
      </c>
      <c r="G2462" s="4" t="str">
        <f>HYPERLINK("http://141.218.60.56/~jnz1568/getInfo.php?workbook=14_04.xlsx&amp;sheet=A0&amp;row=2462&amp;col=7&amp;number=0&amp;sourceID=14","0")</f>
        <v>0</v>
      </c>
    </row>
    <row r="2463" spans="1:7">
      <c r="A2463" s="3">
        <v>14</v>
      </c>
      <c r="B2463" s="3">
        <v>4</v>
      </c>
      <c r="C2463" s="3">
        <v>55</v>
      </c>
      <c r="D2463" s="3">
        <v>47</v>
      </c>
      <c r="E2463" s="3">
        <v>1603.801</v>
      </c>
      <c r="F2463" s="4" t="str">
        <f>HYPERLINK("http://141.218.60.56/~jnz1568/getInfo.php?workbook=14_04.xlsx&amp;sheet=A0&amp;row=2463&amp;col=6&amp;number=380.4&amp;sourceID=14","380.4")</f>
        <v>380.4</v>
      </c>
      <c r="G2463" s="4" t="str">
        <f>HYPERLINK("http://141.218.60.56/~jnz1568/getInfo.php?workbook=14_04.xlsx&amp;sheet=A0&amp;row=2463&amp;col=7&amp;number=0&amp;sourceID=14","0")</f>
        <v>0</v>
      </c>
    </row>
    <row r="2464" spans="1:7">
      <c r="A2464" s="3">
        <v>14</v>
      </c>
      <c r="B2464" s="3">
        <v>4</v>
      </c>
      <c r="C2464" s="3">
        <v>56</v>
      </c>
      <c r="D2464" s="3">
        <v>47</v>
      </c>
      <c r="E2464" s="3">
        <v>1368.31</v>
      </c>
      <c r="F2464" s="4" t="str">
        <f>HYPERLINK("http://141.218.60.56/~jnz1568/getInfo.php?workbook=14_04.xlsx&amp;sheet=A0&amp;row=2464&amp;col=6&amp;number=0.1129&amp;sourceID=14","0.1129")</f>
        <v>0.1129</v>
      </c>
      <c r="G2464" s="4" t="str">
        <f>HYPERLINK("http://141.218.60.56/~jnz1568/getInfo.php?workbook=14_04.xlsx&amp;sheet=A0&amp;row=2464&amp;col=7&amp;number=0&amp;sourceID=14","0")</f>
        <v>0</v>
      </c>
    </row>
    <row r="2465" spans="1:7">
      <c r="A2465" s="3">
        <v>14</v>
      </c>
      <c r="B2465" s="3">
        <v>4</v>
      </c>
      <c r="C2465" s="3">
        <v>57</v>
      </c>
      <c r="D2465" s="3">
        <v>47</v>
      </c>
      <c r="E2465" s="3">
        <v>-500.892</v>
      </c>
      <c r="F2465" s="4" t="str">
        <f>HYPERLINK("http://141.218.60.56/~jnz1568/getInfo.php?workbook=14_04.xlsx&amp;sheet=A0&amp;row=2465&amp;col=6&amp;number=906000000&amp;sourceID=14","906000000")</f>
        <v>906000000</v>
      </c>
      <c r="G2465" s="4" t="str">
        <f>HYPERLINK("http://141.218.60.56/~jnz1568/getInfo.php?workbook=14_04.xlsx&amp;sheet=A0&amp;row=2465&amp;col=7&amp;number=0&amp;sourceID=14","0")</f>
        <v>0</v>
      </c>
    </row>
    <row r="2466" spans="1:7">
      <c r="A2466" s="3">
        <v>14</v>
      </c>
      <c r="B2466" s="3">
        <v>4</v>
      </c>
      <c r="C2466" s="3">
        <v>58</v>
      </c>
      <c r="D2466" s="3">
        <v>47</v>
      </c>
      <c r="E2466" s="3">
        <v>-497.276</v>
      </c>
      <c r="F2466" s="4" t="str">
        <f>HYPERLINK("http://141.218.60.56/~jnz1568/getInfo.php?workbook=14_04.xlsx&amp;sheet=A0&amp;row=2466&amp;col=6&amp;number=835900000&amp;sourceID=14","835900000")</f>
        <v>835900000</v>
      </c>
      <c r="G2466" s="4" t="str">
        <f>HYPERLINK("http://141.218.60.56/~jnz1568/getInfo.php?workbook=14_04.xlsx&amp;sheet=A0&amp;row=2466&amp;col=7&amp;number=0&amp;sourceID=14","0")</f>
        <v>0</v>
      </c>
    </row>
    <row r="2467" spans="1:7">
      <c r="A2467" s="3">
        <v>14</v>
      </c>
      <c r="B2467" s="3">
        <v>4</v>
      </c>
      <c r="C2467" s="3">
        <v>59</v>
      </c>
      <c r="D2467" s="3">
        <v>47</v>
      </c>
      <c r="E2467" s="3">
        <v>470.729</v>
      </c>
      <c r="F2467" s="4" t="str">
        <f>HYPERLINK("http://141.218.60.56/~jnz1568/getInfo.php?workbook=14_04.xlsx&amp;sheet=A0&amp;row=2467&amp;col=6&amp;number=1087000000&amp;sourceID=14","1087000000")</f>
        <v>1087000000</v>
      </c>
      <c r="G2467" s="4" t="str">
        <f>HYPERLINK("http://141.218.60.56/~jnz1568/getInfo.php?workbook=14_04.xlsx&amp;sheet=A0&amp;row=2467&amp;col=7&amp;number=0&amp;sourceID=14","0")</f>
        <v>0</v>
      </c>
    </row>
    <row r="2468" spans="1:7">
      <c r="A2468" s="3">
        <v>14</v>
      </c>
      <c r="B2468" s="3">
        <v>4</v>
      </c>
      <c r="C2468" s="3">
        <v>60</v>
      </c>
      <c r="D2468" s="3">
        <v>47</v>
      </c>
      <c r="E2468" s="3">
        <v>-467.377</v>
      </c>
      <c r="F2468" s="4" t="str">
        <f>HYPERLINK("http://141.218.60.56/~jnz1568/getInfo.php?workbook=14_04.xlsx&amp;sheet=A0&amp;row=2468&amp;col=6&amp;number=107100000&amp;sourceID=14","107100000")</f>
        <v>107100000</v>
      </c>
      <c r="G2468" s="4" t="str">
        <f>HYPERLINK("http://141.218.60.56/~jnz1568/getInfo.php?workbook=14_04.xlsx&amp;sheet=A0&amp;row=2468&amp;col=7&amp;number=0&amp;sourceID=14","0")</f>
        <v>0</v>
      </c>
    </row>
    <row r="2469" spans="1:7">
      <c r="A2469" s="3">
        <v>14</v>
      </c>
      <c r="B2469" s="3">
        <v>4</v>
      </c>
      <c r="C2469" s="3">
        <v>61</v>
      </c>
      <c r="D2469" s="3">
        <v>47</v>
      </c>
      <c r="E2469" s="3">
        <v>-442.685</v>
      </c>
      <c r="F2469" s="4" t="str">
        <f>HYPERLINK("http://141.218.60.56/~jnz1568/getInfo.php?workbook=14_04.xlsx&amp;sheet=A0&amp;row=2469&amp;col=6&amp;number=2.897&amp;sourceID=14","2.897")</f>
        <v>2.897</v>
      </c>
      <c r="G2469" s="4" t="str">
        <f>HYPERLINK("http://141.218.60.56/~jnz1568/getInfo.php?workbook=14_04.xlsx&amp;sheet=A0&amp;row=2469&amp;col=7&amp;number=0&amp;sourceID=14","0")</f>
        <v>0</v>
      </c>
    </row>
    <row r="2470" spans="1:7">
      <c r="A2470" s="3">
        <v>14</v>
      </c>
      <c r="B2470" s="3">
        <v>4</v>
      </c>
      <c r="C2470" s="3">
        <v>62</v>
      </c>
      <c r="D2470" s="3">
        <v>47</v>
      </c>
      <c r="E2470" s="3">
        <v>-451.43</v>
      </c>
      <c r="F2470" s="4" t="str">
        <f>HYPERLINK("http://141.218.60.56/~jnz1568/getInfo.php?workbook=14_04.xlsx&amp;sheet=A0&amp;row=2470&amp;col=6&amp;number=2.822&amp;sourceID=14","2.822")</f>
        <v>2.822</v>
      </c>
      <c r="G2470" s="4" t="str">
        <f>HYPERLINK("http://141.218.60.56/~jnz1568/getInfo.php?workbook=14_04.xlsx&amp;sheet=A0&amp;row=2470&amp;col=7&amp;number=0&amp;sourceID=14","0")</f>
        <v>0</v>
      </c>
    </row>
    <row r="2471" spans="1:7">
      <c r="A2471" s="3">
        <v>14</v>
      </c>
      <c r="B2471" s="3">
        <v>4</v>
      </c>
      <c r="C2471" s="3">
        <v>63</v>
      </c>
      <c r="D2471" s="3">
        <v>47</v>
      </c>
      <c r="E2471" s="3">
        <v>-442.185</v>
      </c>
      <c r="F2471" s="4" t="str">
        <f>HYPERLINK("http://141.218.60.56/~jnz1568/getInfo.php?workbook=14_04.xlsx&amp;sheet=A0&amp;row=2471&amp;col=6&amp;number=5.796&amp;sourceID=14","5.796")</f>
        <v>5.796</v>
      </c>
      <c r="G2471" s="4" t="str">
        <f>HYPERLINK("http://141.218.60.56/~jnz1568/getInfo.php?workbook=14_04.xlsx&amp;sheet=A0&amp;row=2471&amp;col=7&amp;number=0&amp;sourceID=14","0")</f>
        <v>0</v>
      </c>
    </row>
    <row r="2472" spans="1:7">
      <c r="A2472" s="3">
        <v>14</v>
      </c>
      <c r="B2472" s="3">
        <v>4</v>
      </c>
      <c r="C2472" s="3">
        <v>64</v>
      </c>
      <c r="D2472" s="3">
        <v>47</v>
      </c>
      <c r="E2472" s="3">
        <v>-431.821</v>
      </c>
      <c r="F2472" s="4" t="str">
        <f>HYPERLINK("http://141.218.60.56/~jnz1568/getInfo.php?workbook=14_04.xlsx&amp;sheet=A0&amp;row=2472&amp;col=6&amp;number=7.57&amp;sourceID=14","7.57")</f>
        <v>7.57</v>
      </c>
      <c r="G2472" s="4" t="str">
        <f>HYPERLINK("http://141.218.60.56/~jnz1568/getInfo.php?workbook=14_04.xlsx&amp;sheet=A0&amp;row=2472&amp;col=7&amp;number=0&amp;sourceID=14","0")</f>
        <v>0</v>
      </c>
    </row>
    <row r="2473" spans="1:7">
      <c r="A2473" s="3">
        <v>14</v>
      </c>
      <c r="B2473" s="3">
        <v>4</v>
      </c>
      <c r="C2473" s="3">
        <v>65</v>
      </c>
      <c r="D2473" s="3">
        <v>47</v>
      </c>
      <c r="E2473" s="3">
        <v>-428.538</v>
      </c>
      <c r="F2473" s="4" t="str">
        <f>HYPERLINK("http://141.218.60.56/~jnz1568/getInfo.php?workbook=14_04.xlsx&amp;sheet=A0&amp;row=2473&amp;col=6&amp;number=0.2523&amp;sourceID=14","0.2523")</f>
        <v>0.2523</v>
      </c>
      <c r="G2473" s="4" t="str">
        <f>HYPERLINK("http://141.218.60.56/~jnz1568/getInfo.php?workbook=14_04.xlsx&amp;sheet=A0&amp;row=2473&amp;col=7&amp;number=0&amp;sourceID=14","0")</f>
        <v>0</v>
      </c>
    </row>
    <row r="2474" spans="1:7">
      <c r="A2474" s="3">
        <v>14</v>
      </c>
      <c r="B2474" s="3">
        <v>4</v>
      </c>
      <c r="C2474" s="3">
        <v>66</v>
      </c>
      <c r="D2474" s="3">
        <v>47</v>
      </c>
      <c r="E2474" s="3">
        <v>-428.817</v>
      </c>
      <c r="F2474" s="4" t="str">
        <f>HYPERLINK("http://141.218.60.56/~jnz1568/getInfo.php?workbook=14_04.xlsx&amp;sheet=A0&amp;row=2474&amp;col=6&amp;number=0.7692&amp;sourceID=14","0.7692")</f>
        <v>0.7692</v>
      </c>
      <c r="G2474" s="4" t="str">
        <f>HYPERLINK("http://141.218.60.56/~jnz1568/getInfo.php?workbook=14_04.xlsx&amp;sheet=A0&amp;row=2474&amp;col=7&amp;number=0&amp;sourceID=14","0")</f>
        <v>0</v>
      </c>
    </row>
    <row r="2475" spans="1:7">
      <c r="A2475" s="3">
        <v>14</v>
      </c>
      <c r="B2475" s="3">
        <v>4</v>
      </c>
      <c r="C2475" s="3">
        <v>67</v>
      </c>
      <c r="D2475" s="3">
        <v>47</v>
      </c>
      <c r="E2475" s="3">
        <v>-420.654</v>
      </c>
      <c r="F2475" s="4" t="str">
        <f>HYPERLINK("http://141.218.60.56/~jnz1568/getInfo.php?workbook=14_04.xlsx&amp;sheet=A0&amp;row=2475&amp;col=6&amp;number=0.1726&amp;sourceID=14","0.1726")</f>
        <v>0.1726</v>
      </c>
      <c r="G2475" s="4" t="str">
        <f>HYPERLINK("http://141.218.60.56/~jnz1568/getInfo.php?workbook=14_04.xlsx&amp;sheet=A0&amp;row=2475&amp;col=7&amp;number=0&amp;sourceID=14","0")</f>
        <v>0</v>
      </c>
    </row>
    <row r="2476" spans="1:7">
      <c r="A2476" s="3">
        <v>14</v>
      </c>
      <c r="B2476" s="3">
        <v>4</v>
      </c>
      <c r="C2476" s="3">
        <v>68</v>
      </c>
      <c r="D2476" s="3">
        <v>47</v>
      </c>
      <c r="E2476" s="3">
        <v>-419.259</v>
      </c>
      <c r="F2476" s="4" t="str">
        <f>HYPERLINK("http://141.218.60.56/~jnz1568/getInfo.php?workbook=14_04.xlsx&amp;sheet=A0&amp;row=2476&amp;col=6&amp;number=0.5375&amp;sourceID=14","0.5375")</f>
        <v>0.5375</v>
      </c>
      <c r="G2476" s="4" t="str">
        <f>HYPERLINK("http://141.218.60.56/~jnz1568/getInfo.php?workbook=14_04.xlsx&amp;sheet=A0&amp;row=2476&amp;col=7&amp;number=0&amp;sourceID=14","0")</f>
        <v>0</v>
      </c>
    </row>
    <row r="2477" spans="1:7">
      <c r="A2477" s="3">
        <v>14</v>
      </c>
      <c r="B2477" s="3">
        <v>4</v>
      </c>
      <c r="C2477" s="3">
        <v>69</v>
      </c>
      <c r="D2477" s="3">
        <v>47</v>
      </c>
      <c r="E2477" s="3">
        <v>-417.837</v>
      </c>
      <c r="F2477" s="4" t="str">
        <f>HYPERLINK("http://141.218.60.56/~jnz1568/getInfo.php?workbook=14_04.xlsx&amp;sheet=A0&amp;row=2477&amp;col=6&amp;number=143600&amp;sourceID=14","143600")</f>
        <v>143600</v>
      </c>
      <c r="G2477" s="4" t="str">
        <f>HYPERLINK("http://141.218.60.56/~jnz1568/getInfo.php?workbook=14_04.xlsx&amp;sheet=A0&amp;row=2477&amp;col=7&amp;number=0&amp;sourceID=14","0")</f>
        <v>0</v>
      </c>
    </row>
    <row r="2478" spans="1:7">
      <c r="A2478" s="3">
        <v>14</v>
      </c>
      <c r="B2478" s="3">
        <v>4</v>
      </c>
      <c r="C2478" s="3">
        <v>71</v>
      </c>
      <c r="D2478" s="3">
        <v>47</v>
      </c>
      <c r="E2478" s="3">
        <v>-409.547</v>
      </c>
      <c r="F2478" s="4" t="str">
        <f>HYPERLINK("http://141.218.60.56/~jnz1568/getInfo.php?workbook=14_04.xlsx&amp;sheet=A0&amp;row=2478&amp;col=6&amp;number=2648000&amp;sourceID=14","2648000")</f>
        <v>2648000</v>
      </c>
      <c r="G2478" s="4" t="str">
        <f>HYPERLINK("http://141.218.60.56/~jnz1568/getInfo.php?workbook=14_04.xlsx&amp;sheet=A0&amp;row=2478&amp;col=7&amp;number=0&amp;sourceID=14","0")</f>
        <v>0</v>
      </c>
    </row>
    <row r="2479" spans="1:7">
      <c r="A2479" s="3">
        <v>14</v>
      </c>
      <c r="B2479" s="3">
        <v>4</v>
      </c>
      <c r="C2479" s="3">
        <v>72</v>
      </c>
      <c r="D2479" s="3">
        <v>47</v>
      </c>
      <c r="E2479" s="3">
        <v>-405.927</v>
      </c>
      <c r="F2479" s="4" t="str">
        <f>HYPERLINK("http://141.218.60.56/~jnz1568/getInfo.php?workbook=14_04.xlsx&amp;sheet=A0&amp;row=2479&amp;col=6&amp;number=0.5716&amp;sourceID=14","0.5716")</f>
        <v>0.5716</v>
      </c>
      <c r="G2479" s="4" t="str">
        <f>HYPERLINK("http://141.218.60.56/~jnz1568/getInfo.php?workbook=14_04.xlsx&amp;sheet=A0&amp;row=2479&amp;col=7&amp;number=0&amp;sourceID=14","0")</f>
        <v>0</v>
      </c>
    </row>
    <row r="2480" spans="1:7">
      <c r="A2480" s="3">
        <v>14</v>
      </c>
      <c r="B2480" s="3">
        <v>4</v>
      </c>
      <c r="C2480" s="3">
        <v>74</v>
      </c>
      <c r="D2480" s="3">
        <v>47</v>
      </c>
      <c r="E2480" s="3">
        <v>-401.32</v>
      </c>
      <c r="F2480" s="4" t="str">
        <f>HYPERLINK("http://141.218.60.56/~jnz1568/getInfo.php?workbook=14_04.xlsx&amp;sheet=A0&amp;row=2480&amp;col=6&amp;number=2151000&amp;sourceID=14","2151000")</f>
        <v>2151000</v>
      </c>
      <c r="G2480" s="4" t="str">
        <f>HYPERLINK("http://141.218.60.56/~jnz1568/getInfo.php?workbook=14_04.xlsx&amp;sheet=A0&amp;row=2480&amp;col=7&amp;number=0&amp;sourceID=14","0")</f>
        <v>0</v>
      </c>
    </row>
    <row r="2481" spans="1:7">
      <c r="A2481" s="3">
        <v>14</v>
      </c>
      <c r="B2481" s="3">
        <v>4</v>
      </c>
      <c r="C2481" s="3">
        <v>75</v>
      </c>
      <c r="D2481" s="3">
        <v>47</v>
      </c>
      <c r="E2481" s="3">
        <v>-398.255</v>
      </c>
      <c r="F2481" s="4" t="str">
        <f>HYPERLINK("http://141.218.60.56/~jnz1568/getInfo.php?workbook=14_04.xlsx&amp;sheet=A0&amp;row=2481&amp;col=6&amp;number=5004000&amp;sourceID=14","5004000")</f>
        <v>5004000</v>
      </c>
      <c r="G2481" s="4" t="str">
        <f>HYPERLINK("http://141.218.60.56/~jnz1568/getInfo.php?workbook=14_04.xlsx&amp;sheet=A0&amp;row=2481&amp;col=7&amp;number=0&amp;sourceID=14","0")</f>
        <v>0</v>
      </c>
    </row>
    <row r="2482" spans="1:7">
      <c r="A2482" s="3">
        <v>14</v>
      </c>
      <c r="B2482" s="3">
        <v>4</v>
      </c>
      <c r="C2482" s="3">
        <v>77</v>
      </c>
      <c r="D2482" s="3">
        <v>47</v>
      </c>
      <c r="E2482" s="3">
        <v>372.421</v>
      </c>
      <c r="F2482" s="4" t="str">
        <f>HYPERLINK("http://141.218.60.56/~jnz1568/getInfo.php?workbook=14_04.xlsx&amp;sheet=A0&amp;row=2482&amp;col=6&amp;number=15300000&amp;sourceID=14","15300000")</f>
        <v>15300000</v>
      </c>
      <c r="G2482" s="4" t="str">
        <f>HYPERLINK("http://141.218.60.56/~jnz1568/getInfo.php?workbook=14_04.xlsx&amp;sheet=A0&amp;row=2482&amp;col=7&amp;number=0&amp;sourceID=14","0")</f>
        <v>0</v>
      </c>
    </row>
    <row r="2483" spans="1:7">
      <c r="A2483" s="3">
        <v>14</v>
      </c>
      <c r="B2483" s="3">
        <v>4</v>
      </c>
      <c r="C2483" s="3">
        <v>78</v>
      </c>
      <c r="D2483" s="3">
        <v>47</v>
      </c>
      <c r="E2483" s="3">
        <v>-389.094</v>
      </c>
      <c r="F2483" s="4" t="str">
        <f>HYPERLINK("http://141.218.60.56/~jnz1568/getInfo.php?workbook=14_04.xlsx&amp;sheet=A0&amp;row=2483&amp;col=6&amp;number=14410000&amp;sourceID=14","14410000")</f>
        <v>14410000</v>
      </c>
      <c r="G2483" s="4" t="str">
        <f>HYPERLINK("http://141.218.60.56/~jnz1568/getInfo.php?workbook=14_04.xlsx&amp;sheet=A0&amp;row=2483&amp;col=7&amp;number=0&amp;sourceID=14","0")</f>
        <v>0</v>
      </c>
    </row>
    <row r="2484" spans="1:7">
      <c r="A2484" s="3">
        <v>14</v>
      </c>
      <c r="B2484" s="3">
        <v>4</v>
      </c>
      <c r="C2484" s="3">
        <v>79</v>
      </c>
      <c r="D2484" s="3">
        <v>47</v>
      </c>
      <c r="E2484" s="3">
        <v>-388.431</v>
      </c>
      <c r="F2484" s="4" t="str">
        <f>HYPERLINK("http://141.218.60.56/~jnz1568/getInfo.php?workbook=14_04.xlsx&amp;sheet=A0&amp;row=2484&amp;col=6&amp;number=15430000&amp;sourceID=14","15430000")</f>
        <v>15430000</v>
      </c>
      <c r="G2484" s="4" t="str">
        <f>HYPERLINK("http://141.218.60.56/~jnz1568/getInfo.php?workbook=14_04.xlsx&amp;sheet=A0&amp;row=2484&amp;col=7&amp;number=0&amp;sourceID=14","0")</f>
        <v>0</v>
      </c>
    </row>
    <row r="2485" spans="1:7">
      <c r="A2485" s="3">
        <v>14</v>
      </c>
      <c r="B2485" s="3">
        <v>4</v>
      </c>
      <c r="C2485" s="3">
        <v>80</v>
      </c>
      <c r="D2485" s="3">
        <v>47</v>
      </c>
      <c r="E2485" s="3">
        <v>387.35</v>
      </c>
      <c r="F2485" s="4" t="str">
        <f>HYPERLINK("http://141.218.60.56/~jnz1568/getInfo.php?workbook=14_04.xlsx&amp;sheet=A0&amp;row=2485&amp;col=6&amp;number=0.02766&amp;sourceID=14","0.02766")</f>
        <v>0.02766</v>
      </c>
      <c r="G2485" s="4" t="str">
        <f>HYPERLINK("http://141.218.60.56/~jnz1568/getInfo.php?workbook=14_04.xlsx&amp;sheet=A0&amp;row=2485&amp;col=7&amp;number=0&amp;sourceID=14","0")</f>
        <v>0</v>
      </c>
    </row>
    <row r="2486" spans="1:7">
      <c r="A2486" s="3">
        <v>14</v>
      </c>
      <c r="B2486" s="3">
        <v>4</v>
      </c>
      <c r="C2486" s="3">
        <v>82</v>
      </c>
      <c r="D2486" s="3">
        <v>47</v>
      </c>
      <c r="E2486" s="3">
        <v>-371.345</v>
      </c>
      <c r="F2486" s="4" t="str">
        <f>HYPERLINK("http://141.218.60.56/~jnz1568/getInfo.php?workbook=14_04.xlsx&amp;sheet=A0&amp;row=2486&amp;col=6&amp;number=446900&amp;sourceID=14","446900")</f>
        <v>446900</v>
      </c>
      <c r="G2486" s="4" t="str">
        <f>HYPERLINK("http://141.218.60.56/~jnz1568/getInfo.php?workbook=14_04.xlsx&amp;sheet=A0&amp;row=2486&amp;col=7&amp;number=0&amp;sourceID=14","0")</f>
        <v>0</v>
      </c>
    </row>
    <row r="2487" spans="1:7">
      <c r="A2487" s="3">
        <v>14</v>
      </c>
      <c r="B2487" s="3">
        <v>4</v>
      </c>
      <c r="C2487" s="3">
        <v>83</v>
      </c>
      <c r="D2487" s="3">
        <v>47</v>
      </c>
      <c r="E2487" s="3">
        <v>-302.838</v>
      </c>
      <c r="F2487" s="4" t="str">
        <f>HYPERLINK("http://141.218.60.56/~jnz1568/getInfo.php?workbook=14_04.xlsx&amp;sheet=A0&amp;row=2487&amp;col=6&amp;number=2.335e-05&amp;sourceID=14","2.335e-05")</f>
        <v>2.335e-05</v>
      </c>
      <c r="G2487" s="4" t="str">
        <f>HYPERLINK("http://141.218.60.56/~jnz1568/getInfo.php?workbook=14_04.xlsx&amp;sheet=A0&amp;row=2487&amp;col=7&amp;number=0&amp;sourceID=14","0")</f>
        <v>0</v>
      </c>
    </row>
    <row r="2488" spans="1:7">
      <c r="A2488" s="3">
        <v>14</v>
      </c>
      <c r="B2488" s="3">
        <v>4</v>
      </c>
      <c r="C2488" s="3">
        <v>84</v>
      </c>
      <c r="D2488" s="3">
        <v>47</v>
      </c>
      <c r="E2488" s="3">
        <v>-296.385</v>
      </c>
      <c r="F2488" s="4" t="str">
        <f>HYPERLINK("http://141.218.60.56/~jnz1568/getInfo.php?workbook=14_04.xlsx&amp;sheet=A0&amp;row=2488&amp;col=6&amp;number=0.0001463&amp;sourceID=14","0.0001463")</f>
        <v>0.0001463</v>
      </c>
      <c r="G2488" s="4" t="str">
        <f>HYPERLINK("http://141.218.60.56/~jnz1568/getInfo.php?workbook=14_04.xlsx&amp;sheet=A0&amp;row=2488&amp;col=7&amp;number=0&amp;sourceID=14","0")</f>
        <v>0</v>
      </c>
    </row>
    <row r="2489" spans="1:7">
      <c r="A2489" s="3">
        <v>14</v>
      </c>
      <c r="B2489" s="3">
        <v>4</v>
      </c>
      <c r="C2489" s="3">
        <v>85</v>
      </c>
      <c r="D2489" s="3">
        <v>47</v>
      </c>
      <c r="E2489" s="3">
        <v>-290.08</v>
      </c>
      <c r="F2489" s="4" t="str">
        <f>HYPERLINK("http://141.218.60.56/~jnz1568/getInfo.php?workbook=14_04.xlsx&amp;sheet=A0&amp;row=2489&amp;col=6&amp;number=8176000000&amp;sourceID=14","8176000000")</f>
        <v>8176000000</v>
      </c>
      <c r="G2489" s="4" t="str">
        <f>HYPERLINK("http://141.218.60.56/~jnz1568/getInfo.php?workbook=14_04.xlsx&amp;sheet=A0&amp;row=2489&amp;col=7&amp;number=0&amp;sourceID=14","0")</f>
        <v>0</v>
      </c>
    </row>
    <row r="2490" spans="1:7">
      <c r="A2490" s="3">
        <v>14</v>
      </c>
      <c r="B2490" s="3">
        <v>4</v>
      </c>
      <c r="C2490" s="3">
        <v>86</v>
      </c>
      <c r="D2490" s="3">
        <v>47</v>
      </c>
      <c r="E2490" s="3">
        <v>-289.978</v>
      </c>
      <c r="F2490" s="4" t="str">
        <f>HYPERLINK("http://141.218.60.56/~jnz1568/getInfo.php?workbook=14_04.xlsx&amp;sheet=A0&amp;row=2490&amp;col=6&amp;number=8106000000&amp;sourceID=14","8106000000")</f>
        <v>8106000000</v>
      </c>
      <c r="G2490" s="4" t="str">
        <f>HYPERLINK("http://141.218.60.56/~jnz1568/getInfo.php?workbook=14_04.xlsx&amp;sheet=A0&amp;row=2490&amp;col=7&amp;number=0&amp;sourceID=14","0")</f>
        <v>0</v>
      </c>
    </row>
    <row r="2491" spans="1:7">
      <c r="A2491" s="3">
        <v>14</v>
      </c>
      <c r="B2491" s="3">
        <v>4</v>
      </c>
      <c r="C2491" s="3">
        <v>87</v>
      </c>
      <c r="D2491" s="3">
        <v>47</v>
      </c>
      <c r="E2491" s="3">
        <v>275.489</v>
      </c>
      <c r="F2491" s="4" t="str">
        <f>HYPERLINK("http://141.218.60.56/~jnz1568/getInfo.php?workbook=14_04.xlsx&amp;sheet=A0&amp;row=2491&amp;col=6&amp;number=9415000000&amp;sourceID=14","9415000000")</f>
        <v>9415000000</v>
      </c>
      <c r="G2491" s="4" t="str">
        <f>HYPERLINK("http://141.218.60.56/~jnz1568/getInfo.php?workbook=14_04.xlsx&amp;sheet=A0&amp;row=2491&amp;col=7&amp;number=0&amp;sourceID=14","0")</f>
        <v>0</v>
      </c>
    </row>
    <row r="2492" spans="1:7">
      <c r="A2492" s="3">
        <v>14</v>
      </c>
      <c r="B2492" s="3">
        <v>4</v>
      </c>
      <c r="C2492" s="3">
        <v>88</v>
      </c>
      <c r="D2492" s="3">
        <v>47</v>
      </c>
      <c r="E2492" s="3">
        <v>-287.6</v>
      </c>
      <c r="F2492" s="4" t="str">
        <f>HYPERLINK("http://141.218.60.56/~jnz1568/getInfo.php?workbook=14_04.xlsx&amp;sheet=A0&amp;row=2492&amp;col=6&amp;number=42230000&amp;sourceID=14","42230000")</f>
        <v>42230000</v>
      </c>
      <c r="G2492" s="4" t="str">
        <f>HYPERLINK("http://141.218.60.56/~jnz1568/getInfo.php?workbook=14_04.xlsx&amp;sheet=A0&amp;row=2492&amp;col=7&amp;number=0&amp;sourceID=14","0")</f>
        <v>0</v>
      </c>
    </row>
    <row r="2493" spans="1:7">
      <c r="A2493" s="3">
        <v>14</v>
      </c>
      <c r="B2493" s="3">
        <v>4</v>
      </c>
      <c r="C2493" s="3">
        <v>89</v>
      </c>
      <c r="D2493" s="3">
        <v>47</v>
      </c>
      <c r="E2493" s="3">
        <v>-283.037</v>
      </c>
      <c r="F2493" s="4" t="str">
        <f>HYPERLINK("http://141.218.60.56/~jnz1568/getInfo.php?workbook=14_04.xlsx&amp;sheet=A0&amp;row=2493&amp;col=6&amp;number=1197000&amp;sourceID=14","1197000")</f>
        <v>1197000</v>
      </c>
      <c r="G2493" s="4" t="str">
        <f>HYPERLINK("http://141.218.60.56/~jnz1568/getInfo.php?workbook=14_04.xlsx&amp;sheet=A0&amp;row=2493&amp;col=7&amp;number=0&amp;sourceID=14","0")</f>
        <v>0</v>
      </c>
    </row>
    <row r="2494" spans="1:7">
      <c r="A2494" s="3">
        <v>14</v>
      </c>
      <c r="B2494" s="3">
        <v>4</v>
      </c>
      <c r="C2494" s="3">
        <v>90</v>
      </c>
      <c r="D2494" s="3">
        <v>47</v>
      </c>
      <c r="E2494" s="3">
        <v>272.056</v>
      </c>
      <c r="F2494" s="4" t="str">
        <f>HYPERLINK("http://141.218.60.56/~jnz1568/getInfo.php?workbook=14_04.xlsx&amp;sheet=A0&amp;row=2494&amp;col=6&amp;number=1458000&amp;sourceID=14","1458000")</f>
        <v>1458000</v>
      </c>
      <c r="G2494" s="4" t="str">
        <f>HYPERLINK("http://141.218.60.56/~jnz1568/getInfo.php?workbook=14_04.xlsx&amp;sheet=A0&amp;row=2494&amp;col=7&amp;number=0&amp;sourceID=14","0")</f>
        <v>0</v>
      </c>
    </row>
    <row r="2495" spans="1:7">
      <c r="A2495" s="3">
        <v>14</v>
      </c>
      <c r="B2495" s="3">
        <v>4</v>
      </c>
      <c r="C2495" s="3">
        <v>91</v>
      </c>
      <c r="D2495" s="3">
        <v>47</v>
      </c>
      <c r="E2495" s="3">
        <v>272.118</v>
      </c>
      <c r="F2495" s="4" t="str">
        <f>HYPERLINK("http://141.218.60.56/~jnz1568/getInfo.php?workbook=14_04.xlsx&amp;sheet=A0&amp;row=2495&amp;col=6&amp;number=1456000&amp;sourceID=14","1456000")</f>
        <v>1456000</v>
      </c>
      <c r="G2495" s="4" t="str">
        <f>HYPERLINK("http://141.218.60.56/~jnz1568/getInfo.php?workbook=14_04.xlsx&amp;sheet=A0&amp;row=2495&amp;col=7&amp;number=0&amp;sourceID=14","0")</f>
        <v>0</v>
      </c>
    </row>
    <row r="2496" spans="1:7">
      <c r="A2496" s="3">
        <v>14</v>
      </c>
      <c r="B2496" s="3">
        <v>4</v>
      </c>
      <c r="C2496" s="3">
        <v>92</v>
      </c>
      <c r="D2496" s="3">
        <v>47</v>
      </c>
      <c r="E2496" s="3">
        <v>269.24</v>
      </c>
      <c r="F2496" s="4" t="str">
        <f>HYPERLINK("http://141.218.60.56/~jnz1568/getInfo.php?workbook=14_04.xlsx&amp;sheet=A0&amp;row=2496&amp;col=6&amp;number=232.8&amp;sourceID=14","232.8")</f>
        <v>232.8</v>
      </c>
      <c r="G2496" s="4" t="str">
        <f>HYPERLINK("http://141.218.60.56/~jnz1568/getInfo.php?workbook=14_04.xlsx&amp;sheet=A0&amp;row=2496&amp;col=7&amp;number=0&amp;sourceID=14","0")</f>
        <v>0</v>
      </c>
    </row>
    <row r="2497" spans="1:7">
      <c r="A2497" s="3">
        <v>14</v>
      </c>
      <c r="B2497" s="3">
        <v>4</v>
      </c>
      <c r="C2497" s="3">
        <v>50</v>
      </c>
      <c r="D2497" s="3">
        <v>48</v>
      </c>
      <c r="E2497" s="3">
        <v>2096.308</v>
      </c>
      <c r="F2497" s="4" t="str">
        <f>HYPERLINK("http://141.218.60.56/~jnz1568/getInfo.php?workbook=14_04.xlsx&amp;sheet=A0&amp;row=2497&amp;col=6&amp;number=3636000&amp;sourceID=14","3636000")</f>
        <v>3636000</v>
      </c>
      <c r="G2497" s="4" t="str">
        <f>HYPERLINK("http://141.218.60.56/~jnz1568/getInfo.php?workbook=14_04.xlsx&amp;sheet=A0&amp;row=2497&amp;col=7&amp;number=0&amp;sourceID=14","0")</f>
        <v>0</v>
      </c>
    </row>
    <row r="2498" spans="1:7">
      <c r="A2498" s="3">
        <v>14</v>
      </c>
      <c r="B2498" s="3">
        <v>4</v>
      </c>
      <c r="C2498" s="3">
        <v>52</v>
      </c>
      <c r="D2498" s="3">
        <v>48</v>
      </c>
      <c r="E2498" s="3">
        <v>2261.834</v>
      </c>
      <c r="F2498" s="4" t="str">
        <f>HYPERLINK("http://141.218.60.56/~jnz1568/getInfo.php?workbook=14_04.xlsx&amp;sheet=A0&amp;row=2498&amp;col=6&amp;number=219300000&amp;sourceID=14","219300000")</f>
        <v>219300000</v>
      </c>
      <c r="G2498" s="4" t="str">
        <f>HYPERLINK("http://141.218.60.56/~jnz1568/getInfo.php?workbook=14_04.xlsx&amp;sheet=A0&amp;row=2498&amp;col=7&amp;number=0&amp;sourceID=14","0")</f>
        <v>0</v>
      </c>
    </row>
    <row r="2499" spans="1:7">
      <c r="A2499" s="3">
        <v>14</v>
      </c>
      <c r="B2499" s="3">
        <v>4</v>
      </c>
      <c r="C2499" s="3">
        <v>53</v>
      </c>
      <c r="D2499" s="3">
        <v>48</v>
      </c>
      <c r="E2499" s="3">
        <v>1660.995</v>
      </c>
      <c r="F2499" s="4" t="str">
        <f>HYPERLINK("http://141.218.60.56/~jnz1568/getInfo.php?workbook=14_04.xlsx&amp;sheet=A0&amp;row=2499&amp;col=6&amp;number=2.811e-09&amp;sourceID=14","2.811e-09")</f>
        <v>2.811e-09</v>
      </c>
      <c r="G2499" s="4" t="str">
        <f>HYPERLINK("http://141.218.60.56/~jnz1568/getInfo.php?workbook=14_04.xlsx&amp;sheet=A0&amp;row=2499&amp;col=7&amp;number=0&amp;sourceID=14","0")</f>
        <v>0</v>
      </c>
    </row>
    <row r="2500" spans="1:7">
      <c r="A2500" s="3">
        <v>14</v>
      </c>
      <c r="B2500" s="3">
        <v>4</v>
      </c>
      <c r="C2500" s="3">
        <v>54</v>
      </c>
      <c r="D2500" s="3">
        <v>48</v>
      </c>
      <c r="E2500" s="3">
        <v>1661.767</v>
      </c>
      <c r="F2500" s="4" t="str">
        <f>HYPERLINK("http://141.218.60.56/~jnz1568/getInfo.php?workbook=14_04.xlsx&amp;sheet=A0&amp;row=2500&amp;col=6&amp;number=0.04057&amp;sourceID=14","0.04057")</f>
        <v>0.04057</v>
      </c>
      <c r="G2500" s="4" t="str">
        <f>HYPERLINK("http://141.218.60.56/~jnz1568/getInfo.php?workbook=14_04.xlsx&amp;sheet=A0&amp;row=2500&amp;col=7&amp;number=0&amp;sourceID=14","0")</f>
        <v>0</v>
      </c>
    </row>
    <row r="2501" spans="1:7">
      <c r="A2501" s="3">
        <v>14</v>
      </c>
      <c r="B2501" s="3">
        <v>4</v>
      </c>
      <c r="C2501" s="3">
        <v>56</v>
      </c>
      <c r="D2501" s="3">
        <v>48</v>
      </c>
      <c r="E2501" s="3">
        <v>1394.042</v>
      </c>
      <c r="F2501" s="4" t="str">
        <f>HYPERLINK("http://141.218.60.56/~jnz1568/getInfo.php?workbook=14_04.xlsx&amp;sheet=A0&amp;row=2501&amp;col=6&amp;number=785.3&amp;sourceID=14","785.3")</f>
        <v>785.3</v>
      </c>
      <c r="G2501" s="4" t="str">
        <f>HYPERLINK("http://141.218.60.56/~jnz1568/getInfo.php?workbook=14_04.xlsx&amp;sheet=A0&amp;row=2501&amp;col=7&amp;number=0&amp;sourceID=14","0")</f>
        <v>0</v>
      </c>
    </row>
    <row r="2502" spans="1:7">
      <c r="A2502" s="3">
        <v>14</v>
      </c>
      <c r="B2502" s="3">
        <v>4</v>
      </c>
      <c r="C2502" s="3">
        <v>58</v>
      </c>
      <c r="D2502" s="3">
        <v>48</v>
      </c>
      <c r="E2502" s="3">
        <v>-527.893</v>
      </c>
      <c r="F2502" s="4" t="str">
        <f>HYPERLINK("http://141.218.60.56/~jnz1568/getInfo.php?workbook=14_04.xlsx&amp;sheet=A0&amp;row=2502&amp;col=6&amp;number=134300000&amp;sourceID=14","134300000")</f>
        <v>134300000</v>
      </c>
      <c r="G2502" s="4" t="str">
        <f>HYPERLINK("http://141.218.60.56/~jnz1568/getInfo.php?workbook=14_04.xlsx&amp;sheet=A0&amp;row=2502&amp;col=7&amp;number=0&amp;sourceID=14","0")</f>
        <v>0</v>
      </c>
    </row>
    <row r="2503" spans="1:7">
      <c r="A2503" s="3">
        <v>14</v>
      </c>
      <c r="B2503" s="3">
        <v>4</v>
      </c>
      <c r="C2503" s="3">
        <v>60</v>
      </c>
      <c r="D2503" s="3">
        <v>48</v>
      </c>
      <c r="E2503" s="3">
        <v>-494.324</v>
      </c>
      <c r="F2503" s="4" t="str">
        <f>HYPERLINK("http://141.218.60.56/~jnz1568/getInfo.php?workbook=14_04.xlsx&amp;sheet=A0&amp;row=2503&amp;col=6&amp;number=1487000000&amp;sourceID=14","1487000000")</f>
        <v>1487000000</v>
      </c>
      <c r="G2503" s="4" t="str">
        <f>HYPERLINK("http://141.218.60.56/~jnz1568/getInfo.php?workbook=14_04.xlsx&amp;sheet=A0&amp;row=2503&amp;col=7&amp;number=0&amp;sourceID=14","0")</f>
        <v>0</v>
      </c>
    </row>
    <row r="2504" spans="1:7">
      <c r="A2504" s="3">
        <v>14</v>
      </c>
      <c r="B2504" s="3">
        <v>4</v>
      </c>
      <c r="C2504" s="3">
        <v>61</v>
      </c>
      <c r="D2504" s="3">
        <v>48</v>
      </c>
      <c r="E2504" s="3">
        <v>-466.786</v>
      </c>
      <c r="F2504" s="4" t="str">
        <f>HYPERLINK("http://141.218.60.56/~jnz1568/getInfo.php?workbook=14_04.xlsx&amp;sheet=A0&amp;row=2504&amp;col=6&amp;number=0.06936&amp;sourceID=14","0.06936")</f>
        <v>0.06936</v>
      </c>
      <c r="G2504" s="4" t="str">
        <f>HYPERLINK("http://141.218.60.56/~jnz1568/getInfo.php?workbook=14_04.xlsx&amp;sheet=A0&amp;row=2504&amp;col=7&amp;number=0&amp;sourceID=14","0")</f>
        <v>0</v>
      </c>
    </row>
    <row r="2505" spans="1:7">
      <c r="A2505" s="3">
        <v>14</v>
      </c>
      <c r="B2505" s="3">
        <v>4</v>
      </c>
      <c r="C2505" s="3">
        <v>62</v>
      </c>
      <c r="D2505" s="3">
        <v>48</v>
      </c>
      <c r="E2505" s="3">
        <v>-476.52</v>
      </c>
      <c r="F2505" s="4" t="str">
        <f>HYPERLINK("http://141.218.60.56/~jnz1568/getInfo.php?workbook=14_04.xlsx&amp;sheet=A0&amp;row=2505&amp;col=6&amp;number=0.0007823&amp;sourceID=14","0.0007823")</f>
        <v>0.0007823</v>
      </c>
      <c r="G2505" s="4" t="str">
        <f>HYPERLINK("http://141.218.60.56/~jnz1568/getInfo.php?workbook=14_04.xlsx&amp;sheet=A0&amp;row=2505&amp;col=7&amp;number=0&amp;sourceID=14","0")</f>
        <v>0</v>
      </c>
    </row>
    <row r="2506" spans="1:7">
      <c r="A2506" s="3">
        <v>14</v>
      </c>
      <c r="B2506" s="3">
        <v>4</v>
      </c>
      <c r="C2506" s="3">
        <v>63</v>
      </c>
      <c r="D2506" s="3">
        <v>48</v>
      </c>
      <c r="E2506" s="3">
        <v>-466.23</v>
      </c>
      <c r="F2506" s="4" t="str">
        <f>HYPERLINK("http://141.218.60.56/~jnz1568/getInfo.php?workbook=14_04.xlsx&amp;sheet=A0&amp;row=2506&amp;col=6&amp;number=4.171&amp;sourceID=14","4.171")</f>
        <v>4.171</v>
      </c>
      <c r="G2506" s="4" t="str">
        <f>HYPERLINK("http://141.218.60.56/~jnz1568/getInfo.php?workbook=14_04.xlsx&amp;sheet=A0&amp;row=2506&amp;col=7&amp;number=0&amp;sourceID=14","0")</f>
        <v>0</v>
      </c>
    </row>
    <row r="2507" spans="1:7">
      <c r="A2507" s="3">
        <v>14</v>
      </c>
      <c r="B2507" s="3">
        <v>4</v>
      </c>
      <c r="C2507" s="3">
        <v>65</v>
      </c>
      <c r="D2507" s="3">
        <v>48</v>
      </c>
      <c r="E2507" s="3">
        <v>-451.084</v>
      </c>
      <c r="F2507" s="4" t="str">
        <f>HYPERLINK("http://141.218.60.56/~jnz1568/getInfo.php?workbook=14_04.xlsx&amp;sheet=A0&amp;row=2507&amp;col=6&amp;number=0.2221&amp;sourceID=14","0.2221")</f>
        <v>0.2221</v>
      </c>
      <c r="G2507" s="4" t="str">
        <f>HYPERLINK("http://141.218.60.56/~jnz1568/getInfo.php?workbook=14_04.xlsx&amp;sheet=A0&amp;row=2507&amp;col=7&amp;number=0&amp;sourceID=14","0")</f>
        <v>0</v>
      </c>
    </row>
    <row r="2508" spans="1:7">
      <c r="A2508" s="3">
        <v>14</v>
      </c>
      <c r="B2508" s="3">
        <v>4</v>
      </c>
      <c r="C2508" s="3">
        <v>67</v>
      </c>
      <c r="D2508" s="3">
        <v>48</v>
      </c>
      <c r="E2508" s="3">
        <v>-442.358</v>
      </c>
      <c r="F2508" s="4" t="str">
        <f>HYPERLINK("http://141.218.60.56/~jnz1568/getInfo.php?workbook=14_04.xlsx&amp;sheet=A0&amp;row=2508&amp;col=6&amp;number=0.5499&amp;sourceID=14","0.5499")</f>
        <v>0.5499</v>
      </c>
      <c r="G2508" s="4" t="str">
        <f>HYPERLINK("http://141.218.60.56/~jnz1568/getInfo.php?workbook=14_04.xlsx&amp;sheet=A0&amp;row=2508&amp;col=7&amp;number=0&amp;sourceID=14","0")</f>
        <v>0</v>
      </c>
    </row>
    <row r="2509" spans="1:7">
      <c r="A2509" s="3">
        <v>14</v>
      </c>
      <c r="B2509" s="3">
        <v>4</v>
      </c>
      <c r="C2509" s="3">
        <v>68</v>
      </c>
      <c r="D2509" s="3">
        <v>48</v>
      </c>
      <c r="E2509" s="3">
        <v>-440.815</v>
      </c>
      <c r="F2509" s="4" t="str">
        <f>HYPERLINK("http://141.218.60.56/~jnz1568/getInfo.php?workbook=14_04.xlsx&amp;sheet=A0&amp;row=2509&amp;col=6&amp;number=7.472&amp;sourceID=14","7.472")</f>
        <v>7.472</v>
      </c>
      <c r="G2509" s="4" t="str">
        <f>HYPERLINK("http://141.218.60.56/~jnz1568/getInfo.php?workbook=14_04.xlsx&amp;sheet=A0&amp;row=2509&amp;col=7&amp;number=0&amp;sourceID=14","0")</f>
        <v>0</v>
      </c>
    </row>
    <row r="2510" spans="1:7">
      <c r="A2510" s="3">
        <v>14</v>
      </c>
      <c r="B2510" s="3">
        <v>4</v>
      </c>
      <c r="C2510" s="3">
        <v>72</v>
      </c>
      <c r="D2510" s="3">
        <v>48</v>
      </c>
      <c r="E2510" s="3">
        <v>-426.101</v>
      </c>
      <c r="F2510" s="4" t="str">
        <f>HYPERLINK("http://141.218.60.56/~jnz1568/getInfo.php?workbook=14_04.xlsx&amp;sheet=A0&amp;row=2510&amp;col=6&amp;number=291.4&amp;sourceID=14","291.4")</f>
        <v>291.4</v>
      </c>
      <c r="G2510" s="4" t="str">
        <f>HYPERLINK("http://141.218.60.56/~jnz1568/getInfo.php?workbook=14_04.xlsx&amp;sheet=A0&amp;row=2510&amp;col=7&amp;number=0&amp;sourceID=14","0")</f>
        <v>0</v>
      </c>
    </row>
    <row r="2511" spans="1:7">
      <c r="A2511" s="3">
        <v>14</v>
      </c>
      <c r="B2511" s="3">
        <v>4</v>
      </c>
      <c r="C2511" s="3">
        <v>74</v>
      </c>
      <c r="D2511" s="3">
        <v>48</v>
      </c>
      <c r="E2511" s="3">
        <v>-421.028</v>
      </c>
      <c r="F2511" s="4" t="str">
        <f>HYPERLINK("http://141.218.60.56/~jnz1568/getInfo.php?workbook=14_04.xlsx&amp;sheet=A0&amp;row=2511&amp;col=6&amp;number=3090000&amp;sourceID=14","3090000")</f>
        <v>3090000</v>
      </c>
      <c r="G2511" s="4" t="str">
        <f>HYPERLINK("http://141.218.60.56/~jnz1568/getInfo.php?workbook=14_04.xlsx&amp;sheet=A0&amp;row=2511&amp;col=7&amp;number=0&amp;sourceID=14","0")</f>
        <v>0</v>
      </c>
    </row>
    <row r="2512" spans="1:7">
      <c r="A2512" s="3">
        <v>14</v>
      </c>
      <c r="B2512" s="3">
        <v>4</v>
      </c>
      <c r="C2512" s="3">
        <v>78</v>
      </c>
      <c r="D2512" s="3">
        <v>48</v>
      </c>
      <c r="E2512" s="3">
        <v>-407.591</v>
      </c>
      <c r="F2512" s="4" t="str">
        <f>HYPERLINK("http://141.218.60.56/~jnz1568/getInfo.php?workbook=14_04.xlsx&amp;sheet=A0&amp;row=2512&amp;col=6&amp;number=17580&amp;sourceID=14","17580")</f>
        <v>17580</v>
      </c>
      <c r="G2512" s="4" t="str">
        <f>HYPERLINK("http://141.218.60.56/~jnz1568/getInfo.php?workbook=14_04.xlsx&amp;sheet=A0&amp;row=2512&amp;col=7&amp;number=0&amp;sourceID=14","0")</f>
        <v>0</v>
      </c>
    </row>
    <row r="2513" spans="1:7">
      <c r="A2513" s="3">
        <v>14</v>
      </c>
      <c r="B2513" s="3">
        <v>4</v>
      </c>
      <c r="C2513" s="3">
        <v>82</v>
      </c>
      <c r="D2513" s="3">
        <v>48</v>
      </c>
      <c r="E2513" s="3">
        <v>-388.156</v>
      </c>
      <c r="F2513" s="4" t="str">
        <f>HYPERLINK("http://141.218.60.56/~jnz1568/getInfo.php?workbook=14_04.xlsx&amp;sheet=A0&amp;row=2513&amp;col=6&amp;number=66280000&amp;sourceID=14","66280000")</f>
        <v>66280000</v>
      </c>
      <c r="G2513" s="4" t="str">
        <f>HYPERLINK("http://141.218.60.56/~jnz1568/getInfo.php?workbook=14_04.xlsx&amp;sheet=A0&amp;row=2513&amp;col=7&amp;number=0&amp;sourceID=14","0")</f>
        <v>0</v>
      </c>
    </row>
    <row r="2514" spans="1:7">
      <c r="A2514" s="3">
        <v>14</v>
      </c>
      <c r="B2514" s="3">
        <v>4</v>
      </c>
      <c r="C2514" s="3">
        <v>83</v>
      </c>
      <c r="D2514" s="3">
        <v>48</v>
      </c>
      <c r="E2514" s="3">
        <v>-313.926</v>
      </c>
      <c r="F2514" s="4" t="str">
        <f>HYPERLINK("http://141.218.60.56/~jnz1568/getInfo.php?workbook=14_04.xlsx&amp;sheet=A0&amp;row=2514&amp;col=6&amp;number=1.901e-05&amp;sourceID=14","1.901e-05")</f>
        <v>1.901e-05</v>
      </c>
      <c r="G2514" s="4" t="str">
        <f>HYPERLINK("http://141.218.60.56/~jnz1568/getInfo.php?workbook=14_04.xlsx&amp;sheet=A0&amp;row=2514&amp;col=7&amp;number=0&amp;sourceID=14","0")</f>
        <v>0</v>
      </c>
    </row>
    <row r="2515" spans="1:7">
      <c r="A2515" s="3">
        <v>14</v>
      </c>
      <c r="B2515" s="3">
        <v>4</v>
      </c>
      <c r="C2515" s="3">
        <v>86</v>
      </c>
      <c r="D2515" s="3">
        <v>48</v>
      </c>
      <c r="E2515" s="3">
        <v>-300.129</v>
      </c>
      <c r="F2515" s="4" t="str">
        <f>HYPERLINK("http://141.218.60.56/~jnz1568/getInfo.php?workbook=14_04.xlsx&amp;sheet=A0&amp;row=2515&amp;col=6&amp;number=48000000&amp;sourceID=14","48000000")</f>
        <v>48000000</v>
      </c>
      <c r="G2515" s="4" t="str">
        <f>HYPERLINK("http://141.218.60.56/~jnz1568/getInfo.php?workbook=14_04.xlsx&amp;sheet=A0&amp;row=2515&amp;col=7&amp;number=0&amp;sourceID=14","0")</f>
        <v>0</v>
      </c>
    </row>
    <row r="2516" spans="1:7">
      <c r="A2516" s="3">
        <v>14</v>
      </c>
      <c r="B2516" s="3">
        <v>4</v>
      </c>
      <c r="C2516" s="3">
        <v>88</v>
      </c>
      <c r="D2516" s="3">
        <v>48</v>
      </c>
      <c r="E2516" s="3">
        <v>-297.582</v>
      </c>
      <c r="F2516" s="4" t="str">
        <f>HYPERLINK("http://141.218.60.56/~jnz1568/getInfo.php?workbook=14_04.xlsx&amp;sheet=A0&amp;row=2516&amp;col=6&amp;number=8593000000&amp;sourceID=14","8593000000")</f>
        <v>8593000000</v>
      </c>
      <c r="G2516" s="4" t="str">
        <f>HYPERLINK("http://141.218.60.56/~jnz1568/getInfo.php?workbook=14_04.xlsx&amp;sheet=A0&amp;row=2516&amp;col=7&amp;number=0&amp;sourceID=14","0")</f>
        <v>0</v>
      </c>
    </row>
    <row r="2517" spans="1:7">
      <c r="A2517" s="3">
        <v>14</v>
      </c>
      <c r="B2517" s="3">
        <v>4</v>
      </c>
      <c r="C2517" s="3">
        <v>89</v>
      </c>
      <c r="D2517" s="3">
        <v>48</v>
      </c>
      <c r="E2517" s="3">
        <v>-292.699</v>
      </c>
      <c r="F2517" s="4" t="str">
        <f>HYPERLINK("http://141.218.60.56/~jnz1568/getInfo.php?workbook=14_04.xlsx&amp;sheet=A0&amp;row=2517&amp;col=6&amp;number=1.025e-07&amp;sourceID=14","1.025e-07")</f>
        <v>1.025e-07</v>
      </c>
      <c r="G2517" s="4" t="str">
        <f>HYPERLINK("http://141.218.60.56/~jnz1568/getInfo.php?workbook=14_04.xlsx&amp;sheet=A0&amp;row=2517&amp;col=7&amp;number=0&amp;sourceID=14","0")</f>
        <v>0</v>
      </c>
    </row>
    <row r="2518" spans="1:7">
      <c r="A2518" s="3">
        <v>14</v>
      </c>
      <c r="B2518" s="3">
        <v>4</v>
      </c>
      <c r="C2518" s="3">
        <v>90</v>
      </c>
      <c r="D2518" s="3">
        <v>48</v>
      </c>
      <c r="E2518" s="3">
        <v>273.058</v>
      </c>
      <c r="F2518" s="4" t="str">
        <f>HYPERLINK("http://141.218.60.56/~jnz1568/getInfo.php?workbook=14_04.xlsx&amp;sheet=A0&amp;row=2518&amp;col=6&amp;number=268.8&amp;sourceID=14","268.8")</f>
        <v>268.8</v>
      </c>
      <c r="G2518" s="4" t="str">
        <f>HYPERLINK("http://141.218.60.56/~jnz1568/getInfo.php?workbook=14_04.xlsx&amp;sheet=A0&amp;row=2518&amp;col=7&amp;number=0&amp;sourceID=14","0")</f>
        <v>0</v>
      </c>
    </row>
    <row r="2519" spans="1:7">
      <c r="A2519" s="3">
        <v>14</v>
      </c>
      <c r="B2519" s="3">
        <v>4</v>
      </c>
      <c r="C2519" s="3">
        <v>92</v>
      </c>
      <c r="D2519" s="3">
        <v>48</v>
      </c>
      <c r="E2519" s="3">
        <v>270.221</v>
      </c>
      <c r="F2519" s="4" t="str">
        <f>HYPERLINK("http://141.218.60.56/~jnz1568/getInfo.php?workbook=14_04.xlsx&amp;sheet=A0&amp;row=2519&amp;col=6&amp;number=1671000&amp;sourceID=14","1671000")</f>
        <v>1671000</v>
      </c>
      <c r="G2519" s="4" t="str">
        <f>HYPERLINK("http://141.218.60.56/~jnz1568/getInfo.php?workbook=14_04.xlsx&amp;sheet=A0&amp;row=2519&amp;col=7&amp;number=0&amp;sourceID=14","0")</f>
        <v>0</v>
      </c>
    </row>
    <row r="2520" spans="1:7">
      <c r="A2520" s="3">
        <v>14</v>
      </c>
      <c r="B2520" s="3">
        <v>4</v>
      </c>
      <c r="C2520" s="3">
        <v>51</v>
      </c>
      <c r="D2520" s="3">
        <v>49</v>
      </c>
      <c r="E2520" s="3">
        <v>140056.28</v>
      </c>
      <c r="F2520" s="4" t="str">
        <f>HYPERLINK("http://141.218.60.56/~jnz1568/getInfo.php?workbook=14_04.xlsx&amp;sheet=A0&amp;row=2520&amp;col=6&amp;number=3.566e-08&amp;sourceID=14","3.566e-08")</f>
        <v>3.566e-08</v>
      </c>
      <c r="G2520" s="4" t="str">
        <f>HYPERLINK("http://141.218.60.56/~jnz1568/getInfo.php?workbook=14_04.xlsx&amp;sheet=A0&amp;row=2520&amp;col=7&amp;number=0&amp;sourceID=14","0")</f>
        <v>0</v>
      </c>
    </row>
    <row r="2521" spans="1:7">
      <c r="A2521" s="3">
        <v>14</v>
      </c>
      <c r="B2521" s="3">
        <v>4</v>
      </c>
      <c r="C2521" s="3">
        <v>53</v>
      </c>
      <c r="D2521" s="3">
        <v>49</v>
      </c>
      <c r="E2521" s="3">
        <v>7998.735</v>
      </c>
      <c r="F2521" s="4" t="str">
        <f>HYPERLINK("http://141.218.60.56/~jnz1568/getInfo.php?workbook=14_04.xlsx&amp;sheet=A0&amp;row=2521&amp;col=6&amp;number=2981000&amp;sourceID=14","2981000")</f>
        <v>2981000</v>
      </c>
      <c r="G2521" s="4" t="str">
        <f>HYPERLINK("http://141.218.60.56/~jnz1568/getInfo.php?workbook=14_04.xlsx&amp;sheet=A0&amp;row=2521&amp;col=7&amp;number=0&amp;sourceID=14","0")</f>
        <v>0</v>
      </c>
    </row>
    <row r="2522" spans="1:7">
      <c r="A2522" s="3">
        <v>14</v>
      </c>
      <c r="B2522" s="3">
        <v>4</v>
      </c>
      <c r="C2522" s="3">
        <v>58</v>
      </c>
      <c r="D2522" s="3">
        <v>49</v>
      </c>
      <c r="E2522" s="3">
        <v>-585.787</v>
      </c>
      <c r="F2522" s="4" t="str">
        <f>HYPERLINK("http://141.218.60.56/~jnz1568/getInfo.php?workbook=14_04.xlsx&amp;sheet=A0&amp;row=2522&amp;col=6&amp;number=0.005369&amp;sourceID=14","0.005369")</f>
        <v>0.005369</v>
      </c>
      <c r="G2522" s="4" t="str">
        <f>HYPERLINK("http://141.218.60.56/~jnz1568/getInfo.php?workbook=14_04.xlsx&amp;sheet=A0&amp;row=2522&amp;col=7&amp;number=0&amp;sourceID=14","0")</f>
        <v>0</v>
      </c>
    </row>
    <row r="2523" spans="1:7">
      <c r="A2523" s="3">
        <v>14</v>
      </c>
      <c r="B2523" s="3">
        <v>4</v>
      </c>
      <c r="C2523" s="3">
        <v>59</v>
      </c>
      <c r="D2523" s="3">
        <v>49</v>
      </c>
      <c r="E2523" s="3">
        <v>612.052</v>
      </c>
      <c r="F2523" s="4" t="str">
        <f>HYPERLINK("http://141.218.60.56/~jnz1568/getInfo.php?workbook=14_04.xlsx&amp;sheet=A0&amp;row=2523&amp;col=6&amp;number=0.7327&amp;sourceID=14","0.7327")</f>
        <v>0.7327</v>
      </c>
      <c r="G2523" s="4" t="str">
        <f>HYPERLINK("http://141.218.60.56/~jnz1568/getInfo.php?workbook=14_04.xlsx&amp;sheet=A0&amp;row=2523&amp;col=7&amp;number=0&amp;sourceID=14","0")</f>
        <v>0</v>
      </c>
    </row>
    <row r="2524" spans="1:7">
      <c r="A2524" s="3">
        <v>14</v>
      </c>
      <c r="B2524" s="3">
        <v>4</v>
      </c>
      <c r="C2524" s="3">
        <v>60</v>
      </c>
      <c r="D2524" s="3">
        <v>49</v>
      </c>
      <c r="E2524" s="3">
        <v>-544.737</v>
      </c>
      <c r="F2524" s="4" t="str">
        <f>HYPERLINK("http://141.218.60.56/~jnz1568/getInfo.php?workbook=14_04.xlsx&amp;sheet=A0&amp;row=2524&amp;col=6&amp;number=0.1748&amp;sourceID=14","0.1748")</f>
        <v>0.1748</v>
      </c>
      <c r="G2524" s="4" t="str">
        <f>HYPERLINK("http://141.218.60.56/~jnz1568/getInfo.php?workbook=14_04.xlsx&amp;sheet=A0&amp;row=2524&amp;col=7&amp;number=0&amp;sourceID=14","0")</f>
        <v>0</v>
      </c>
    </row>
    <row r="2525" spans="1:7">
      <c r="A2525" s="3">
        <v>14</v>
      </c>
      <c r="B2525" s="3">
        <v>4</v>
      </c>
      <c r="C2525" s="3">
        <v>61</v>
      </c>
      <c r="D2525" s="3">
        <v>49</v>
      </c>
      <c r="E2525" s="3">
        <v>-511.484</v>
      </c>
      <c r="F2525" s="4" t="str">
        <f>HYPERLINK("http://141.218.60.56/~jnz1568/getInfo.php?workbook=14_04.xlsx&amp;sheet=A0&amp;row=2525&amp;col=6&amp;number=195500000&amp;sourceID=14","195500000")</f>
        <v>195500000</v>
      </c>
      <c r="G2525" s="4" t="str">
        <f>HYPERLINK("http://141.218.60.56/~jnz1568/getInfo.php?workbook=14_04.xlsx&amp;sheet=A0&amp;row=2525&amp;col=7&amp;number=0&amp;sourceID=14","0")</f>
        <v>0</v>
      </c>
    </row>
    <row r="2526" spans="1:7">
      <c r="A2526" s="3">
        <v>14</v>
      </c>
      <c r="B2526" s="3">
        <v>4</v>
      </c>
      <c r="C2526" s="3">
        <v>62</v>
      </c>
      <c r="D2526" s="3">
        <v>49</v>
      </c>
      <c r="E2526" s="3">
        <v>-523.196</v>
      </c>
      <c r="F2526" s="4" t="str">
        <f>HYPERLINK("http://141.218.60.56/~jnz1568/getInfo.php?workbook=14_04.xlsx&amp;sheet=A0&amp;row=2526&amp;col=6&amp;number=217700000&amp;sourceID=14","217700000")</f>
        <v>217700000</v>
      </c>
      <c r="G2526" s="4" t="str">
        <f>HYPERLINK("http://141.218.60.56/~jnz1568/getInfo.php?workbook=14_04.xlsx&amp;sheet=A0&amp;row=2526&amp;col=7&amp;number=0&amp;sourceID=14","0")</f>
        <v>0</v>
      </c>
    </row>
    <row r="2527" spans="1:7">
      <c r="A2527" s="3">
        <v>14</v>
      </c>
      <c r="B2527" s="3">
        <v>4</v>
      </c>
      <c r="C2527" s="3">
        <v>65</v>
      </c>
      <c r="D2527" s="3">
        <v>49</v>
      </c>
      <c r="E2527" s="3">
        <v>-492.692</v>
      </c>
      <c r="F2527" s="4" t="str">
        <f>HYPERLINK("http://141.218.60.56/~jnz1568/getInfo.php?workbook=14_04.xlsx&amp;sheet=A0&amp;row=2527&amp;col=6&amp;number=17840000&amp;sourceID=14","17840000")</f>
        <v>17840000</v>
      </c>
      <c r="G2527" s="4" t="str">
        <f>HYPERLINK("http://141.218.60.56/~jnz1568/getInfo.php?workbook=14_04.xlsx&amp;sheet=A0&amp;row=2527&amp;col=7&amp;number=0&amp;sourceID=14","0")</f>
        <v>0</v>
      </c>
    </row>
    <row r="2528" spans="1:7">
      <c r="A2528" s="3">
        <v>14</v>
      </c>
      <c r="B2528" s="3">
        <v>4</v>
      </c>
      <c r="C2528" s="3">
        <v>67</v>
      </c>
      <c r="D2528" s="3">
        <v>49</v>
      </c>
      <c r="E2528" s="3">
        <v>-482.3</v>
      </c>
      <c r="F2528" s="4" t="str">
        <f>HYPERLINK("http://141.218.60.56/~jnz1568/getInfo.php?workbook=14_04.xlsx&amp;sheet=A0&amp;row=2528&amp;col=6&amp;number=708200000&amp;sourceID=14","708200000")</f>
        <v>708200000</v>
      </c>
      <c r="G2528" s="4" t="str">
        <f>HYPERLINK("http://141.218.60.56/~jnz1568/getInfo.php?workbook=14_04.xlsx&amp;sheet=A0&amp;row=2528&amp;col=7&amp;number=0&amp;sourceID=14","0")</f>
        <v>0</v>
      </c>
    </row>
    <row r="2529" spans="1:7">
      <c r="A2529" s="3">
        <v>14</v>
      </c>
      <c r="B2529" s="3">
        <v>4</v>
      </c>
      <c r="C2529" s="3">
        <v>69</v>
      </c>
      <c r="D2529" s="3">
        <v>49</v>
      </c>
      <c r="E2529" s="3">
        <v>-478.601</v>
      </c>
      <c r="F2529" s="4" t="str">
        <f>HYPERLINK("http://141.218.60.56/~jnz1568/getInfo.php?workbook=14_04.xlsx&amp;sheet=A0&amp;row=2529&amp;col=6&amp;number=304.9&amp;sourceID=14","304.9")</f>
        <v>304.9</v>
      </c>
      <c r="G2529" s="4" t="str">
        <f>HYPERLINK("http://141.218.60.56/~jnz1568/getInfo.php?workbook=14_04.xlsx&amp;sheet=A0&amp;row=2529&amp;col=7&amp;number=0&amp;sourceID=14","0")</f>
        <v>0</v>
      </c>
    </row>
    <row r="2530" spans="1:7">
      <c r="A2530" s="3">
        <v>14</v>
      </c>
      <c r="B2530" s="3">
        <v>4</v>
      </c>
      <c r="C2530" s="3">
        <v>71</v>
      </c>
      <c r="D2530" s="3">
        <v>49</v>
      </c>
      <c r="E2530" s="3">
        <v>-467.755</v>
      </c>
      <c r="F2530" s="4" t="str">
        <f>HYPERLINK("http://141.218.60.56/~jnz1568/getInfo.php?workbook=14_04.xlsx&amp;sheet=A0&amp;row=2530&amp;col=6&amp;number=27.01&amp;sourceID=14","27.01")</f>
        <v>27.01</v>
      </c>
      <c r="G2530" s="4" t="str">
        <f>HYPERLINK("http://141.218.60.56/~jnz1568/getInfo.php?workbook=14_04.xlsx&amp;sheet=A0&amp;row=2530&amp;col=7&amp;number=0&amp;sourceID=14","0")</f>
        <v>0</v>
      </c>
    </row>
    <row r="2531" spans="1:7">
      <c r="A2531" s="3">
        <v>14</v>
      </c>
      <c r="B2531" s="3">
        <v>4</v>
      </c>
      <c r="C2531" s="3">
        <v>74</v>
      </c>
      <c r="D2531" s="3">
        <v>49</v>
      </c>
      <c r="E2531" s="3">
        <v>-457.054</v>
      </c>
      <c r="F2531" s="4" t="str">
        <f>HYPERLINK("http://141.218.60.56/~jnz1568/getInfo.php?workbook=14_04.xlsx&amp;sheet=A0&amp;row=2531&amp;col=6&amp;number=0.1083&amp;sourceID=14","0.1083")</f>
        <v>0.1083</v>
      </c>
      <c r="G2531" s="4" t="str">
        <f>HYPERLINK("http://141.218.60.56/~jnz1568/getInfo.php?workbook=14_04.xlsx&amp;sheet=A0&amp;row=2531&amp;col=7&amp;number=0&amp;sourceID=14","0")</f>
        <v>0</v>
      </c>
    </row>
    <row r="2532" spans="1:7">
      <c r="A2532" s="3">
        <v>14</v>
      </c>
      <c r="B2532" s="3">
        <v>4</v>
      </c>
      <c r="C2532" s="3">
        <v>75</v>
      </c>
      <c r="D2532" s="3">
        <v>49</v>
      </c>
      <c r="E2532" s="3">
        <v>-453.082</v>
      </c>
      <c r="F2532" s="4" t="str">
        <f>HYPERLINK("http://141.218.60.56/~jnz1568/getInfo.php?workbook=14_04.xlsx&amp;sheet=A0&amp;row=2532&amp;col=6&amp;number=154.3&amp;sourceID=14","154.3")</f>
        <v>154.3</v>
      </c>
      <c r="G2532" s="4" t="str">
        <f>HYPERLINK("http://141.218.60.56/~jnz1568/getInfo.php?workbook=14_04.xlsx&amp;sheet=A0&amp;row=2532&amp;col=7&amp;number=0&amp;sourceID=14","0")</f>
        <v>0</v>
      </c>
    </row>
    <row r="2533" spans="1:7">
      <c r="A2533" s="3">
        <v>14</v>
      </c>
      <c r="B2533" s="3">
        <v>4</v>
      </c>
      <c r="C2533" s="3">
        <v>77</v>
      </c>
      <c r="D2533" s="3">
        <v>49</v>
      </c>
      <c r="E2533" s="3">
        <v>455.661</v>
      </c>
      <c r="F2533" s="4" t="str">
        <f>HYPERLINK("http://141.218.60.56/~jnz1568/getInfo.php?workbook=14_04.xlsx&amp;sheet=A0&amp;row=2533&amp;col=6&amp;number=76.67&amp;sourceID=14","76.67")</f>
        <v>76.67</v>
      </c>
      <c r="G2533" s="4" t="str">
        <f>HYPERLINK("http://141.218.60.56/~jnz1568/getInfo.php?workbook=14_04.xlsx&amp;sheet=A0&amp;row=2533&amp;col=7&amp;number=0&amp;sourceID=14","0")</f>
        <v>0</v>
      </c>
    </row>
    <row r="2534" spans="1:7">
      <c r="A2534" s="3">
        <v>14</v>
      </c>
      <c r="B2534" s="3">
        <v>4</v>
      </c>
      <c r="C2534" s="3">
        <v>78</v>
      </c>
      <c r="D2534" s="3">
        <v>49</v>
      </c>
      <c r="E2534" s="3">
        <v>-441.263</v>
      </c>
      <c r="F2534" s="4" t="str">
        <f>HYPERLINK("http://141.218.60.56/~jnz1568/getInfo.php?workbook=14_04.xlsx&amp;sheet=A0&amp;row=2534&amp;col=6&amp;number=0.0008057&amp;sourceID=14","0.0008057")</f>
        <v>0.0008057</v>
      </c>
      <c r="G2534" s="4" t="str">
        <f>HYPERLINK("http://141.218.60.56/~jnz1568/getInfo.php?workbook=14_04.xlsx&amp;sheet=A0&amp;row=2534&amp;col=7&amp;number=0&amp;sourceID=14","0")</f>
        <v>0</v>
      </c>
    </row>
    <row r="2535" spans="1:7">
      <c r="A2535" s="3">
        <v>14</v>
      </c>
      <c r="B2535" s="3">
        <v>4</v>
      </c>
      <c r="C2535" s="3">
        <v>82</v>
      </c>
      <c r="D2535" s="3">
        <v>49</v>
      </c>
      <c r="E2535" s="3">
        <v>-418.574</v>
      </c>
      <c r="F2535" s="4" t="str">
        <f>HYPERLINK("http://141.218.60.56/~jnz1568/getInfo.php?workbook=14_04.xlsx&amp;sheet=A0&amp;row=2535&amp;col=6&amp;number=0.05425&amp;sourceID=14","0.05425")</f>
        <v>0.05425</v>
      </c>
      <c r="G2535" s="4" t="str">
        <f>HYPERLINK("http://141.218.60.56/~jnz1568/getInfo.php?workbook=14_04.xlsx&amp;sheet=A0&amp;row=2535&amp;col=7&amp;number=0&amp;sourceID=14","0")</f>
        <v>0</v>
      </c>
    </row>
    <row r="2536" spans="1:7">
      <c r="A2536" s="3">
        <v>14</v>
      </c>
      <c r="B2536" s="3">
        <v>4</v>
      </c>
      <c r="C2536" s="3">
        <v>83</v>
      </c>
      <c r="D2536" s="3">
        <v>49</v>
      </c>
      <c r="E2536" s="3">
        <v>-333.529</v>
      </c>
      <c r="F2536" s="4" t="str">
        <f>HYPERLINK("http://141.218.60.56/~jnz1568/getInfo.php?workbook=14_04.xlsx&amp;sheet=A0&amp;row=2536&amp;col=6&amp;number=1520000000&amp;sourceID=14","1520000000")</f>
        <v>1520000000</v>
      </c>
      <c r="G2536" s="4" t="str">
        <f>HYPERLINK("http://141.218.60.56/~jnz1568/getInfo.php?workbook=14_04.xlsx&amp;sheet=A0&amp;row=2536&amp;col=7&amp;number=0&amp;sourceID=14","0")</f>
        <v>0</v>
      </c>
    </row>
    <row r="2537" spans="1:7">
      <c r="A2537" s="3">
        <v>14</v>
      </c>
      <c r="B2537" s="3">
        <v>4</v>
      </c>
      <c r="C2537" s="3">
        <v>86</v>
      </c>
      <c r="D2537" s="3">
        <v>49</v>
      </c>
      <c r="E2537" s="3">
        <v>-317.997</v>
      </c>
      <c r="F2537" s="4" t="str">
        <f>HYPERLINK("http://141.218.60.56/~jnz1568/getInfo.php?workbook=14_04.xlsx&amp;sheet=A0&amp;row=2537&amp;col=6&amp;number=0.1828&amp;sourceID=14","0.1828")</f>
        <v>0.1828</v>
      </c>
      <c r="G2537" s="4" t="str">
        <f>HYPERLINK("http://141.218.60.56/~jnz1568/getInfo.php?workbook=14_04.xlsx&amp;sheet=A0&amp;row=2537&amp;col=7&amp;number=0&amp;sourceID=14","0")</f>
        <v>0</v>
      </c>
    </row>
    <row r="2538" spans="1:7">
      <c r="A2538" s="3">
        <v>14</v>
      </c>
      <c r="B2538" s="3">
        <v>4</v>
      </c>
      <c r="C2538" s="3">
        <v>87</v>
      </c>
      <c r="D2538" s="3">
        <v>49</v>
      </c>
      <c r="E2538" s="3">
        <v>318.534</v>
      </c>
      <c r="F2538" s="4" t="str">
        <f>HYPERLINK("http://141.218.60.56/~jnz1568/getInfo.php?workbook=14_04.xlsx&amp;sheet=A0&amp;row=2538&amp;col=6&amp;number=169400&amp;sourceID=14","169400")</f>
        <v>169400</v>
      </c>
      <c r="G2538" s="4" t="str">
        <f>HYPERLINK("http://141.218.60.56/~jnz1568/getInfo.php?workbook=14_04.xlsx&amp;sheet=A0&amp;row=2538&amp;col=7&amp;number=0&amp;sourceID=14","0")</f>
        <v>0</v>
      </c>
    </row>
    <row r="2539" spans="1:7">
      <c r="A2539" s="3">
        <v>14</v>
      </c>
      <c r="B2539" s="3">
        <v>4</v>
      </c>
      <c r="C2539" s="3">
        <v>88</v>
      </c>
      <c r="D2539" s="3">
        <v>49</v>
      </c>
      <c r="E2539" s="3">
        <v>-315.14</v>
      </c>
      <c r="F2539" s="4" t="str">
        <f>HYPERLINK("http://141.218.60.56/~jnz1568/getInfo.php?workbook=14_04.xlsx&amp;sheet=A0&amp;row=2539&amp;col=6&amp;number=0.5409&amp;sourceID=14","0.5409")</f>
        <v>0.5409</v>
      </c>
      <c r="G2539" s="4" t="str">
        <f>HYPERLINK("http://141.218.60.56/~jnz1568/getInfo.php?workbook=14_04.xlsx&amp;sheet=A0&amp;row=2539&amp;col=7&amp;number=0&amp;sourceID=14","0")</f>
        <v>0</v>
      </c>
    </row>
    <row r="2540" spans="1:7">
      <c r="A2540" s="3">
        <v>14</v>
      </c>
      <c r="B2540" s="3">
        <v>4</v>
      </c>
      <c r="C2540" s="3">
        <v>89</v>
      </c>
      <c r="D2540" s="3">
        <v>49</v>
      </c>
      <c r="E2540" s="3">
        <v>-309.668</v>
      </c>
      <c r="F2540" s="4" t="str">
        <f>HYPERLINK("http://141.218.60.56/~jnz1568/getInfo.php?workbook=14_04.xlsx&amp;sheet=A0&amp;row=2540&amp;col=6&amp;number=11070000000&amp;sourceID=14","11070000000")</f>
        <v>11070000000</v>
      </c>
      <c r="G2540" s="4" t="str">
        <f>HYPERLINK("http://141.218.60.56/~jnz1568/getInfo.php?workbook=14_04.xlsx&amp;sheet=A0&amp;row=2540&amp;col=7&amp;number=0&amp;sourceID=14","0")</f>
        <v>0</v>
      </c>
    </row>
    <row r="2541" spans="1:7">
      <c r="A2541" s="3">
        <v>14</v>
      </c>
      <c r="B2541" s="3">
        <v>4</v>
      </c>
      <c r="C2541" s="3">
        <v>51</v>
      </c>
      <c r="D2541" s="3">
        <v>50</v>
      </c>
      <c r="E2541" s="3">
        <v>140056.28</v>
      </c>
      <c r="F2541" s="4" t="str">
        <f>HYPERLINK("http://141.218.60.56/~jnz1568/getInfo.php?workbook=14_04.xlsx&amp;sheet=A0&amp;row=2541&amp;col=6&amp;number=0.004844&amp;sourceID=14","0.004844")</f>
        <v>0.004844</v>
      </c>
      <c r="G2541" s="4" t="str">
        <f>HYPERLINK("http://141.218.60.56/~jnz1568/getInfo.php?workbook=14_04.xlsx&amp;sheet=A0&amp;row=2541&amp;col=7&amp;number=0&amp;sourceID=14","0")</f>
        <v>0</v>
      </c>
    </row>
    <row r="2542" spans="1:7">
      <c r="A2542" s="3">
        <v>14</v>
      </c>
      <c r="B2542" s="3">
        <v>4</v>
      </c>
      <c r="C2542" s="3">
        <v>53</v>
      </c>
      <c r="D2542" s="3">
        <v>50</v>
      </c>
      <c r="E2542" s="3">
        <v>7998.735</v>
      </c>
      <c r="F2542" s="4" t="str">
        <f>HYPERLINK("http://141.218.60.56/~jnz1568/getInfo.php?workbook=14_04.xlsx&amp;sheet=A0&amp;row=2542&amp;col=6&amp;number=2206000&amp;sourceID=14","2206000")</f>
        <v>2206000</v>
      </c>
      <c r="G2542" s="4" t="str">
        <f>HYPERLINK("http://141.218.60.56/~jnz1568/getInfo.php?workbook=14_04.xlsx&amp;sheet=A0&amp;row=2542&amp;col=7&amp;number=0&amp;sourceID=14","0")</f>
        <v>0</v>
      </c>
    </row>
    <row r="2543" spans="1:7">
      <c r="A2543" s="3">
        <v>14</v>
      </c>
      <c r="B2543" s="3">
        <v>4</v>
      </c>
      <c r="C2543" s="3">
        <v>54</v>
      </c>
      <c r="D2543" s="3">
        <v>50</v>
      </c>
      <c r="E2543" s="3">
        <v>8016.689</v>
      </c>
      <c r="F2543" s="4" t="str">
        <f>HYPERLINK("http://141.218.60.56/~jnz1568/getInfo.php?workbook=14_04.xlsx&amp;sheet=A0&amp;row=2543&amp;col=6&amp;number=3958000&amp;sourceID=14","3958000")</f>
        <v>3958000</v>
      </c>
      <c r="G2543" s="4" t="str">
        <f>HYPERLINK("http://141.218.60.56/~jnz1568/getInfo.php?workbook=14_04.xlsx&amp;sheet=A0&amp;row=2543&amp;col=7&amp;number=0&amp;sourceID=14","0")</f>
        <v>0</v>
      </c>
    </row>
    <row r="2544" spans="1:7">
      <c r="A2544" s="3">
        <v>14</v>
      </c>
      <c r="B2544" s="3">
        <v>4</v>
      </c>
      <c r="C2544" s="3">
        <v>56</v>
      </c>
      <c r="D2544" s="3">
        <v>50</v>
      </c>
      <c r="E2544" s="3">
        <v>4161.299</v>
      </c>
      <c r="F2544" s="4" t="str">
        <f>HYPERLINK("http://141.218.60.56/~jnz1568/getInfo.php?workbook=14_04.xlsx&amp;sheet=A0&amp;row=2544&amp;col=6&amp;number=418500&amp;sourceID=14","418500")</f>
        <v>418500</v>
      </c>
      <c r="G2544" s="4" t="str">
        <f>HYPERLINK("http://141.218.60.56/~jnz1568/getInfo.php?workbook=14_04.xlsx&amp;sheet=A0&amp;row=2544&amp;col=7&amp;number=0&amp;sourceID=14","0")</f>
        <v>0</v>
      </c>
    </row>
    <row r="2545" spans="1:7">
      <c r="A2545" s="3">
        <v>14</v>
      </c>
      <c r="B2545" s="3">
        <v>4</v>
      </c>
      <c r="C2545" s="3">
        <v>57</v>
      </c>
      <c r="D2545" s="3">
        <v>50</v>
      </c>
      <c r="E2545" s="3">
        <v>-591.647</v>
      </c>
      <c r="F2545" s="4" t="str">
        <f>HYPERLINK("http://141.218.60.56/~jnz1568/getInfo.php?workbook=14_04.xlsx&amp;sheet=A0&amp;row=2545&amp;col=6&amp;number=0.2252&amp;sourceID=14","0.2252")</f>
        <v>0.2252</v>
      </c>
      <c r="G2545" s="4" t="str">
        <f>HYPERLINK("http://141.218.60.56/~jnz1568/getInfo.php?workbook=14_04.xlsx&amp;sheet=A0&amp;row=2545&amp;col=7&amp;number=0&amp;sourceID=14","0")</f>
        <v>0</v>
      </c>
    </row>
    <row r="2546" spans="1:7">
      <c r="A2546" s="3">
        <v>14</v>
      </c>
      <c r="B2546" s="3">
        <v>4</v>
      </c>
      <c r="C2546" s="3">
        <v>58</v>
      </c>
      <c r="D2546" s="3">
        <v>50</v>
      </c>
      <c r="E2546" s="3">
        <v>-586.609</v>
      </c>
      <c r="F2546" s="4" t="str">
        <f>HYPERLINK("http://141.218.60.56/~jnz1568/getInfo.php?workbook=14_04.xlsx&amp;sheet=A0&amp;row=2546&amp;col=6&amp;number=6.942&amp;sourceID=14","6.942")</f>
        <v>6.942</v>
      </c>
      <c r="G2546" s="4" t="str">
        <f>HYPERLINK("http://141.218.60.56/~jnz1568/getInfo.php?workbook=14_04.xlsx&amp;sheet=A0&amp;row=2546&amp;col=7&amp;number=0&amp;sourceID=14","0")</f>
        <v>0</v>
      </c>
    </row>
    <row r="2547" spans="1:7">
      <c r="A2547" s="3">
        <v>14</v>
      </c>
      <c r="B2547" s="3">
        <v>4</v>
      </c>
      <c r="C2547" s="3">
        <v>59</v>
      </c>
      <c r="D2547" s="3">
        <v>50</v>
      </c>
      <c r="E2547" s="3">
        <v>612.052</v>
      </c>
      <c r="F2547" s="4" t="str">
        <f>HYPERLINK("http://141.218.60.56/~jnz1568/getInfo.php?workbook=14_04.xlsx&amp;sheet=A0&amp;row=2547&amp;col=6&amp;number=1.669&amp;sourceID=14","1.669")</f>
        <v>1.669</v>
      </c>
      <c r="G2547" s="4" t="str">
        <f>HYPERLINK("http://141.218.60.56/~jnz1568/getInfo.php?workbook=14_04.xlsx&amp;sheet=A0&amp;row=2547&amp;col=7&amp;number=0&amp;sourceID=14","0")</f>
        <v>0</v>
      </c>
    </row>
    <row r="2548" spans="1:7">
      <c r="A2548" s="3">
        <v>14</v>
      </c>
      <c r="B2548" s="3">
        <v>4</v>
      </c>
      <c r="C2548" s="3">
        <v>60</v>
      </c>
      <c r="D2548" s="3">
        <v>50</v>
      </c>
      <c r="E2548" s="3">
        <v>-545.447</v>
      </c>
      <c r="F2548" s="4" t="str">
        <f>HYPERLINK("http://141.218.60.56/~jnz1568/getInfo.php?workbook=14_04.xlsx&amp;sheet=A0&amp;row=2548&amp;col=6&amp;number=24.38&amp;sourceID=14","24.38")</f>
        <v>24.38</v>
      </c>
      <c r="G2548" s="4" t="str">
        <f>HYPERLINK("http://141.218.60.56/~jnz1568/getInfo.php?workbook=14_04.xlsx&amp;sheet=A0&amp;row=2548&amp;col=7&amp;number=0&amp;sourceID=14","0")</f>
        <v>0</v>
      </c>
    </row>
    <row r="2549" spans="1:7">
      <c r="A2549" s="3">
        <v>14</v>
      </c>
      <c r="B2549" s="3">
        <v>4</v>
      </c>
      <c r="C2549" s="3">
        <v>61</v>
      </c>
      <c r="D2549" s="3">
        <v>50</v>
      </c>
      <c r="E2549" s="3">
        <v>-512.111</v>
      </c>
      <c r="F2549" s="4" t="str">
        <f>HYPERLINK("http://141.218.60.56/~jnz1568/getInfo.php?workbook=14_04.xlsx&amp;sheet=A0&amp;row=2549&amp;col=6&amp;number=72200000&amp;sourceID=14","72200000")</f>
        <v>72200000</v>
      </c>
      <c r="G2549" s="4" t="str">
        <f>HYPERLINK("http://141.218.60.56/~jnz1568/getInfo.php?workbook=14_04.xlsx&amp;sheet=A0&amp;row=2549&amp;col=7&amp;number=0&amp;sourceID=14","0")</f>
        <v>0</v>
      </c>
    </row>
    <row r="2550" spans="1:7">
      <c r="A2550" s="3">
        <v>14</v>
      </c>
      <c r="B2550" s="3">
        <v>4</v>
      </c>
      <c r="C2550" s="3">
        <v>62</v>
      </c>
      <c r="D2550" s="3">
        <v>50</v>
      </c>
      <c r="E2550" s="3">
        <v>-523.851</v>
      </c>
      <c r="F2550" s="4" t="str">
        <f>HYPERLINK("http://141.218.60.56/~jnz1568/getInfo.php?workbook=14_04.xlsx&amp;sheet=A0&amp;row=2550&amp;col=6&amp;number=381500000&amp;sourceID=14","381500000")</f>
        <v>381500000</v>
      </c>
      <c r="G2550" s="4" t="str">
        <f>HYPERLINK("http://141.218.60.56/~jnz1568/getInfo.php?workbook=14_04.xlsx&amp;sheet=A0&amp;row=2550&amp;col=7&amp;number=0&amp;sourceID=14","0")</f>
        <v>0</v>
      </c>
    </row>
    <row r="2551" spans="1:7">
      <c r="A2551" s="3">
        <v>14</v>
      </c>
      <c r="B2551" s="3">
        <v>4</v>
      </c>
      <c r="C2551" s="3">
        <v>63</v>
      </c>
      <c r="D2551" s="3">
        <v>50</v>
      </c>
      <c r="E2551" s="3">
        <v>-511.442</v>
      </c>
      <c r="F2551" s="4" t="str">
        <f>HYPERLINK("http://141.218.60.56/~jnz1568/getInfo.php?workbook=14_04.xlsx&amp;sheet=A0&amp;row=2551&amp;col=6&amp;number=512200000&amp;sourceID=14","512200000")</f>
        <v>512200000</v>
      </c>
      <c r="G2551" s="4" t="str">
        <f>HYPERLINK("http://141.218.60.56/~jnz1568/getInfo.php?workbook=14_04.xlsx&amp;sheet=A0&amp;row=2551&amp;col=7&amp;number=0&amp;sourceID=14","0")</f>
        <v>0</v>
      </c>
    </row>
    <row r="2552" spans="1:7">
      <c r="A2552" s="3">
        <v>14</v>
      </c>
      <c r="B2552" s="3">
        <v>4</v>
      </c>
      <c r="C2552" s="3">
        <v>65</v>
      </c>
      <c r="D2552" s="3">
        <v>50</v>
      </c>
      <c r="E2552" s="3">
        <v>-493.273</v>
      </c>
      <c r="F2552" s="4" t="str">
        <f>HYPERLINK("http://141.218.60.56/~jnz1568/getInfo.php?workbook=14_04.xlsx&amp;sheet=A0&amp;row=2552&amp;col=6&amp;number=145500000&amp;sourceID=14","145500000")</f>
        <v>145500000</v>
      </c>
      <c r="G2552" s="4" t="str">
        <f>HYPERLINK("http://141.218.60.56/~jnz1568/getInfo.php?workbook=14_04.xlsx&amp;sheet=A0&amp;row=2552&amp;col=7&amp;number=0&amp;sourceID=14","0")</f>
        <v>0</v>
      </c>
    </row>
    <row r="2553" spans="1:7">
      <c r="A2553" s="3">
        <v>14</v>
      </c>
      <c r="B2553" s="3">
        <v>4</v>
      </c>
      <c r="C2553" s="3">
        <v>66</v>
      </c>
      <c r="D2553" s="3">
        <v>50</v>
      </c>
      <c r="E2553" s="3">
        <v>-493.643</v>
      </c>
      <c r="F2553" s="4" t="str">
        <f>HYPERLINK("http://141.218.60.56/~jnz1568/getInfo.php?workbook=14_04.xlsx&amp;sheet=A0&amp;row=2553&amp;col=6&amp;number=1047000000&amp;sourceID=14","1047000000")</f>
        <v>1047000000</v>
      </c>
      <c r="G2553" s="4" t="str">
        <f>HYPERLINK("http://141.218.60.56/~jnz1568/getInfo.php?workbook=14_04.xlsx&amp;sheet=A0&amp;row=2553&amp;col=7&amp;number=0&amp;sourceID=14","0")</f>
        <v>0</v>
      </c>
    </row>
    <row r="2554" spans="1:7">
      <c r="A2554" s="3">
        <v>14</v>
      </c>
      <c r="B2554" s="3">
        <v>4</v>
      </c>
      <c r="C2554" s="3">
        <v>67</v>
      </c>
      <c r="D2554" s="3">
        <v>50</v>
      </c>
      <c r="E2554" s="3">
        <v>-482.857</v>
      </c>
      <c r="F2554" s="4" t="str">
        <f>HYPERLINK("http://141.218.60.56/~jnz1568/getInfo.php?workbook=14_04.xlsx&amp;sheet=A0&amp;row=2554&amp;col=6&amp;number=696400000&amp;sourceID=14","696400000")</f>
        <v>696400000</v>
      </c>
      <c r="G2554" s="4" t="str">
        <f>HYPERLINK("http://141.218.60.56/~jnz1568/getInfo.php?workbook=14_04.xlsx&amp;sheet=A0&amp;row=2554&amp;col=7&amp;number=0&amp;sourceID=14","0")</f>
        <v>0</v>
      </c>
    </row>
    <row r="2555" spans="1:7">
      <c r="A2555" s="3">
        <v>14</v>
      </c>
      <c r="B2555" s="3">
        <v>4</v>
      </c>
      <c r="C2555" s="3">
        <v>68</v>
      </c>
      <c r="D2555" s="3">
        <v>50</v>
      </c>
      <c r="E2555" s="3">
        <v>-481.019</v>
      </c>
      <c r="F2555" s="4" t="str">
        <f>HYPERLINK("http://141.218.60.56/~jnz1568/getInfo.php?workbook=14_04.xlsx&amp;sheet=A0&amp;row=2555&amp;col=6&amp;number=531500000&amp;sourceID=14","531500000")</f>
        <v>531500000</v>
      </c>
      <c r="G2555" s="4" t="str">
        <f>HYPERLINK("http://141.218.60.56/~jnz1568/getInfo.php?workbook=14_04.xlsx&amp;sheet=A0&amp;row=2555&amp;col=7&amp;number=0&amp;sourceID=14","0")</f>
        <v>0</v>
      </c>
    </row>
    <row r="2556" spans="1:7">
      <c r="A2556" s="3">
        <v>14</v>
      </c>
      <c r="B2556" s="3">
        <v>4</v>
      </c>
      <c r="C2556" s="3">
        <v>69</v>
      </c>
      <c r="D2556" s="3">
        <v>50</v>
      </c>
      <c r="E2556" s="3">
        <v>-479.149</v>
      </c>
      <c r="F2556" s="4" t="str">
        <f>HYPERLINK("http://141.218.60.56/~jnz1568/getInfo.php?workbook=14_04.xlsx&amp;sheet=A0&amp;row=2556&amp;col=6&amp;number=193.1&amp;sourceID=14","193.1")</f>
        <v>193.1</v>
      </c>
      <c r="G2556" s="4" t="str">
        <f>HYPERLINK("http://141.218.60.56/~jnz1568/getInfo.php?workbook=14_04.xlsx&amp;sheet=A0&amp;row=2556&amp;col=7&amp;number=0&amp;sourceID=14","0")</f>
        <v>0</v>
      </c>
    </row>
    <row r="2557" spans="1:7">
      <c r="A2557" s="3">
        <v>14</v>
      </c>
      <c r="B2557" s="3">
        <v>4</v>
      </c>
      <c r="C2557" s="3">
        <v>70</v>
      </c>
      <c r="D2557" s="3">
        <v>50</v>
      </c>
      <c r="E2557" s="3">
        <v>-471.394</v>
      </c>
      <c r="F2557" s="4" t="str">
        <f>HYPERLINK("http://141.218.60.56/~jnz1568/getInfo.php?workbook=14_04.xlsx&amp;sheet=A0&amp;row=2557&amp;col=6&amp;number=458.6&amp;sourceID=14","458.6")</f>
        <v>458.6</v>
      </c>
      <c r="G2557" s="4" t="str">
        <f>HYPERLINK("http://141.218.60.56/~jnz1568/getInfo.php?workbook=14_04.xlsx&amp;sheet=A0&amp;row=2557&amp;col=7&amp;number=0&amp;sourceID=14","0")</f>
        <v>0</v>
      </c>
    </row>
    <row r="2558" spans="1:7">
      <c r="A2558" s="3">
        <v>14</v>
      </c>
      <c r="B2558" s="3">
        <v>4</v>
      </c>
      <c r="C2558" s="3">
        <v>71</v>
      </c>
      <c r="D2558" s="3">
        <v>50</v>
      </c>
      <c r="E2558" s="3">
        <v>-468.279</v>
      </c>
      <c r="F2558" s="4" t="str">
        <f>HYPERLINK("http://141.218.60.56/~jnz1568/getInfo.php?workbook=14_04.xlsx&amp;sheet=A0&amp;row=2558&amp;col=6&amp;number=286.7&amp;sourceID=14","286.7")</f>
        <v>286.7</v>
      </c>
      <c r="G2558" s="4" t="str">
        <f>HYPERLINK("http://141.218.60.56/~jnz1568/getInfo.php?workbook=14_04.xlsx&amp;sheet=A0&amp;row=2558&amp;col=7&amp;number=0&amp;sourceID=14","0")</f>
        <v>0</v>
      </c>
    </row>
    <row r="2559" spans="1:7">
      <c r="A2559" s="3">
        <v>14</v>
      </c>
      <c r="B2559" s="3">
        <v>4</v>
      </c>
      <c r="C2559" s="3">
        <v>72</v>
      </c>
      <c r="D2559" s="3">
        <v>50</v>
      </c>
      <c r="E2559" s="3">
        <v>-463.552</v>
      </c>
      <c r="F2559" s="4" t="str">
        <f>HYPERLINK("http://141.218.60.56/~jnz1568/getInfo.php?workbook=14_04.xlsx&amp;sheet=A0&amp;row=2559&amp;col=6&amp;number=4791000&amp;sourceID=14","4791000")</f>
        <v>4791000</v>
      </c>
      <c r="G2559" s="4" t="str">
        <f>HYPERLINK("http://141.218.60.56/~jnz1568/getInfo.php?workbook=14_04.xlsx&amp;sheet=A0&amp;row=2559&amp;col=7&amp;number=0&amp;sourceID=14","0")</f>
        <v>0</v>
      </c>
    </row>
    <row r="2560" spans="1:7">
      <c r="A2560" s="3">
        <v>14</v>
      </c>
      <c r="B2560" s="3">
        <v>4</v>
      </c>
      <c r="C2560" s="3">
        <v>74</v>
      </c>
      <c r="D2560" s="3">
        <v>50</v>
      </c>
      <c r="E2560" s="3">
        <v>-457.554</v>
      </c>
      <c r="F2560" s="4" t="str">
        <f>HYPERLINK("http://141.218.60.56/~jnz1568/getInfo.php?workbook=14_04.xlsx&amp;sheet=A0&amp;row=2560&amp;col=6&amp;number=34.71&amp;sourceID=14","34.71")</f>
        <v>34.71</v>
      </c>
      <c r="G2560" s="4" t="str">
        <f>HYPERLINK("http://141.218.60.56/~jnz1568/getInfo.php?workbook=14_04.xlsx&amp;sheet=A0&amp;row=2560&amp;col=7&amp;number=0&amp;sourceID=14","0")</f>
        <v>0</v>
      </c>
    </row>
    <row r="2561" spans="1:7">
      <c r="A2561" s="3">
        <v>14</v>
      </c>
      <c r="B2561" s="3">
        <v>4</v>
      </c>
      <c r="C2561" s="3">
        <v>75</v>
      </c>
      <c r="D2561" s="3">
        <v>50</v>
      </c>
      <c r="E2561" s="3">
        <v>-453.574</v>
      </c>
      <c r="F2561" s="4" t="str">
        <f>HYPERLINK("http://141.218.60.56/~jnz1568/getInfo.php?workbook=14_04.xlsx&amp;sheet=A0&amp;row=2561&amp;col=6&amp;number=2.948&amp;sourceID=14","2.948")</f>
        <v>2.948</v>
      </c>
      <c r="G2561" s="4" t="str">
        <f>HYPERLINK("http://141.218.60.56/~jnz1568/getInfo.php?workbook=14_04.xlsx&amp;sheet=A0&amp;row=2561&amp;col=7&amp;number=0&amp;sourceID=14","0")</f>
        <v>0</v>
      </c>
    </row>
    <row r="2562" spans="1:7">
      <c r="A2562" s="3">
        <v>14</v>
      </c>
      <c r="B2562" s="3">
        <v>4</v>
      </c>
      <c r="C2562" s="3">
        <v>76</v>
      </c>
      <c r="D2562" s="3">
        <v>50</v>
      </c>
      <c r="E2562" s="3">
        <v>457.558</v>
      </c>
      <c r="F2562" s="4" t="str">
        <f>HYPERLINK("http://141.218.60.56/~jnz1568/getInfo.php?workbook=14_04.xlsx&amp;sheet=A0&amp;row=2562&amp;col=6&amp;number=84.8&amp;sourceID=14","84.8")</f>
        <v>84.8</v>
      </c>
      <c r="G2562" s="4" t="str">
        <f>HYPERLINK("http://141.218.60.56/~jnz1568/getInfo.php?workbook=14_04.xlsx&amp;sheet=A0&amp;row=2562&amp;col=7&amp;number=0&amp;sourceID=14","0")</f>
        <v>0</v>
      </c>
    </row>
    <row r="2563" spans="1:7">
      <c r="A2563" s="3">
        <v>14</v>
      </c>
      <c r="B2563" s="3">
        <v>4</v>
      </c>
      <c r="C2563" s="3">
        <v>77</v>
      </c>
      <c r="D2563" s="3">
        <v>50</v>
      </c>
      <c r="E2563" s="3">
        <v>455.661</v>
      </c>
      <c r="F2563" s="4" t="str">
        <f>HYPERLINK("http://141.218.60.56/~jnz1568/getInfo.php?workbook=14_04.xlsx&amp;sheet=A0&amp;row=2563&amp;col=6&amp;number=267.9&amp;sourceID=14","267.9")</f>
        <v>267.9</v>
      </c>
      <c r="G2563" s="4" t="str">
        <f>HYPERLINK("http://141.218.60.56/~jnz1568/getInfo.php?workbook=14_04.xlsx&amp;sheet=A0&amp;row=2563&amp;col=7&amp;number=0&amp;sourceID=14","0")</f>
        <v>0</v>
      </c>
    </row>
    <row r="2564" spans="1:7">
      <c r="A2564" s="3">
        <v>14</v>
      </c>
      <c r="B2564" s="3">
        <v>4</v>
      </c>
      <c r="C2564" s="3">
        <v>78</v>
      </c>
      <c r="D2564" s="3">
        <v>50</v>
      </c>
      <c r="E2564" s="3">
        <v>-441.729</v>
      </c>
      <c r="F2564" s="4" t="str">
        <f>HYPERLINK("http://141.218.60.56/~jnz1568/getInfo.php?workbook=14_04.xlsx&amp;sheet=A0&amp;row=2564&amp;col=6&amp;number=198.5&amp;sourceID=14","198.5")</f>
        <v>198.5</v>
      </c>
      <c r="G2564" s="4" t="str">
        <f>HYPERLINK("http://141.218.60.56/~jnz1568/getInfo.php?workbook=14_04.xlsx&amp;sheet=A0&amp;row=2564&amp;col=7&amp;number=0&amp;sourceID=14","0")</f>
        <v>0</v>
      </c>
    </row>
    <row r="2565" spans="1:7">
      <c r="A2565" s="3">
        <v>14</v>
      </c>
      <c r="B2565" s="3">
        <v>4</v>
      </c>
      <c r="C2565" s="3">
        <v>79</v>
      </c>
      <c r="D2565" s="3">
        <v>50</v>
      </c>
      <c r="E2565" s="3">
        <v>-440.875</v>
      </c>
      <c r="F2565" s="4" t="str">
        <f>HYPERLINK("http://141.218.60.56/~jnz1568/getInfo.php?workbook=14_04.xlsx&amp;sheet=A0&amp;row=2565&amp;col=6&amp;number=0.06479&amp;sourceID=14","0.06479")</f>
        <v>0.06479</v>
      </c>
      <c r="G2565" s="4" t="str">
        <f>HYPERLINK("http://141.218.60.56/~jnz1568/getInfo.php?workbook=14_04.xlsx&amp;sheet=A0&amp;row=2565&amp;col=7&amp;number=0&amp;sourceID=14","0")</f>
        <v>0</v>
      </c>
    </row>
    <row r="2566" spans="1:7">
      <c r="A2566" s="3">
        <v>14</v>
      </c>
      <c r="B2566" s="3">
        <v>4</v>
      </c>
      <c r="C2566" s="3">
        <v>80</v>
      </c>
      <c r="D2566" s="3">
        <v>50</v>
      </c>
      <c r="E2566" s="3">
        <v>478.211</v>
      </c>
      <c r="F2566" s="4" t="str">
        <f>HYPERLINK("http://141.218.60.56/~jnz1568/getInfo.php?workbook=14_04.xlsx&amp;sheet=A0&amp;row=2566&amp;col=6&amp;number=63310&amp;sourceID=14","63310")</f>
        <v>63310</v>
      </c>
      <c r="G2566" s="4" t="str">
        <f>HYPERLINK("http://141.218.60.56/~jnz1568/getInfo.php?workbook=14_04.xlsx&amp;sheet=A0&amp;row=2566&amp;col=7&amp;number=0&amp;sourceID=14","0")</f>
        <v>0</v>
      </c>
    </row>
    <row r="2567" spans="1:7">
      <c r="A2567" s="3">
        <v>14</v>
      </c>
      <c r="B2567" s="3">
        <v>4</v>
      </c>
      <c r="C2567" s="3">
        <v>81</v>
      </c>
      <c r="D2567" s="3">
        <v>50</v>
      </c>
      <c r="E2567" s="3">
        <v>435.565</v>
      </c>
      <c r="F2567" s="4" t="str">
        <f>HYPERLINK("http://141.218.60.56/~jnz1568/getInfo.php?workbook=14_04.xlsx&amp;sheet=A0&amp;row=2567&amp;col=6&amp;number=295.7&amp;sourceID=14","295.7")</f>
        <v>295.7</v>
      </c>
      <c r="G2567" s="4" t="str">
        <f>HYPERLINK("http://141.218.60.56/~jnz1568/getInfo.php?workbook=14_04.xlsx&amp;sheet=A0&amp;row=2567&amp;col=7&amp;number=0&amp;sourceID=14","0")</f>
        <v>0</v>
      </c>
    </row>
    <row r="2568" spans="1:7">
      <c r="A2568" s="3">
        <v>14</v>
      </c>
      <c r="B2568" s="3">
        <v>4</v>
      </c>
      <c r="C2568" s="3">
        <v>82</v>
      </c>
      <c r="D2568" s="3">
        <v>50</v>
      </c>
      <c r="E2568" s="3">
        <v>-418.993</v>
      </c>
      <c r="F2568" s="4" t="str">
        <f>HYPERLINK("http://141.218.60.56/~jnz1568/getInfo.php?workbook=14_04.xlsx&amp;sheet=A0&amp;row=2568&amp;col=6&amp;number=2.908&amp;sourceID=14","2.908")</f>
        <v>2.908</v>
      </c>
      <c r="G2568" s="4" t="str">
        <f>HYPERLINK("http://141.218.60.56/~jnz1568/getInfo.php?workbook=14_04.xlsx&amp;sheet=A0&amp;row=2568&amp;col=7&amp;number=0&amp;sourceID=14","0")</f>
        <v>0</v>
      </c>
    </row>
    <row r="2569" spans="1:7">
      <c r="A2569" s="3">
        <v>14</v>
      </c>
      <c r="B2569" s="3">
        <v>4</v>
      </c>
      <c r="C2569" s="3">
        <v>83</v>
      </c>
      <c r="D2569" s="3">
        <v>50</v>
      </c>
      <c r="E2569" s="3">
        <v>-333.795</v>
      </c>
      <c r="F2569" s="4" t="str">
        <f>HYPERLINK("http://141.218.60.56/~jnz1568/getInfo.php?workbook=14_04.xlsx&amp;sheet=A0&amp;row=2569&amp;col=6&amp;number=4534000000&amp;sourceID=14","4534000000")</f>
        <v>4534000000</v>
      </c>
      <c r="G2569" s="4" t="str">
        <f>HYPERLINK("http://141.218.60.56/~jnz1568/getInfo.php?workbook=14_04.xlsx&amp;sheet=A0&amp;row=2569&amp;col=7&amp;number=0&amp;sourceID=14","0")</f>
        <v>0</v>
      </c>
    </row>
    <row r="2570" spans="1:7">
      <c r="A2570" s="3">
        <v>14</v>
      </c>
      <c r="B2570" s="3">
        <v>4</v>
      </c>
      <c r="C2570" s="3">
        <v>84</v>
      </c>
      <c r="D2570" s="3">
        <v>50</v>
      </c>
      <c r="E2570" s="3">
        <v>-325.971</v>
      </c>
      <c r="F2570" s="4" t="str">
        <f>HYPERLINK("http://141.218.60.56/~jnz1568/getInfo.php?workbook=14_04.xlsx&amp;sheet=A0&amp;row=2570&amp;col=6&amp;number=159700000&amp;sourceID=14","159700000")</f>
        <v>159700000</v>
      </c>
      <c r="G2570" s="4" t="str">
        <f>HYPERLINK("http://141.218.60.56/~jnz1568/getInfo.php?workbook=14_04.xlsx&amp;sheet=A0&amp;row=2570&amp;col=7&amp;number=0&amp;sourceID=14","0")</f>
        <v>0</v>
      </c>
    </row>
    <row r="2571" spans="1:7">
      <c r="A2571" s="3">
        <v>14</v>
      </c>
      <c r="B2571" s="3">
        <v>4</v>
      </c>
      <c r="C2571" s="3">
        <v>85</v>
      </c>
      <c r="D2571" s="3">
        <v>50</v>
      </c>
      <c r="E2571" s="3">
        <v>-318.362</v>
      </c>
      <c r="F2571" s="4" t="str">
        <f>HYPERLINK("http://141.218.60.56/~jnz1568/getInfo.php?workbook=14_04.xlsx&amp;sheet=A0&amp;row=2571&amp;col=6&amp;number=0.4825&amp;sourceID=14","0.4825")</f>
        <v>0.4825</v>
      </c>
      <c r="G2571" s="4" t="str">
        <f>HYPERLINK("http://141.218.60.56/~jnz1568/getInfo.php?workbook=14_04.xlsx&amp;sheet=A0&amp;row=2571&amp;col=7&amp;number=0&amp;sourceID=14","0")</f>
        <v>0</v>
      </c>
    </row>
    <row r="2572" spans="1:7">
      <c r="A2572" s="3">
        <v>14</v>
      </c>
      <c r="B2572" s="3">
        <v>4</v>
      </c>
      <c r="C2572" s="3">
        <v>86</v>
      </c>
      <c r="D2572" s="3">
        <v>50</v>
      </c>
      <c r="E2572" s="3">
        <v>-318.239</v>
      </c>
      <c r="F2572" s="4" t="str">
        <f>HYPERLINK("http://141.218.60.56/~jnz1568/getInfo.php?workbook=14_04.xlsx&amp;sheet=A0&amp;row=2572&amp;col=6&amp;number=203800&amp;sourceID=14","203800")</f>
        <v>203800</v>
      </c>
      <c r="G2572" s="4" t="str">
        <f>HYPERLINK("http://141.218.60.56/~jnz1568/getInfo.php?workbook=14_04.xlsx&amp;sheet=A0&amp;row=2572&amp;col=7&amp;number=0&amp;sourceID=14","0")</f>
        <v>0</v>
      </c>
    </row>
    <row r="2573" spans="1:7">
      <c r="A2573" s="3">
        <v>14</v>
      </c>
      <c r="B2573" s="3">
        <v>4</v>
      </c>
      <c r="C2573" s="3">
        <v>87</v>
      </c>
      <c r="D2573" s="3">
        <v>50</v>
      </c>
      <c r="E2573" s="3">
        <v>318.534</v>
      </c>
      <c r="F2573" s="4" t="str">
        <f>HYPERLINK("http://141.218.60.56/~jnz1568/getInfo.php?workbook=14_04.xlsx&amp;sheet=A0&amp;row=2573&amp;col=6&amp;number=378100&amp;sourceID=14","378100")</f>
        <v>378100</v>
      </c>
      <c r="G2573" s="4" t="str">
        <f>HYPERLINK("http://141.218.60.56/~jnz1568/getInfo.php?workbook=14_04.xlsx&amp;sheet=A0&amp;row=2573&amp;col=7&amp;number=0&amp;sourceID=14","0")</f>
        <v>0</v>
      </c>
    </row>
    <row r="2574" spans="1:7">
      <c r="A2574" s="3">
        <v>14</v>
      </c>
      <c r="B2574" s="3">
        <v>4</v>
      </c>
      <c r="C2574" s="3">
        <v>88</v>
      </c>
      <c r="D2574" s="3">
        <v>50</v>
      </c>
      <c r="E2574" s="3">
        <v>-315.377</v>
      </c>
      <c r="F2574" s="4" t="str">
        <f>HYPERLINK("http://141.218.60.56/~jnz1568/getInfo.php?workbook=14_04.xlsx&amp;sheet=A0&amp;row=2574&amp;col=6&amp;number=19340&amp;sourceID=14","19340")</f>
        <v>19340</v>
      </c>
      <c r="G2574" s="4" t="str">
        <f>HYPERLINK("http://141.218.60.56/~jnz1568/getInfo.php?workbook=14_04.xlsx&amp;sheet=A0&amp;row=2574&amp;col=7&amp;number=0&amp;sourceID=14","0")</f>
        <v>0</v>
      </c>
    </row>
    <row r="2575" spans="1:7">
      <c r="A2575" s="3">
        <v>14</v>
      </c>
      <c r="B2575" s="3">
        <v>4</v>
      </c>
      <c r="C2575" s="3">
        <v>89</v>
      </c>
      <c r="D2575" s="3">
        <v>50</v>
      </c>
      <c r="E2575" s="3">
        <v>-309.898</v>
      </c>
      <c r="F2575" s="4" t="str">
        <f>HYPERLINK("http://141.218.60.56/~jnz1568/getInfo.php?workbook=14_04.xlsx&amp;sheet=A0&amp;row=2575&amp;col=6&amp;number=8210000000&amp;sourceID=14","8210000000")</f>
        <v>8210000000</v>
      </c>
      <c r="G2575" s="4" t="str">
        <f>HYPERLINK("http://141.218.60.56/~jnz1568/getInfo.php?workbook=14_04.xlsx&amp;sheet=A0&amp;row=2575&amp;col=7&amp;number=0&amp;sourceID=14","0")</f>
        <v>0</v>
      </c>
    </row>
    <row r="2576" spans="1:7">
      <c r="A2576" s="3">
        <v>14</v>
      </c>
      <c r="B2576" s="3">
        <v>4</v>
      </c>
      <c r="C2576" s="3">
        <v>90</v>
      </c>
      <c r="D2576" s="3">
        <v>50</v>
      </c>
      <c r="E2576" s="3">
        <v>313.953</v>
      </c>
      <c r="F2576" s="4" t="str">
        <f>HYPERLINK("http://141.218.60.56/~jnz1568/getInfo.php?workbook=14_04.xlsx&amp;sheet=A0&amp;row=2576&amp;col=6&amp;number=14240000000&amp;sourceID=14","14240000000")</f>
        <v>14240000000</v>
      </c>
      <c r="G2576" s="4" t="str">
        <f>HYPERLINK("http://141.218.60.56/~jnz1568/getInfo.php?workbook=14_04.xlsx&amp;sheet=A0&amp;row=2576&amp;col=7&amp;number=0&amp;sourceID=14","0")</f>
        <v>0</v>
      </c>
    </row>
    <row r="2577" spans="1:7">
      <c r="A2577" s="3">
        <v>14</v>
      </c>
      <c r="B2577" s="3">
        <v>4</v>
      </c>
      <c r="C2577" s="3">
        <v>92</v>
      </c>
      <c r="D2577" s="3">
        <v>50</v>
      </c>
      <c r="E2577" s="3">
        <v>310.208</v>
      </c>
      <c r="F2577" s="4" t="str">
        <f>HYPERLINK("http://141.218.60.56/~jnz1568/getInfo.php?workbook=14_04.xlsx&amp;sheet=A0&amp;row=2577&amp;col=6&amp;number=187600000&amp;sourceID=14","187600000")</f>
        <v>187600000</v>
      </c>
      <c r="G2577" s="4" t="str">
        <f>HYPERLINK("http://141.218.60.56/~jnz1568/getInfo.php?workbook=14_04.xlsx&amp;sheet=A0&amp;row=2577&amp;col=7&amp;number=0&amp;sourceID=14","0")</f>
        <v>0</v>
      </c>
    </row>
    <row r="2578" spans="1:7">
      <c r="A2578" s="3">
        <v>14</v>
      </c>
      <c r="B2578" s="3">
        <v>4</v>
      </c>
      <c r="C2578" s="3">
        <v>53</v>
      </c>
      <c r="D2578" s="3">
        <v>51</v>
      </c>
      <c r="E2578" s="3">
        <v>8483.219</v>
      </c>
      <c r="F2578" s="4" t="str">
        <f>HYPERLINK("http://141.218.60.56/~jnz1568/getInfo.php?workbook=14_04.xlsx&amp;sheet=A0&amp;row=2578&amp;col=6&amp;number=124800&amp;sourceID=14","124800")</f>
        <v>124800</v>
      </c>
      <c r="G2578" s="4" t="str">
        <f>HYPERLINK("http://141.218.60.56/~jnz1568/getInfo.php?workbook=14_04.xlsx&amp;sheet=A0&amp;row=2578&amp;col=7&amp;number=0&amp;sourceID=14","0")</f>
        <v>0</v>
      </c>
    </row>
    <row r="2579" spans="1:7">
      <c r="A2579" s="3">
        <v>14</v>
      </c>
      <c r="B2579" s="3">
        <v>4</v>
      </c>
      <c r="C2579" s="3">
        <v>54</v>
      </c>
      <c r="D2579" s="3">
        <v>51</v>
      </c>
      <c r="E2579" s="3">
        <v>8503.417</v>
      </c>
      <c r="F2579" s="4" t="str">
        <f>HYPERLINK("http://141.218.60.56/~jnz1568/getInfo.php?workbook=14_04.xlsx&amp;sheet=A0&amp;row=2579&amp;col=6&amp;number=1116000&amp;sourceID=14","1116000")</f>
        <v>1116000</v>
      </c>
      <c r="G2579" s="4" t="str">
        <f>HYPERLINK("http://141.218.60.56/~jnz1568/getInfo.php?workbook=14_04.xlsx&amp;sheet=A0&amp;row=2579&amp;col=7&amp;number=0&amp;sourceID=14","0")</f>
        <v>0</v>
      </c>
    </row>
    <row r="2580" spans="1:7">
      <c r="A2580" s="3">
        <v>14</v>
      </c>
      <c r="B2580" s="3">
        <v>4</v>
      </c>
      <c r="C2580" s="3">
        <v>55</v>
      </c>
      <c r="D2580" s="3">
        <v>51</v>
      </c>
      <c r="E2580" s="3">
        <v>7945.351</v>
      </c>
      <c r="F2580" s="4" t="str">
        <f>HYPERLINK("http://141.218.60.56/~jnz1568/getInfo.php?workbook=14_04.xlsx&amp;sheet=A0&amp;row=2580&amp;col=6&amp;number=5475000&amp;sourceID=14","5475000")</f>
        <v>5475000</v>
      </c>
      <c r="G2580" s="4" t="str">
        <f>HYPERLINK("http://141.218.60.56/~jnz1568/getInfo.php?workbook=14_04.xlsx&amp;sheet=A0&amp;row=2580&amp;col=7&amp;number=0&amp;sourceID=14","0")</f>
        <v>0</v>
      </c>
    </row>
    <row r="2581" spans="1:7">
      <c r="A2581" s="3">
        <v>14</v>
      </c>
      <c r="B2581" s="3">
        <v>4</v>
      </c>
      <c r="C2581" s="3">
        <v>56</v>
      </c>
      <c r="D2581" s="3">
        <v>51</v>
      </c>
      <c r="E2581" s="3">
        <v>4288.724</v>
      </c>
      <c r="F2581" s="4" t="str">
        <f>HYPERLINK("http://141.218.60.56/~jnz1568/getInfo.php?workbook=14_04.xlsx&amp;sheet=A0&amp;row=2581&amp;col=6&amp;number=1121&amp;sourceID=14","1121")</f>
        <v>1121</v>
      </c>
      <c r="G2581" s="4" t="str">
        <f>HYPERLINK("http://141.218.60.56/~jnz1568/getInfo.php?workbook=14_04.xlsx&amp;sheet=A0&amp;row=2581&amp;col=7&amp;number=0&amp;sourceID=14","0")</f>
        <v>0</v>
      </c>
    </row>
    <row r="2582" spans="1:7">
      <c r="A2582" s="3">
        <v>14</v>
      </c>
      <c r="B2582" s="3">
        <v>4</v>
      </c>
      <c r="C2582" s="3">
        <v>57</v>
      </c>
      <c r="D2582" s="3">
        <v>51</v>
      </c>
      <c r="E2582" s="3">
        <v>-593.803</v>
      </c>
      <c r="F2582" s="4" t="str">
        <f>HYPERLINK("http://141.218.60.56/~jnz1568/getInfo.php?workbook=14_04.xlsx&amp;sheet=A0&amp;row=2582&amp;col=6&amp;number=5.764&amp;sourceID=14","5.764")</f>
        <v>5.764</v>
      </c>
      <c r="G2582" s="4" t="str">
        <f>HYPERLINK("http://141.218.60.56/~jnz1568/getInfo.php?workbook=14_04.xlsx&amp;sheet=A0&amp;row=2582&amp;col=7&amp;number=0&amp;sourceID=14","0")</f>
        <v>0</v>
      </c>
    </row>
    <row r="2583" spans="1:7">
      <c r="A2583" s="3">
        <v>14</v>
      </c>
      <c r="B2583" s="3">
        <v>4</v>
      </c>
      <c r="C2583" s="3">
        <v>58</v>
      </c>
      <c r="D2583" s="3">
        <v>51</v>
      </c>
      <c r="E2583" s="3">
        <v>-588.728</v>
      </c>
      <c r="F2583" s="4" t="str">
        <f>HYPERLINK("http://141.218.60.56/~jnz1568/getInfo.php?workbook=14_04.xlsx&amp;sheet=A0&amp;row=2583&amp;col=6&amp;number=4.312&amp;sourceID=14","4.312")</f>
        <v>4.312</v>
      </c>
      <c r="G2583" s="4" t="str">
        <f>HYPERLINK("http://141.218.60.56/~jnz1568/getInfo.php?workbook=14_04.xlsx&amp;sheet=A0&amp;row=2583&amp;col=7&amp;number=0&amp;sourceID=14","0")</f>
        <v>0</v>
      </c>
    </row>
    <row r="2584" spans="1:7">
      <c r="A2584" s="3">
        <v>14</v>
      </c>
      <c r="B2584" s="3">
        <v>4</v>
      </c>
      <c r="C2584" s="3">
        <v>59</v>
      </c>
      <c r="D2584" s="3">
        <v>51</v>
      </c>
      <c r="E2584" s="3">
        <v>614.739</v>
      </c>
      <c r="F2584" s="4" t="str">
        <f>HYPERLINK("http://141.218.60.56/~jnz1568/getInfo.php?workbook=14_04.xlsx&amp;sheet=A0&amp;row=2584&amp;col=6&amp;number=1.288&amp;sourceID=14","1.288")</f>
        <v>1.288</v>
      </c>
      <c r="G2584" s="4" t="str">
        <f>HYPERLINK("http://141.218.60.56/~jnz1568/getInfo.php?workbook=14_04.xlsx&amp;sheet=A0&amp;row=2584&amp;col=7&amp;number=0&amp;sourceID=14","0")</f>
        <v>0</v>
      </c>
    </row>
    <row r="2585" spans="1:7">
      <c r="A2585" s="3">
        <v>14</v>
      </c>
      <c r="B2585" s="3">
        <v>4</v>
      </c>
      <c r="C2585" s="3">
        <v>60</v>
      </c>
      <c r="D2585" s="3">
        <v>51</v>
      </c>
      <c r="E2585" s="3">
        <v>-547.279</v>
      </c>
      <c r="F2585" s="4" t="str">
        <f>HYPERLINK("http://141.218.60.56/~jnz1568/getInfo.php?workbook=14_04.xlsx&amp;sheet=A0&amp;row=2585&amp;col=6&amp;number=0.3427&amp;sourceID=14","0.3427")</f>
        <v>0.3427</v>
      </c>
      <c r="G2585" s="4" t="str">
        <f>HYPERLINK("http://141.218.60.56/~jnz1568/getInfo.php?workbook=14_04.xlsx&amp;sheet=A0&amp;row=2585&amp;col=7&amp;number=0&amp;sourceID=14","0")</f>
        <v>0</v>
      </c>
    </row>
    <row r="2586" spans="1:7">
      <c r="A2586" s="3">
        <v>14</v>
      </c>
      <c r="B2586" s="3">
        <v>4</v>
      </c>
      <c r="C2586" s="3">
        <v>61</v>
      </c>
      <c r="D2586" s="3">
        <v>51</v>
      </c>
      <c r="E2586" s="3">
        <v>-513.725</v>
      </c>
      <c r="F2586" s="4" t="str">
        <f>HYPERLINK("http://141.218.60.56/~jnz1568/getInfo.php?workbook=14_04.xlsx&amp;sheet=A0&amp;row=2586&amp;col=6&amp;number=325900000&amp;sourceID=14","325900000")</f>
        <v>325900000</v>
      </c>
      <c r="G2586" s="4" t="str">
        <f>HYPERLINK("http://141.218.60.56/~jnz1568/getInfo.php?workbook=14_04.xlsx&amp;sheet=A0&amp;row=2586&amp;col=7&amp;number=0&amp;sourceID=14","0")</f>
        <v>0</v>
      </c>
    </row>
    <row r="2587" spans="1:7">
      <c r="A2587" s="3">
        <v>14</v>
      </c>
      <c r="B2587" s="3">
        <v>4</v>
      </c>
      <c r="C2587" s="3">
        <v>62</v>
      </c>
      <c r="D2587" s="3">
        <v>51</v>
      </c>
      <c r="E2587" s="3">
        <v>-525.541</v>
      </c>
      <c r="F2587" s="4" t="str">
        <f>HYPERLINK("http://141.218.60.56/~jnz1568/getInfo.php?workbook=14_04.xlsx&amp;sheet=A0&amp;row=2587&amp;col=6&amp;number=1294000&amp;sourceID=14","1294000")</f>
        <v>1294000</v>
      </c>
      <c r="G2587" s="4" t="str">
        <f>HYPERLINK("http://141.218.60.56/~jnz1568/getInfo.php?workbook=14_04.xlsx&amp;sheet=A0&amp;row=2587&amp;col=7&amp;number=0&amp;sourceID=14","0")</f>
        <v>0</v>
      </c>
    </row>
    <row r="2588" spans="1:7">
      <c r="A2588" s="3">
        <v>14</v>
      </c>
      <c r="B2588" s="3">
        <v>4</v>
      </c>
      <c r="C2588" s="3">
        <v>63</v>
      </c>
      <c r="D2588" s="3">
        <v>51</v>
      </c>
      <c r="E2588" s="3">
        <v>-513.052</v>
      </c>
      <c r="F2588" s="4" t="str">
        <f>HYPERLINK("http://141.218.60.56/~jnz1568/getInfo.php?workbook=14_04.xlsx&amp;sheet=A0&amp;row=2588&amp;col=6&amp;number=407300000&amp;sourceID=14","407300000")</f>
        <v>407300000</v>
      </c>
      <c r="G2588" s="4" t="str">
        <f>HYPERLINK("http://141.218.60.56/~jnz1568/getInfo.php?workbook=14_04.xlsx&amp;sheet=A0&amp;row=2588&amp;col=7&amp;number=0&amp;sourceID=14","0")</f>
        <v>0</v>
      </c>
    </row>
    <row r="2589" spans="1:7">
      <c r="A2589" s="3">
        <v>14</v>
      </c>
      <c r="B2589" s="3">
        <v>4</v>
      </c>
      <c r="C2589" s="3">
        <v>64</v>
      </c>
      <c r="D2589" s="3">
        <v>51</v>
      </c>
      <c r="E2589" s="3">
        <v>-499.153</v>
      </c>
      <c r="F2589" s="4" t="str">
        <f>HYPERLINK("http://141.218.60.56/~jnz1568/getInfo.php?workbook=14_04.xlsx&amp;sheet=A0&amp;row=2589&amp;col=6&amp;number=1049000000&amp;sourceID=14","1049000000")</f>
        <v>1049000000</v>
      </c>
      <c r="G2589" s="4" t="str">
        <f>HYPERLINK("http://141.218.60.56/~jnz1568/getInfo.php?workbook=14_04.xlsx&amp;sheet=A0&amp;row=2589&amp;col=7&amp;number=0&amp;sourceID=14","0")</f>
        <v>0</v>
      </c>
    </row>
    <row r="2590" spans="1:7">
      <c r="A2590" s="3">
        <v>14</v>
      </c>
      <c r="B2590" s="3">
        <v>4</v>
      </c>
      <c r="C2590" s="3">
        <v>65</v>
      </c>
      <c r="D2590" s="3">
        <v>51</v>
      </c>
      <c r="E2590" s="3">
        <v>-494.771</v>
      </c>
      <c r="F2590" s="4" t="str">
        <f>HYPERLINK("http://141.218.60.56/~jnz1568/getInfo.php?workbook=14_04.xlsx&amp;sheet=A0&amp;row=2590&amp;col=6&amp;number=1092000000&amp;sourceID=14","1092000000")</f>
        <v>1092000000</v>
      </c>
      <c r="G2590" s="4" t="str">
        <f>HYPERLINK("http://141.218.60.56/~jnz1568/getInfo.php?workbook=14_04.xlsx&amp;sheet=A0&amp;row=2590&amp;col=7&amp;number=0&amp;sourceID=14","0")</f>
        <v>0</v>
      </c>
    </row>
    <row r="2591" spans="1:7">
      <c r="A2591" s="3">
        <v>14</v>
      </c>
      <c r="B2591" s="3">
        <v>4</v>
      </c>
      <c r="C2591" s="3">
        <v>67</v>
      </c>
      <c r="D2591" s="3">
        <v>51</v>
      </c>
      <c r="E2591" s="3">
        <v>-484.292</v>
      </c>
      <c r="F2591" s="4" t="str">
        <f>HYPERLINK("http://141.218.60.56/~jnz1568/getInfo.php?workbook=14_04.xlsx&amp;sheet=A0&amp;row=2591&amp;col=6&amp;number=10500000&amp;sourceID=14","10500000")</f>
        <v>10500000</v>
      </c>
      <c r="G2591" s="4" t="str">
        <f>HYPERLINK("http://141.218.60.56/~jnz1568/getInfo.php?workbook=14_04.xlsx&amp;sheet=A0&amp;row=2591&amp;col=7&amp;number=0&amp;sourceID=14","0")</f>
        <v>0</v>
      </c>
    </row>
    <row r="2592" spans="1:7">
      <c r="A2592" s="3">
        <v>14</v>
      </c>
      <c r="B2592" s="3">
        <v>4</v>
      </c>
      <c r="C2592" s="3">
        <v>68</v>
      </c>
      <c r="D2592" s="3">
        <v>51</v>
      </c>
      <c r="E2592" s="3">
        <v>-482.443</v>
      </c>
      <c r="F2592" s="4" t="str">
        <f>HYPERLINK("http://141.218.60.56/~jnz1568/getInfo.php?workbook=14_04.xlsx&amp;sheet=A0&amp;row=2592&amp;col=6&amp;number=559900000&amp;sourceID=14","559900000")</f>
        <v>559900000</v>
      </c>
      <c r="G2592" s="4" t="str">
        <f>HYPERLINK("http://141.218.60.56/~jnz1568/getInfo.php?workbook=14_04.xlsx&amp;sheet=A0&amp;row=2592&amp;col=7&amp;number=0&amp;sourceID=14","0")</f>
        <v>0</v>
      </c>
    </row>
    <row r="2593" spans="1:7">
      <c r="A2593" s="3">
        <v>14</v>
      </c>
      <c r="B2593" s="3">
        <v>4</v>
      </c>
      <c r="C2593" s="3">
        <v>69</v>
      </c>
      <c r="D2593" s="3">
        <v>51</v>
      </c>
      <c r="E2593" s="3">
        <v>-480.562</v>
      </c>
      <c r="F2593" s="4" t="str">
        <f>HYPERLINK("http://141.218.60.56/~jnz1568/getInfo.php?workbook=14_04.xlsx&amp;sheet=A0&amp;row=2593&amp;col=6&amp;number=52.86&amp;sourceID=14","52.86")</f>
        <v>52.86</v>
      </c>
      <c r="G2593" s="4" t="str">
        <f>HYPERLINK("http://141.218.60.56/~jnz1568/getInfo.php?workbook=14_04.xlsx&amp;sheet=A0&amp;row=2593&amp;col=7&amp;number=0&amp;sourceID=14","0")</f>
        <v>0</v>
      </c>
    </row>
    <row r="2594" spans="1:7">
      <c r="A2594" s="3">
        <v>14</v>
      </c>
      <c r="B2594" s="3">
        <v>4</v>
      </c>
      <c r="C2594" s="3">
        <v>70</v>
      </c>
      <c r="D2594" s="3">
        <v>51</v>
      </c>
      <c r="E2594" s="3">
        <v>-472.762</v>
      </c>
      <c r="F2594" s="4" t="str">
        <f>HYPERLINK("http://141.218.60.56/~jnz1568/getInfo.php?workbook=14_04.xlsx&amp;sheet=A0&amp;row=2594&amp;col=6&amp;number=273.2&amp;sourceID=14","273.2")</f>
        <v>273.2</v>
      </c>
      <c r="G2594" s="4" t="str">
        <f>HYPERLINK("http://141.218.60.56/~jnz1568/getInfo.php?workbook=14_04.xlsx&amp;sheet=A0&amp;row=2594&amp;col=7&amp;number=0&amp;sourceID=14","0")</f>
        <v>0</v>
      </c>
    </row>
    <row r="2595" spans="1:7">
      <c r="A2595" s="3">
        <v>14</v>
      </c>
      <c r="B2595" s="3">
        <v>4</v>
      </c>
      <c r="C2595" s="3">
        <v>71</v>
      </c>
      <c r="D2595" s="3">
        <v>51</v>
      </c>
      <c r="E2595" s="3">
        <v>-469.628</v>
      </c>
      <c r="F2595" s="4" t="str">
        <f>HYPERLINK("http://141.218.60.56/~jnz1568/getInfo.php?workbook=14_04.xlsx&amp;sheet=A0&amp;row=2595&amp;col=6&amp;number=1.533&amp;sourceID=14","1.533")</f>
        <v>1.533</v>
      </c>
      <c r="G2595" s="4" t="str">
        <f>HYPERLINK("http://141.218.60.56/~jnz1568/getInfo.php?workbook=14_04.xlsx&amp;sheet=A0&amp;row=2595&amp;col=7&amp;number=0&amp;sourceID=14","0")</f>
        <v>0</v>
      </c>
    </row>
    <row r="2596" spans="1:7">
      <c r="A2596" s="3">
        <v>14</v>
      </c>
      <c r="B2596" s="3">
        <v>4</v>
      </c>
      <c r="C2596" s="3">
        <v>72</v>
      </c>
      <c r="D2596" s="3">
        <v>51</v>
      </c>
      <c r="E2596" s="3">
        <v>-464.874</v>
      </c>
      <c r="F2596" s="4" t="str">
        <f>HYPERLINK("http://141.218.60.56/~jnz1568/getInfo.php?workbook=14_04.xlsx&amp;sheet=A0&amp;row=2596&amp;col=6&amp;number=81460000&amp;sourceID=14","81460000")</f>
        <v>81460000</v>
      </c>
      <c r="G2596" s="4" t="str">
        <f>HYPERLINK("http://141.218.60.56/~jnz1568/getInfo.php?workbook=14_04.xlsx&amp;sheet=A0&amp;row=2596&amp;col=7&amp;number=0&amp;sourceID=14","0")</f>
        <v>0</v>
      </c>
    </row>
    <row r="2597" spans="1:7">
      <c r="A2597" s="3">
        <v>14</v>
      </c>
      <c r="B2597" s="3">
        <v>4</v>
      </c>
      <c r="C2597" s="3">
        <v>73</v>
      </c>
      <c r="D2597" s="3">
        <v>51</v>
      </c>
      <c r="E2597" s="3">
        <v>-462.046</v>
      </c>
      <c r="F2597" s="4" t="str">
        <f>HYPERLINK("http://141.218.60.56/~jnz1568/getInfo.php?workbook=14_04.xlsx&amp;sheet=A0&amp;row=2597&amp;col=6&amp;number=1019&amp;sourceID=14","1019")</f>
        <v>1019</v>
      </c>
      <c r="G2597" s="4" t="str">
        <f>HYPERLINK("http://141.218.60.56/~jnz1568/getInfo.php?workbook=14_04.xlsx&amp;sheet=A0&amp;row=2597&amp;col=7&amp;number=0&amp;sourceID=14","0")</f>
        <v>0</v>
      </c>
    </row>
    <row r="2598" spans="1:7">
      <c r="A2598" s="3">
        <v>14</v>
      </c>
      <c r="B2598" s="3">
        <v>4</v>
      </c>
      <c r="C2598" s="3">
        <v>74</v>
      </c>
      <c r="D2598" s="3">
        <v>51</v>
      </c>
      <c r="E2598" s="3">
        <v>-458.843</v>
      </c>
      <c r="F2598" s="4" t="str">
        <f>HYPERLINK("http://141.218.60.56/~jnz1568/getInfo.php?workbook=14_04.xlsx&amp;sheet=A0&amp;row=2598&amp;col=6&amp;number=62.2&amp;sourceID=14","62.2")</f>
        <v>62.2</v>
      </c>
      <c r="G2598" s="4" t="str">
        <f>HYPERLINK("http://141.218.60.56/~jnz1568/getInfo.php?workbook=14_04.xlsx&amp;sheet=A0&amp;row=2598&amp;col=7&amp;number=0&amp;sourceID=14","0")</f>
        <v>0</v>
      </c>
    </row>
    <row r="2599" spans="1:7">
      <c r="A2599" s="3">
        <v>14</v>
      </c>
      <c r="B2599" s="3">
        <v>4</v>
      </c>
      <c r="C2599" s="3">
        <v>75</v>
      </c>
      <c r="D2599" s="3">
        <v>51</v>
      </c>
      <c r="E2599" s="3">
        <v>-454.84</v>
      </c>
      <c r="F2599" s="4" t="str">
        <f>HYPERLINK("http://141.218.60.56/~jnz1568/getInfo.php?workbook=14_04.xlsx&amp;sheet=A0&amp;row=2599&amp;col=6&amp;number=91.72&amp;sourceID=14","91.72")</f>
        <v>91.72</v>
      </c>
      <c r="G2599" s="4" t="str">
        <f>HYPERLINK("http://141.218.60.56/~jnz1568/getInfo.php?workbook=14_04.xlsx&amp;sheet=A0&amp;row=2599&amp;col=7&amp;number=0&amp;sourceID=14","0")</f>
        <v>0</v>
      </c>
    </row>
    <row r="2600" spans="1:7">
      <c r="A2600" s="3">
        <v>14</v>
      </c>
      <c r="B2600" s="3">
        <v>4</v>
      </c>
      <c r="C2600" s="3">
        <v>76</v>
      </c>
      <c r="D2600" s="3">
        <v>51</v>
      </c>
      <c r="E2600" s="3">
        <v>459.058</v>
      </c>
      <c r="F2600" s="4" t="str">
        <f>HYPERLINK("http://141.218.60.56/~jnz1568/getInfo.php?workbook=14_04.xlsx&amp;sheet=A0&amp;row=2600&amp;col=6&amp;number=19.34&amp;sourceID=14","19.34")</f>
        <v>19.34</v>
      </c>
      <c r="G2600" s="4" t="str">
        <f>HYPERLINK("http://141.218.60.56/~jnz1568/getInfo.php?workbook=14_04.xlsx&amp;sheet=A0&amp;row=2600&amp;col=7&amp;number=0&amp;sourceID=14","0")</f>
        <v>0</v>
      </c>
    </row>
    <row r="2601" spans="1:7">
      <c r="A2601" s="3">
        <v>14</v>
      </c>
      <c r="B2601" s="3">
        <v>4</v>
      </c>
      <c r="C2601" s="3">
        <v>77</v>
      </c>
      <c r="D2601" s="3">
        <v>51</v>
      </c>
      <c r="E2601" s="3">
        <v>457.148</v>
      </c>
      <c r="F2601" s="4" t="str">
        <f>HYPERLINK("http://141.218.60.56/~jnz1568/getInfo.php?workbook=14_04.xlsx&amp;sheet=A0&amp;row=2601&amp;col=6&amp;number=191.2&amp;sourceID=14","191.2")</f>
        <v>191.2</v>
      </c>
      <c r="G2601" s="4" t="str">
        <f>HYPERLINK("http://141.218.60.56/~jnz1568/getInfo.php?workbook=14_04.xlsx&amp;sheet=A0&amp;row=2601&amp;col=7&amp;number=0&amp;sourceID=14","0")</f>
        <v>0</v>
      </c>
    </row>
    <row r="2602" spans="1:7">
      <c r="A2602" s="3">
        <v>14</v>
      </c>
      <c r="B2602" s="3">
        <v>4</v>
      </c>
      <c r="C2602" s="3">
        <v>78</v>
      </c>
      <c r="D2602" s="3">
        <v>51</v>
      </c>
      <c r="E2602" s="3">
        <v>-442.93</v>
      </c>
      <c r="F2602" s="4" t="str">
        <f>HYPERLINK("http://141.218.60.56/~jnz1568/getInfo.php?workbook=14_04.xlsx&amp;sheet=A0&amp;row=2602&amp;col=6&amp;number=646.1&amp;sourceID=14","646.1")</f>
        <v>646.1</v>
      </c>
      <c r="G2602" s="4" t="str">
        <f>HYPERLINK("http://141.218.60.56/~jnz1568/getInfo.php?workbook=14_04.xlsx&amp;sheet=A0&amp;row=2602&amp;col=7&amp;number=0&amp;sourceID=14","0")</f>
        <v>0</v>
      </c>
    </row>
    <row r="2603" spans="1:7">
      <c r="A2603" s="3">
        <v>14</v>
      </c>
      <c r="B2603" s="3">
        <v>4</v>
      </c>
      <c r="C2603" s="3">
        <v>79</v>
      </c>
      <c r="D2603" s="3">
        <v>51</v>
      </c>
      <c r="E2603" s="3">
        <v>-442.07</v>
      </c>
      <c r="F2603" s="4" t="str">
        <f>HYPERLINK("http://141.218.60.56/~jnz1568/getInfo.php?workbook=14_04.xlsx&amp;sheet=A0&amp;row=2603&amp;col=6&amp;number=1005&amp;sourceID=14","1005")</f>
        <v>1005</v>
      </c>
      <c r="G2603" s="4" t="str">
        <f>HYPERLINK("http://141.218.60.56/~jnz1568/getInfo.php?workbook=14_04.xlsx&amp;sheet=A0&amp;row=2603&amp;col=7&amp;number=0&amp;sourceID=14","0")</f>
        <v>0</v>
      </c>
    </row>
    <row r="2604" spans="1:7">
      <c r="A2604" s="3">
        <v>14</v>
      </c>
      <c r="B2604" s="3">
        <v>4</v>
      </c>
      <c r="C2604" s="3">
        <v>81</v>
      </c>
      <c r="D2604" s="3">
        <v>51</v>
      </c>
      <c r="E2604" s="3">
        <v>436.924</v>
      </c>
      <c r="F2604" s="4" t="str">
        <f>HYPERLINK("http://141.218.60.56/~jnz1568/getInfo.php?workbook=14_04.xlsx&amp;sheet=A0&amp;row=2604&amp;col=6&amp;number=7.238&amp;sourceID=14","7.238")</f>
        <v>7.238</v>
      </c>
      <c r="G2604" s="4" t="str">
        <f>HYPERLINK("http://141.218.60.56/~jnz1568/getInfo.php?workbook=14_04.xlsx&amp;sheet=A0&amp;row=2604&amp;col=7&amp;number=0&amp;sourceID=14","0")</f>
        <v>0</v>
      </c>
    </row>
    <row r="2605" spans="1:7">
      <c r="A2605" s="3">
        <v>14</v>
      </c>
      <c r="B2605" s="3">
        <v>4</v>
      </c>
      <c r="C2605" s="3">
        <v>82</v>
      </c>
      <c r="D2605" s="3">
        <v>51</v>
      </c>
      <c r="E2605" s="3">
        <v>-420.073</v>
      </c>
      <c r="F2605" s="4" t="str">
        <f>HYPERLINK("http://141.218.60.56/~jnz1568/getInfo.php?workbook=14_04.xlsx&amp;sheet=A0&amp;row=2605&amp;col=6&amp;number=16.81&amp;sourceID=14","16.81")</f>
        <v>16.81</v>
      </c>
      <c r="G2605" s="4" t="str">
        <f>HYPERLINK("http://141.218.60.56/~jnz1568/getInfo.php?workbook=14_04.xlsx&amp;sheet=A0&amp;row=2605&amp;col=7&amp;number=0&amp;sourceID=14","0")</f>
        <v>0</v>
      </c>
    </row>
    <row r="2606" spans="1:7">
      <c r="A2606" s="3">
        <v>14</v>
      </c>
      <c r="B2606" s="3">
        <v>4</v>
      </c>
      <c r="C2606" s="3">
        <v>83</v>
      </c>
      <c r="D2606" s="3">
        <v>51</v>
      </c>
      <c r="E2606" s="3">
        <v>-334.48</v>
      </c>
      <c r="F2606" s="4" t="str">
        <f>HYPERLINK("http://141.218.60.56/~jnz1568/getInfo.php?workbook=14_04.xlsx&amp;sheet=A0&amp;row=2606&amp;col=6&amp;number=7779000000&amp;sourceID=14","7779000000")</f>
        <v>7779000000</v>
      </c>
      <c r="G2606" s="4" t="str">
        <f>HYPERLINK("http://141.218.60.56/~jnz1568/getInfo.php?workbook=14_04.xlsx&amp;sheet=A0&amp;row=2606&amp;col=7&amp;number=0&amp;sourceID=14","0")</f>
        <v>0</v>
      </c>
    </row>
    <row r="2607" spans="1:7">
      <c r="A2607" s="3">
        <v>14</v>
      </c>
      <c r="B2607" s="3">
        <v>4</v>
      </c>
      <c r="C2607" s="3">
        <v>85</v>
      </c>
      <c r="D2607" s="3">
        <v>51</v>
      </c>
      <c r="E2607" s="3">
        <v>-318.985</v>
      </c>
      <c r="F2607" s="4" t="str">
        <f>HYPERLINK("http://141.218.60.56/~jnz1568/getInfo.php?workbook=14_04.xlsx&amp;sheet=A0&amp;row=2607&amp;col=6&amp;number=861500&amp;sourceID=14","861500")</f>
        <v>861500</v>
      </c>
      <c r="G2607" s="4" t="str">
        <f>HYPERLINK("http://141.218.60.56/~jnz1568/getInfo.php?workbook=14_04.xlsx&amp;sheet=A0&amp;row=2607&amp;col=7&amp;number=0&amp;sourceID=14","0")</f>
        <v>0</v>
      </c>
    </row>
    <row r="2608" spans="1:7">
      <c r="A2608" s="3">
        <v>14</v>
      </c>
      <c r="B2608" s="3">
        <v>4</v>
      </c>
      <c r="C2608" s="3">
        <v>86</v>
      </c>
      <c r="D2608" s="3">
        <v>51</v>
      </c>
      <c r="E2608" s="3">
        <v>-318.862</v>
      </c>
      <c r="F2608" s="4" t="str">
        <f>HYPERLINK("http://141.218.60.56/~jnz1568/getInfo.php?workbook=14_04.xlsx&amp;sheet=A0&amp;row=2608&amp;col=6&amp;number=642800&amp;sourceID=14","642800")</f>
        <v>642800</v>
      </c>
      <c r="G2608" s="4" t="str">
        <f>HYPERLINK("http://141.218.60.56/~jnz1568/getInfo.php?workbook=14_04.xlsx&amp;sheet=A0&amp;row=2608&amp;col=7&amp;number=0&amp;sourceID=14","0")</f>
        <v>0</v>
      </c>
    </row>
    <row r="2609" spans="1:7">
      <c r="A2609" s="3">
        <v>14</v>
      </c>
      <c r="B2609" s="3">
        <v>4</v>
      </c>
      <c r="C2609" s="3">
        <v>87</v>
      </c>
      <c r="D2609" s="3">
        <v>51</v>
      </c>
      <c r="E2609" s="3">
        <v>319.26</v>
      </c>
      <c r="F2609" s="4" t="str">
        <f>HYPERLINK("http://141.218.60.56/~jnz1568/getInfo.php?workbook=14_04.xlsx&amp;sheet=A0&amp;row=2609&amp;col=6&amp;number=298500&amp;sourceID=14","298500")</f>
        <v>298500</v>
      </c>
      <c r="G2609" s="4" t="str">
        <f>HYPERLINK("http://141.218.60.56/~jnz1568/getInfo.php?workbook=14_04.xlsx&amp;sheet=A0&amp;row=2609&amp;col=7&amp;number=0&amp;sourceID=14","0")</f>
        <v>0</v>
      </c>
    </row>
    <row r="2610" spans="1:7">
      <c r="A2610" s="3">
        <v>14</v>
      </c>
      <c r="B2610" s="3">
        <v>4</v>
      </c>
      <c r="C2610" s="3">
        <v>88</v>
      </c>
      <c r="D2610" s="3">
        <v>51</v>
      </c>
      <c r="E2610" s="3">
        <v>-315.989</v>
      </c>
      <c r="F2610" s="4" t="str">
        <f>HYPERLINK("http://141.218.60.56/~jnz1568/getInfo.php?workbook=14_04.xlsx&amp;sheet=A0&amp;row=2610&amp;col=6&amp;number=3431&amp;sourceID=14","3431")</f>
        <v>3431</v>
      </c>
      <c r="G2610" s="4" t="str">
        <f>HYPERLINK("http://141.218.60.56/~jnz1568/getInfo.php?workbook=14_04.xlsx&amp;sheet=A0&amp;row=2610&amp;col=7&amp;number=0&amp;sourceID=14","0")</f>
        <v>0</v>
      </c>
    </row>
    <row r="2611" spans="1:7">
      <c r="A2611" s="3">
        <v>14</v>
      </c>
      <c r="B2611" s="3">
        <v>4</v>
      </c>
      <c r="C2611" s="3">
        <v>89</v>
      </c>
      <c r="D2611" s="3">
        <v>51</v>
      </c>
      <c r="E2611" s="3">
        <v>-310.488</v>
      </c>
      <c r="F2611" s="4" t="str">
        <f>HYPERLINK("http://141.218.60.56/~jnz1568/getInfo.php?workbook=14_04.xlsx&amp;sheet=A0&amp;row=2611&amp;col=6&amp;number=557600000&amp;sourceID=14","557600000")</f>
        <v>557600000</v>
      </c>
      <c r="G2611" s="4" t="str">
        <f>HYPERLINK("http://141.218.60.56/~jnz1568/getInfo.php?workbook=14_04.xlsx&amp;sheet=A0&amp;row=2611&amp;col=7&amp;number=0&amp;sourceID=14","0")</f>
        <v>0</v>
      </c>
    </row>
    <row r="2612" spans="1:7">
      <c r="A2612" s="3">
        <v>14</v>
      </c>
      <c r="B2612" s="3">
        <v>4</v>
      </c>
      <c r="C2612" s="3">
        <v>90</v>
      </c>
      <c r="D2612" s="3">
        <v>51</v>
      </c>
      <c r="E2612" s="3">
        <v>314.658</v>
      </c>
      <c r="F2612" s="4" t="str">
        <f>HYPERLINK("http://141.218.60.56/~jnz1568/getInfo.php?workbook=14_04.xlsx&amp;sheet=A0&amp;row=2612&amp;col=6&amp;number=4814000000&amp;sourceID=14","4814000000")</f>
        <v>4814000000</v>
      </c>
      <c r="G2612" s="4" t="str">
        <f>HYPERLINK("http://141.218.60.56/~jnz1568/getInfo.php?workbook=14_04.xlsx&amp;sheet=A0&amp;row=2612&amp;col=7&amp;number=0&amp;sourceID=14","0")</f>
        <v>0</v>
      </c>
    </row>
    <row r="2613" spans="1:7">
      <c r="A2613" s="3">
        <v>14</v>
      </c>
      <c r="B2613" s="3">
        <v>4</v>
      </c>
      <c r="C2613" s="3">
        <v>91</v>
      </c>
      <c r="D2613" s="3">
        <v>51</v>
      </c>
      <c r="E2613" s="3">
        <v>314.74</v>
      </c>
      <c r="F2613" s="4" t="str">
        <f>HYPERLINK("http://141.218.60.56/~jnz1568/getInfo.php?workbook=14_04.xlsx&amp;sheet=A0&amp;row=2613&amp;col=6&amp;number=19210000000&amp;sourceID=14","19210000000")</f>
        <v>19210000000</v>
      </c>
      <c r="G2613" s="4" t="str">
        <f>HYPERLINK("http://141.218.60.56/~jnz1568/getInfo.php?workbook=14_04.xlsx&amp;sheet=A0&amp;row=2613&amp;col=7&amp;number=0&amp;sourceID=14","0")</f>
        <v>0</v>
      </c>
    </row>
    <row r="2614" spans="1:7">
      <c r="A2614" s="3">
        <v>14</v>
      </c>
      <c r="B2614" s="3">
        <v>4</v>
      </c>
      <c r="C2614" s="3">
        <v>92</v>
      </c>
      <c r="D2614" s="3">
        <v>51</v>
      </c>
      <c r="E2614" s="3">
        <v>310.897</v>
      </c>
      <c r="F2614" s="4" t="str">
        <f>HYPERLINK("http://141.218.60.56/~jnz1568/getInfo.php?workbook=14_04.xlsx&amp;sheet=A0&amp;row=2614&amp;col=6&amp;number=761300&amp;sourceID=14","761300")</f>
        <v>761300</v>
      </c>
      <c r="G2614" s="4" t="str">
        <f>HYPERLINK("http://141.218.60.56/~jnz1568/getInfo.php?workbook=14_04.xlsx&amp;sheet=A0&amp;row=2614&amp;col=7&amp;number=0&amp;sourceID=14","0")</f>
        <v>0</v>
      </c>
    </row>
    <row r="2615" spans="1:7">
      <c r="A2615" s="3">
        <v>14</v>
      </c>
      <c r="B2615" s="3">
        <v>4</v>
      </c>
      <c r="C2615" s="3">
        <v>53</v>
      </c>
      <c r="D2615" s="3">
        <v>52</v>
      </c>
      <c r="E2615" s="3">
        <v>6252.747</v>
      </c>
      <c r="F2615" s="4" t="str">
        <f>HYPERLINK("http://141.218.60.56/~jnz1568/getInfo.php?workbook=14_04.xlsx&amp;sheet=A0&amp;row=2615&amp;col=6&amp;number=61070&amp;sourceID=14","61070")</f>
        <v>61070</v>
      </c>
      <c r="G2615" s="4" t="str">
        <f>HYPERLINK("http://141.218.60.56/~jnz1568/getInfo.php?workbook=14_04.xlsx&amp;sheet=A0&amp;row=2615&amp;col=7&amp;number=0&amp;sourceID=14","0")</f>
        <v>0</v>
      </c>
    </row>
    <row r="2616" spans="1:7">
      <c r="A2616" s="3">
        <v>14</v>
      </c>
      <c r="B2616" s="3">
        <v>4</v>
      </c>
      <c r="C2616" s="3">
        <v>54</v>
      </c>
      <c r="D2616" s="3">
        <v>52</v>
      </c>
      <c r="E2616" s="3">
        <v>6263.713</v>
      </c>
      <c r="F2616" s="4" t="str">
        <f>HYPERLINK("http://141.218.60.56/~jnz1568/getInfo.php?workbook=14_04.xlsx&amp;sheet=A0&amp;row=2616&amp;col=6&amp;number=85710&amp;sourceID=14","85710")</f>
        <v>85710</v>
      </c>
      <c r="G2616" s="4" t="str">
        <f>HYPERLINK("http://141.218.60.56/~jnz1568/getInfo.php?workbook=14_04.xlsx&amp;sheet=A0&amp;row=2616&amp;col=7&amp;number=0&amp;sourceID=14","0")</f>
        <v>0</v>
      </c>
    </row>
    <row r="2617" spans="1:7">
      <c r="A2617" s="3">
        <v>14</v>
      </c>
      <c r="B2617" s="3">
        <v>4</v>
      </c>
      <c r="C2617" s="3">
        <v>56</v>
      </c>
      <c r="D2617" s="3">
        <v>52</v>
      </c>
      <c r="E2617" s="3">
        <v>3633.464</v>
      </c>
      <c r="F2617" s="4" t="str">
        <f>HYPERLINK("http://141.218.60.56/~jnz1568/getInfo.php?workbook=14_04.xlsx&amp;sheet=A0&amp;row=2617&amp;col=6&amp;number=56920000&amp;sourceID=14","56920000")</f>
        <v>56920000</v>
      </c>
      <c r="G2617" s="4" t="str">
        <f>HYPERLINK("http://141.218.60.56/~jnz1568/getInfo.php?workbook=14_04.xlsx&amp;sheet=A0&amp;row=2617&amp;col=7&amp;number=0&amp;sourceID=14","0")</f>
        <v>0</v>
      </c>
    </row>
    <row r="2618" spans="1:7">
      <c r="A2618" s="3">
        <v>14</v>
      </c>
      <c r="B2618" s="3">
        <v>4</v>
      </c>
      <c r="C2618" s="3">
        <v>57</v>
      </c>
      <c r="D2618" s="3">
        <v>52</v>
      </c>
      <c r="E2618" s="3">
        <v>-603.998</v>
      </c>
      <c r="F2618" s="4" t="str">
        <f>HYPERLINK("http://141.218.60.56/~jnz1568/getInfo.php?workbook=14_04.xlsx&amp;sheet=A0&amp;row=2618&amp;col=6&amp;number=1.72&amp;sourceID=14","1.72")</f>
        <v>1.72</v>
      </c>
      <c r="G2618" s="4" t="str">
        <f>HYPERLINK("http://141.218.60.56/~jnz1568/getInfo.php?workbook=14_04.xlsx&amp;sheet=A0&amp;row=2618&amp;col=7&amp;number=0&amp;sourceID=14","0")</f>
        <v>0</v>
      </c>
    </row>
    <row r="2619" spans="1:7">
      <c r="A2619" s="3">
        <v>14</v>
      </c>
      <c r="B2619" s="3">
        <v>4</v>
      </c>
      <c r="C2619" s="3">
        <v>58</v>
      </c>
      <c r="D2619" s="3">
        <v>52</v>
      </c>
      <c r="E2619" s="3">
        <v>-598.748</v>
      </c>
      <c r="F2619" s="4" t="str">
        <f>HYPERLINK("http://141.218.60.56/~jnz1568/getInfo.php?workbook=14_04.xlsx&amp;sheet=A0&amp;row=2619&amp;col=6&amp;number=148.6&amp;sourceID=14","148.6")</f>
        <v>148.6</v>
      </c>
      <c r="G2619" s="4" t="str">
        <f>HYPERLINK("http://141.218.60.56/~jnz1568/getInfo.php?workbook=14_04.xlsx&amp;sheet=A0&amp;row=2619&amp;col=7&amp;number=0&amp;sourceID=14","0")</f>
        <v>0</v>
      </c>
    </row>
    <row r="2620" spans="1:7">
      <c r="A2620" s="3">
        <v>14</v>
      </c>
      <c r="B2620" s="3">
        <v>4</v>
      </c>
      <c r="C2620" s="3">
        <v>59</v>
      </c>
      <c r="D2620" s="3">
        <v>52</v>
      </c>
      <c r="E2620" s="3">
        <v>599.248</v>
      </c>
      <c r="F2620" s="4" t="str">
        <f>HYPERLINK("http://141.218.60.56/~jnz1568/getInfo.php?workbook=14_04.xlsx&amp;sheet=A0&amp;row=2620&amp;col=6&amp;number=0.6087&amp;sourceID=14","0.6087")</f>
        <v>0.6087</v>
      </c>
      <c r="G2620" s="4" t="str">
        <f>HYPERLINK("http://141.218.60.56/~jnz1568/getInfo.php?workbook=14_04.xlsx&amp;sheet=A0&amp;row=2620&amp;col=7&amp;number=0&amp;sourceID=14","0")</f>
        <v>0</v>
      </c>
    </row>
    <row r="2621" spans="1:7">
      <c r="A2621" s="3">
        <v>14</v>
      </c>
      <c r="B2621" s="3">
        <v>4</v>
      </c>
      <c r="C2621" s="3">
        <v>60</v>
      </c>
      <c r="D2621" s="3">
        <v>52</v>
      </c>
      <c r="E2621" s="3">
        <v>-555.927</v>
      </c>
      <c r="F2621" s="4" t="str">
        <f>HYPERLINK("http://141.218.60.56/~jnz1568/getInfo.php?workbook=14_04.xlsx&amp;sheet=A0&amp;row=2621&amp;col=6&amp;number=1929&amp;sourceID=14","1929")</f>
        <v>1929</v>
      </c>
      <c r="G2621" s="4" t="str">
        <f>HYPERLINK("http://141.218.60.56/~jnz1568/getInfo.php?workbook=14_04.xlsx&amp;sheet=A0&amp;row=2621&amp;col=7&amp;number=0&amp;sourceID=14","0")</f>
        <v>0</v>
      </c>
    </row>
    <row r="2622" spans="1:7">
      <c r="A2622" s="3">
        <v>14</v>
      </c>
      <c r="B2622" s="3">
        <v>4</v>
      </c>
      <c r="C2622" s="3">
        <v>61</v>
      </c>
      <c r="D2622" s="3">
        <v>52</v>
      </c>
      <c r="E2622" s="3">
        <v>-521.338</v>
      </c>
      <c r="F2622" s="4" t="str">
        <f>HYPERLINK("http://141.218.60.56/~jnz1568/getInfo.php?workbook=14_04.xlsx&amp;sheet=A0&amp;row=2622&amp;col=6&amp;number=673800000&amp;sourceID=14","673800000")</f>
        <v>673800000</v>
      </c>
      <c r="G2622" s="4" t="str">
        <f>HYPERLINK("http://141.218.60.56/~jnz1568/getInfo.php?workbook=14_04.xlsx&amp;sheet=A0&amp;row=2622&amp;col=7&amp;number=0&amp;sourceID=14","0")</f>
        <v>0</v>
      </c>
    </row>
    <row r="2623" spans="1:7">
      <c r="A2623" s="3">
        <v>14</v>
      </c>
      <c r="B2623" s="3">
        <v>4</v>
      </c>
      <c r="C2623" s="3">
        <v>62</v>
      </c>
      <c r="D2623" s="3">
        <v>52</v>
      </c>
      <c r="E2623" s="3">
        <v>-533.51</v>
      </c>
      <c r="F2623" s="4" t="str">
        <f>HYPERLINK("http://141.218.60.56/~jnz1568/getInfo.php?workbook=14_04.xlsx&amp;sheet=A0&amp;row=2623&amp;col=6&amp;number=629200000&amp;sourceID=14","629200000")</f>
        <v>629200000</v>
      </c>
      <c r="G2623" s="4" t="str">
        <f>HYPERLINK("http://141.218.60.56/~jnz1568/getInfo.php?workbook=14_04.xlsx&amp;sheet=A0&amp;row=2623&amp;col=7&amp;number=0&amp;sourceID=14","0")</f>
        <v>0</v>
      </c>
    </row>
    <row r="2624" spans="1:7">
      <c r="A2624" s="3">
        <v>14</v>
      </c>
      <c r="B2624" s="3">
        <v>4</v>
      </c>
      <c r="C2624" s="3">
        <v>63</v>
      </c>
      <c r="D2624" s="3">
        <v>52</v>
      </c>
      <c r="E2624" s="3">
        <v>-520.645</v>
      </c>
      <c r="F2624" s="4" t="str">
        <f>HYPERLINK("http://141.218.60.56/~jnz1568/getInfo.php?workbook=14_04.xlsx&amp;sheet=A0&amp;row=2624&amp;col=6&amp;number=31660000&amp;sourceID=14","31660000")</f>
        <v>31660000</v>
      </c>
      <c r="G2624" s="4" t="str">
        <f>HYPERLINK("http://141.218.60.56/~jnz1568/getInfo.php?workbook=14_04.xlsx&amp;sheet=A0&amp;row=2624&amp;col=7&amp;number=0&amp;sourceID=14","0")</f>
        <v>0</v>
      </c>
    </row>
    <row r="2625" spans="1:7">
      <c r="A2625" s="3">
        <v>14</v>
      </c>
      <c r="B2625" s="3">
        <v>4</v>
      </c>
      <c r="C2625" s="3">
        <v>65</v>
      </c>
      <c r="D2625" s="3">
        <v>52</v>
      </c>
      <c r="E2625" s="3">
        <v>-501.829</v>
      </c>
      <c r="F2625" s="4" t="str">
        <f>HYPERLINK("http://141.218.60.56/~jnz1568/getInfo.php?workbook=14_04.xlsx&amp;sheet=A0&amp;row=2625&amp;col=6&amp;number=313300000&amp;sourceID=14","313300000")</f>
        <v>313300000</v>
      </c>
      <c r="G2625" s="4" t="str">
        <f>HYPERLINK("http://141.218.60.56/~jnz1568/getInfo.php?workbook=14_04.xlsx&amp;sheet=A0&amp;row=2625&amp;col=7&amp;number=0&amp;sourceID=14","0")</f>
        <v>0</v>
      </c>
    </row>
    <row r="2626" spans="1:7">
      <c r="A2626" s="3">
        <v>14</v>
      </c>
      <c r="B2626" s="3">
        <v>4</v>
      </c>
      <c r="C2626" s="3">
        <v>66</v>
      </c>
      <c r="D2626" s="3">
        <v>52</v>
      </c>
      <c r="E2626" s="3">
        <v>-502.211</v>
      </c>
      <c r="F2626" s="4" t="str">
        <f>HYPERLINK("http://141.218.60.56/~jnz1568/getInfo.php?workbook=14_04.xlsx&amp;sheet=A0&amp;row=2626&amp;col=6&amp;number=7041000&amp;sourceID=14","7041000")</f>
        <v>7041000</v>
      </c>
      <c r="G2626" s="4" t="str">
        <f>HYPERLINK("http://141.218.60.56/~jnz1568/getInfo.php?workbook=14_04.xlsx&amp;sheet=A0&amp;row=2626&amp;col=7&amp;number=0&amp;sourceID=14","0")</f>
        <v>0</v>
      </c>
    </row>
    <row r="2627" spans="1:7">
      <c r="A2627" s="3">
        <v>14</v>
      </c>
      <c r="B2627" s="3">
        <v>4</v>
      </c>
      <c r="C2627" s="3">
        <v>67</v>
      </c>
      <c r="D2627" s="3">
        <v>52</v>
      </c>
      <c r="E2627" s="3">
        <v>-491.052</v>
      </c>
      <c r="F2627" s="4" t="str">
        <f>HYPERLINK("http://141.218.60.56/~jnz1568/getInfo.php?workbook=14_04.xlsx&amp;sheet=A0&amp;row=2627&amp;col=6&amp;number=5653000&amp;sourceID=14","5653000")</f>
        <v>5653000</v>
      </c>
      <c r="G2627" s="4" t="str">
        <f>HYPERLINK("http://141.218.60.56/~jnz1568/getInfo.php?workbook=14_04.xlsx&amp;sheet=A0&amp;row=2627&amp;col=7&amp;number=0&amp;sourceID=14","0")</f>
        <v>0</v>
      </c>
    </row>
    <row r="2628" spans="1:7">
      <c r="A2628" s="3">
        <v>14</v>
      </c>
      <c r="B2628" s="3">
        <v>4</v>
      </c>
      <c r="C2628" s="3">
        <v>68</v>
      </c>
      <c r="D2628" s="3">
        <v>52</v>
      </c>
      <c r="E2628" s="3">
        <v>-489.151</v>
      </c>
      <c r="F2628" s="4" t="str">
        <f>HYPERLINK("http://141.218.60.56/~jnz1568/getInfo.php?workbook=14_04.xlsx&amp;sheet=A0&amp;row=2628&amp;col=6&amp;number=2446000&amp;sourceID=14","2446000")</f>
        <v>2446000</v>
      </c>
      <c r="G2628" s="4" t="str">
        <f>HYPERLINK("http://141.218.60.56/~jnz1568/getInfo.php?workbook=14_04.xlsx&amp;sheet=A0&amp;row=2628&amp;col=7&amp;number=0&amp;sourceID=14","0")</f>
        <v>0</v>
      </c>
    </row>
    <row r="2629" spans="1:7">
      <c r="A2629" s="3">
        <v>14</v>
      </c>
      <c r="B2629" s="3">
        <v>4</v>
      </c>
      <c r="C2629" s="3">
        <v>69</v>
      </c>
      <c r="D2629" s="3">
        <v>52</v>
      </c>
      <c r="E2629" s="3">
        <v>-487.217</v>
      </c>
      <c r="F2629" s="4" t="str">
        <f>HYPERLINK("http://141.218.60.56/~jnz1568/getInfo.php?workbook=14_04.xlsx&amp;sheet=A0&amp;row=2629&amp;col=6&amp;number=275.6&amp;sourceID=14","275.6")</f>
        <v>275.6</v>
      </c>
      <c r="G2629" s="4" t="str">
        <f>HYPERLINK("http://141.218.60.56/~jnz1568/getInfo.php?workbook=14_04.xlsx&amp;sheet=A0&amp;row=2629&amp;col=7&amp;number=0&amp;sourceID=14","0")</f>
        <v>0</v>
      </c>
    </row>
    <row r="2630" spans="1:7">
      <c r="A2630" s="3">
        <v>14</v>
      </c>
      <c r="B2630" s="3">
        <v>4</v>
      </c>
      <c r="C2630" s="3">
        <v>70</v>
      </c>
      <c r="D2630" s="3">
        <v>52</v>
      </c>
      <c r="E2630" s="3">
        <v>-479.201</v>
      </c>
      <c r="F2630" s="4" t="str">
        <f>HYPERLINK("http://141.218.60.56/~jnz1568/getInfo.php?workbook=14_04.xlsx&amp;sheet=A0&amp;row=2630&amp;col=6&amp;number=269.3&amp;sourceID=14","269.3")</f>
        <v>269.3</v>
      </c>
      <c r="G2630" s="4" t="str">
        <f>HYPERLINK("http://141.218.60.56/~jnz1568/getInfo.php?workbook=14_04.xlsx&amp;sheet=A0&amp;row=2630&amp;col=7&amp;number=0&amp;sourceID=14","0")</f>
        <v>0</v>
      </c>
    </row>
    <row r="2631" spans="1:7">
      <c r="A2631" s="3">
        <v>14</v>
      </c>
      <c r="B2631" s="3">
        <v>4</v>
      </c>
      <c r="C2631" s="3">
        <v>71</v>
      </c>
      <c r="D2631" s="3">
        <v>52</v>
      </c>
      <c r="E2631" s="3">
        <v>-475.982</v>
      </c>
      <c r="F2631" s="4" t="str">
        <f>HYPERLINK("http://141.218.60.56/~jnz1568/getInfo.php?workbook=14_04.xlsx&amp;sheet=A0&amp;row=2631&amp;col=6&amp;number=499.2&amp;sourceID=14","499.2")</f>
        <v>499.2</v>
      </c>
      <c r="G2631" s="4" t="str">
        <f>HYPERLINK("http://141.218.60.56/~jnz1568/getInfo.php?workbook=14_04.xlsx&amp;sheet=A0&amp;row=2631&amp;col=7&amp;number=0&amp;sourceID=14","0")</f>
        <v>0</v>
      </c>
    </row>
    <row r="2632" spans="1:7">
      <c r="A2632" s="3">
        <v>14</v>
      </c>
      <c r="B2632" s="3">
        <v>4</v>
      </c>
      <c r="C2632" s="3">
        <v>72</v>
      </c>
      <c r="D2632" s="3">
        <v>52</v>
      </c>
      <c r="E2632" s="3">
        <v>-471.099</v>
      </c>
      <c r="F2632" s="4" t="str">
        <f>HYPERLINK("http://141.218.60.56/~jnz1568/getInfo.php?workbook=14_04.xlsx&amp;sheet=A0&amp;row=2632&amp;col=6&amp;number=439300000&amp;sourceID=14","439300000")</f>
        <v>439300000</v>
      </c>
      <c r="G2632" s="4" t="str">
        <f>HYPERLINK("http://141.218.60.56/~jnz1568/getInfo.php?workbook=14_04.xlsx&amp;sheet=A0&amp;row=2632&amp;col=7&amp;number=0&amp;sourceID=14","0")</f>
        <v>0</v>
      </c>
    </row>
    <row r="2633" spans="1:7">
      <c r="A2633" s="3">
        <v>14</v>
      </c>
      <c r="B2633" s="3">
        <v>4</v>
      </c>
      <c r="C2633" s="3">
        <v>74</v>
      </c>
      <c r="D2633" s="3">
        <v>52</v>
      </c>
      <c r="E2633" s="3">
        <v>-464.906</v>
      </c>
      <c r="F2633" s="4" t="str">
        <f>HYPERLINK("http://141.218.60.56/~jnz1568/getInfo.php?workbook=14_04.xlsx&amp;sheet=A0&amp;row=2633&amp;col=6&amp;number=7.025&amp;sourceID=14","7.025")</f>
        <v>7.025</v>
      </c>
      <c r="G2633" s="4" t="str">
        <f>HYPERLINK("http://141.218.60.56/~jnz1568/getInfo.php?workbook=14_04.xlsx&amp;sheet=A0&amp;row=2633&amp;col=7&amp;number=0&amp;sourceID=14","0")</f>
        <v>0</v>
      </c>
    </row>
    <row r="2634" spans="1:7">
      <c r="A2634" s="3">
        <v>14</v>
      </c>
      <c r="B2634" s="3">
        <v>4</v>
      </c>
      <c r="C2634" s="3">
        <v>75</v>
      </c>
      <c r="D2634" s="3">
        <v>52</v>
      </c>
      <c r="E2634" s="3">
        <v>-460.797</v>
      </c>
      <c r="F2634" s="4" t="str">
        <f>HYPERLINK("http://141.218.60.56/~jnz1568/getInfo.php?workbook=14_04.xlsx&amp;sheet=A0&amp;row=2634&amp;col=6&amp;number=171&amp;sourceID=14","171")</f>
        <v>171</v>
      </c>
      <c r="G2634" s="4" t="str">
        <f>HYPERLINK("http://141.218.60.56/~jnz1568/getInfo.php?workbook=14_04.xlsx&amp;sheet=A0&amp;row=2634&amp;col=7&amp;number=0&amp;sourceID=14","0")</f>
        <v>0</v>
      </c>
    </row>
    <row r="2635" spans="1:7">
      <c r="A2635" s="3">
        <v>14</v>
      </c>
      <c r="B2635" s="3">
        <v>4</v>
      </c>
      <c r="C2635" s="3">
        <v>76</v>
      </c>
      <c r="D2635" s="3">
        <v>52</v>
      </c>
      <c r="E2635" s="3">
        <v>450.364</v>
      </c>
      <c r="F2635" s="4" t="str">
        <f>HYPERLINK("http://141.218.60.56/~jnz1568/getInfo.php?workbook=14_04.xlsx&amp;sheet=A0&amp;row=2635&amp;col=6&amp;number=109.8&amp;sourceID=14","109.8")</f>
        <v>109.8</v>
      </c>
      <c r="G2635" s="4" t="str">
        <f>HYPERLINK("http://141.218.60.56/~jnz1568/getInfo.php?workbook=14_04.xlsx&amp;sheet=A0&amp;row=2635&amp;col=7&amp;number=0&amp;sourceID=14","0")</f>
        <v>0</v>
      </c>
    </row>
    <row r="2636" spans="1:7">
      <c r="A2636" s="3">
        <v>14</v>
      </c>
      <c r="B2636" s="3">
        <v>4</v>
      </c>
      <c r="C2636" s="3">
        <v>77</v>
      </c>
      <c r="D2636" s="3">
        <v>52</v>
      </c>
      <c r="E2636" s="3">
        <v>448.526</v>
      </c>
      <c r="F2636" s="4" t="str">
        <f>HYPERLINK("http://141.218.60.56/~jnz1568/getInfo.php?workbook=14_04.xlsx&amp;sheet=A0&amp;row=2636&amp;col=6&amp;number=35.74&amp;sourceID=14","35.74")</f>
        <v>35.74</v>
      </c>
      <c r="G2636" s="4" t="str">
        <f>HYPERLINK("http://141.218.60.56/~jnz1568/getInfo.php?workbook=14_04.xlsx&amp;sheet=A0&amp;row=2636&amp;col=7&amp;number=0&amp;sourceID=14","0")</f>
        <v>0</v>
      </c>
    </row>
    <row r="2637" spans="1:7">
      <c r="A2637" s="3">
        <v>14</v>
      </c>
      <c r="B2637" s="3">
        <v>4</v>
      </c>
      <c r="C2637" s="3">
        <v>78</v>
      </c>
      <c r="D2637" s="3">
        <v>52</v>
      </c>
      <c r="E2637" s="3">
        <v>-448.577</v>
      </c>
      <c r="F2637" s="4" t="str">
        <f>HYPERLINK("http://141.218.60.56/~jnz1568/getInfo.php?workbook=14_04.xlsx&amp;sheet=A0&amp;row=2637&amp;col=6&amp;number=2&amp;sourceID=14","2")</f>
        <v>2</v>
      </c>
      <c r="G2637" s="4" t="str">
        <f>HYPERLINK("http://141.218.60.56/~jnz1568/getInfo.php?workbook=14_04.xlsx&amp;sheet=A0&amp;row=2637&amp;col=7&amp;number=0&amp;sourceID=14","0")</f>
        <v>0</v>
      </c>
    </row>
    <row r="2638" spans="1:7">
      <c r="A2638" s="3">
        <v>14</v>
      </c>
      <c r="B2638" s="3">
        <v>4</v>
      </c>
      <c r="C2638" s="3">
        <v>79</v>
      </c>
      <c r="D2638" s="3">
        <v>52</v>
      </c>
      <c r="E2638" s="3">
        <v>-447.696</v>
      </c>
      <c r="F2638" s="4" t="str">
        <f>HYPERLINK("http://141.218.60.56/~jnz1568/getInfo.php?workbook=14_04.xlsx&amp;sheet=A0&amp;row=2638&amp;col=6&amp;number=0.06737&amp;sourceID=14","0.06737")</f>
        <v>0.06737</v>
      </c>
      <c r="G2638" s="4" t="str">
        <f>HYPERLINK("http://141.218.60.56/~jnz1568/getInfo.php?workbook=14_04.xlsx&amp;sheet=A0&amp;row=2638&amp;col=7&amp;number=0&amp;sourceID=14","0")</f>
        <v>0</v>
      </c>
    </row>
    <row r="2639" spans="1:7">
      <c r="A2639" s="3">
        <v>14</v>
      </c>
      <c r="B2639" s="3">
        <v>4</v>
      </c>
      <c r="C2639" s="3">
        <v>80</v>
      </c>
      <c r="D2639" s="3">
        <v>52</v>
      </c>
      <c r="E2639" s="3">
        <v>470.359</v>
      </c>
      <c r="F2639" s="4" t="str">
        <f>HYPERLINK("http://141.218.60.56/~jnz1568/getInfo.php?workbook=14_04.xlsx&amp;sheet=A0&amp;row=2639&amp;col=6&amp;number=2137000000&amp;sourceID=14","2137000000")</f>
        <v>2137000000</v>
      </c>
      <c r="G2639" s="4" t="str">
        <f>HYPERLINK("http://141.218.60.56/~jnz1568/getInfo.php?workbook=14_04.xlsx&amp;sheet=A0&amp;row=2639&amp;col=7&amp;number=0&amp;sourceID=14","0")</f>
        <v>0</v>
      </c>
    </row>
    <row r="2640" spans="1:7">
      <c r="A2640" s="3">
        <v>14</v>
      </c>
      <c r="B2640" s="3">
        <v>4</v>
      </c>
      <c r="C2640" s="3">
        <v>81</v>
      </c>
      <c r="D2640" s="3">
        <v>52</v>
      </c>
      <c r="E2640" s="3">
        <v>429.042</v>
      </c>
      <c r="F2640" s="4" t="str">
        <f>HYPERLINK("http://141.218.60.56/~jnz1568/getInfo.php?workbook=14_04.xlsx&amp;sheet=A0&amp;row=2640&amp;col=6&amp;number=16040&amp;sourceID=14","16040")</f>
        <v>16040</v>
      </c>
      <c r="G2640" s="4" t="str">
        <f>HYPERLINK("http://141.218.60.56/~jnz1568/getInfo.php?workbook=14_04.xlsx&amp;sheet=A0&amp;row=2640&amp;col=7&amp;number=0&amp;sourceID=14","0")</f>
        <v>0</v>
      </c>
    </row>
    <row r="2641" spans="1:7">
      <c r="A2641" s="3">
        <v>14</v>
      </c>
      <c r="B2641" s="3">
        <v>4</v>
      </c>
      <c r="C2641" s="3">
        <v>82</v>
      </c>
      <c r="D2641" s="3">
        <v>52</v>
      </c>
      <c r="E2641" s="3">
        <v>-425.15</v>
      </c>
      <c r="F2641" s="4" t="str">
        <f>HYPERLINK("http://141.218.60.56/~jnz1568/getInfo.php?workbook=14_04.xlsx&amp;sheet=A0&amp;row=2641&amp;col=6&amp;number=81.58&amp;sourceID=14","81.58")</f>
        <v>81.58</v>
      </c>
      <c r="G2641" s="4" t="str">
        <f>HYPERLINK("http://141.218.60.56/~jnz1568/getInfo.php?workbook=14_04.xlsx&amp;sheet=A0&amp;row=2641&amp;col=7&amp;number=0&amp;sourceID=14","0")</f>
        <v>0</v>
      </c>
    </row>
    <row r="2642" spans="1:7">
      <c r="A2642" s="3">
        <v>14</v>
      </c>
      <c r="B2642" s="3">
        <v>4</v>
      </c>
      <c r="C2642" s="3">
        <v>83</v>
      </c>
      <c r="D2642" s="3">
        <v>52</v>
      </c>
      <c r="E2642" s="3">
        <v>-337.69</v>
      </c>
      <c r="F2642" s="4" t="str">
        <f>HYPERLINK("http://141.218.60.56/~jnz1568/getInfo.php?workbook=14_04.xlsx&amp;sheet=A0&amp;row=2642&amp;col=6&amp;number=62160000&amp;sourceID=14","62160000")</f>
        <v>62160000</v>
      </c>
      <c r="G2642" s="4" t="str">
        <f>HYPERLINK("http://141.218.60.56/~jnz1568/getInfo.php?workbook=14_04.xlsx&amp;sheet=A0&amp;row=2642&amp;col=7&amp;number=0&amp;sourceID=14","0")</f>
        <v>0</v>
      </c>
    </row>
    <row r="2643" spans="1:7">
      <c r="A2643" s="3">
        <v>14</v>
      </c>
      <c r="B2643" s="3">
        <v>4</v>
      </c>
      <c r="C2643" s="3">
        <v>84</v>
      </c>
      <c r="D2643" s="3">
        <v>52</v>
      </c>
      <c r="E2643" s="3">
        <v>-329.686</v>
      </c>
      <c r="F2643" s="4" t="str">
        <f>HYPERLINK("http://141.218.60.56/~jnz1568/getInfo.php?workbook=14_04.xlsx&amp;sheet=A0&amp;row=2643&amp;col=6&amp;number=12180000000&amp;sourceID=14","12180000000")</f>
        <v>12180000000</v>
      </c>
      <c r="G2643" s="4" t="str">
        <f>HYPERLINK("http://141.218.60.56/~jnz1568/getInfo.php?workbook=14_04.xlsx&amp;sheet=A0&amp;row=2643&amp;col=7&amp;number=0&amp;sourceID=14","0")</f>
        <v>0</v>
      </c>
    </row>
    <row r="2644" spans="1:7">
      <c r="A2644" s="3">
        <v>14</v>
      </c>
      <c r="B2644" s="3">
        <v>4</v>
      </c>
      <c r="C2644" s="3">
        <v>85</v>
      </c>
      <c r="D2644" s="3">
        <v>52</v>
      </c>
      <c r="E2644" s="3">
        <v>-321.904</v>
      </c>
      <c r="F2644" s="4" t="str">
        <f>HYPERLINK("http://141.218.60.56/~jnz1568/getInfo.php?workbook=14_04.xlsx&amp;sheet=A0&amp;row=2644&amp;col=6&amp;number=1.51&amp;sourceID=14","1.51")</f>
        <v>1.51</v>
      </c>
      <c r="G2644" s="4" t="str">
        <f>HYPERLINK("http://141.218.60.56/~jnz1568/getInfo.php?workbook=14_04.xlsx&amp;sheet=A0&amp;row=2644&amp;col=7&amp;number=0&amp;sourceID=14","0")</f>
        <v>0</v>
      </c>
    </row>
    <row r="2645" spans="1:7">
      <c r="A2645" s="3">
        <v>14</v>
      </c>
      <c r="B2645" s="3">
        <v>4</v>
      </c>
      <c r="C2645" s="3">
        <v>86</v>
      </c>
      <c r="D2645" s="3">
        <v>52</v>
      </c>
      <c r="E2645" s="3">
        <v>-321.778</v>
      </c>
      <c r="F2645" s="4" t="str">
        <f>HYPERLINK("http://141.218.60.56/~jnz1568/getInfo.php?workbook=14_04.xlsx&amp;sheet=A0&amp;row=2645&amp;col=6&amp;number=14600&amp;sourceID=14","14600")</f>
        <v>14600</v>
      </c>
      <c r="G2645" s="4" t="str">
        <f>HYPERLINK("http://141.218.60.56/~jnz1568/getInfo.php?workbook=14_04.xlsx&amp;sheet=A0&amp;row=2645&amp;col=7&amp;number=0&amp;sourceID=14","0")</f>
        <v>0</v>
      </c>
    </row>
    <row r="2646" spans="1:7">
      <c r="A2646" s="3">
        <v>14</v>
      </c>
      <c r="B2646" s="3">
        <v>4</v>
      </c>
      <c r="C2646" s="3">
        <v>87</v>
      </c>
      <c r="D2646" s="3">
        <v>52</v>
      </c>
      <c r="E2646" s="3">
        <v>315.031</v>
      </c>
      <c r="F2646" s="4" t="str">
        <f>HYPERLINK("http://141.218.60.56/~jnz1568/getInfo.php?workbook=14_04.xlsx&amp;sheet=A0&amp;row=2646&amp;col=6&amp;number=5685&amp;sourceID=14","5685")</f>
        <v>5685</v>
      </c>
      <c r="G2646" s="4" t="str">
        <f>HYPERLINK("http://141.218.60.56/~jnz1568/getInfo.php?workbook=14_04.xlsx&amp;sheet=A0&amp;row=2646&amp;col=7&amp;number=0&amp;sourceID=14","0")</f>
        <v>0</v>
      </c>
    </row>
    <row r="2647" spans="1:7">
      <c r="A2647" s="3">
        <v>14</v>
      </c>
      <c r="B2647" s="3">
        <v>4</v>
      </c>
      <c r="C2647" s="3">
        <v>88</v>
      </c>
      <c r="D2647" s="3">
        <v>52</v>
      </c>
      <c r="E2647" s="3">
        <v>-318.853</v>
      </c>
      <c r="F2647" s="4" t="str">
        <f>HYPERLINK("http://141.218.60.56/~jnz1568/getInfo.php?workbook=14_04.xlsx&amp;sheet=A0&amp;row=2647&amp;col=6&amp;number=851900&amp;sourceID=14","851900")</f>
        <v>851900</v>
      </c>
      <c r="G2647" s="4" t="str">
        <f>HYPERLINK("http://141.218.60.56/~jnz1568/getInfo.php?workbook=14_04.xlsx&amp;sheet=A0&amp;row=2647&amp;col=7&amp;number=0&amp;sourceID=14","0")</f>
        <v>0</v>
      </c>
    </row>
    <row r="2648" spans="1:7">
      <c r="A2648" s="3">
        <v>14</v>
      </c>
      <c r="B2648" s="3">
        <v>4</v>
      </c>
      <c r="C2648" s="3">
        <v>89</v>
      </c>
      <c r="D2648" s="3">
        <v>52</v>
      </c>
      <c r="E2648" s="3">
        <v>-313.253</v>
      </c>
      <c r="F2648" s="4" t="str">
        <f>HYPERLINK("http://141.218.60.56/~jnz1568/getInfo.php?workbook=14_04.xlsx&amp;sheet=A0&amp;row=2648&amp;col=6&amp;number=111400000&amp;sourceID=14","111400000")</f>
        <v>111400000</v>
      </c>
      <c r="G2648" s="4" t="str">
        <f>HYPERLINK("http://141.218.60.56/~jnz1568/getInfo.php?workbook=14_04.xlsx&amp;sheet=A0&amp;row=2648&amp;col=7&amp;number=0&amp;sourceID=14","0")</f>
        <v>0</v>
      </c>
    </row>
    <row r="2649" spans="1:7">
      <c r="A2649" s="3">
        <v>14</v>
      </c>
      <c r="B2649" s="3">
        <v>4</v>
      </c>
      <c r="C2649" s="3">
        <v>90</v>
      </c>
      <c r="D2649" s="3">
        <v>52</v>
      </c>
      <c r="E2649" s="3">
        <v>310.549</v>
      </c>
      <c r="F2649" s="4" t="str">
        <f>HYPERLINK("http://141.218.60.56/~jnz1568/getInfo.php?workbook=14_04.xlsx&amp;sheet=A0&amp;row=2649&amp;col=6&amp;number=157900000&amp;sourceID=14","157900000")</f>
        <v>157900000</v>
      </c>
      <c r="G2649" s="4" t="str">
        <f>HYPERLINK("http://141.218.60.56/~jnz1568/getInfo.php?workbook=14_04.xlsx&amp;sheet=A0&amp;row=2649&amp;col=7&amp;number=0&amp;sourceID=14","0")</f>
        <v>0</v>
      </c>
    </row>
    <row r="2650" spans="1:7">
      <c r="A2650" s="3">
        <v>14</v>
      </c>
      <c r="B2650" s="3">
        <v>4</v>
      </c>
      <c r="C2650" s="3">
        <v>92</v>
      </c>
      <c r="D2650" s="3">
        <v>52</v>
      </c>
      <c r="E2650" s="3">
        <v>306.885</v>
      </c>
      <c r="F2650" s="4" t="str">
        <f>HYPERLINK("http://141.218.60.56/~jnz1568/getInfo.php?workbook=14_04.xlsx&amp;sheet=A0&amp;row=2650&amp;col=6&amp;number=19230000000&amp;sourceID=14","19230000000")</f>
        <v>19230000000</v>
      </c>
      <c r="G2650" s="4" t="str">
        <f>HYPERLINK("http://141.218.60.56/~jnz1568/getInfo.php?workbook=14_04.xlsx&amp;sheet=A0&amp;row=2650&amp;col=7&amp;number=0&amp;sourceID=14","0")</f>
        <v>0</v>
      </c>
    </row>
    <row r="2651" spans="1:7">
      <c r="A2651" s="3">
        <v>14</v>
      </c>
      <c r="B2651" s="3">
        <v>4</v>
      </c>
      <c r="C2651" s="3">
        <v>55</v>
      </c>
      <c r="D2651" s="3">
        <v>53</v>
      </c>
      <c r="E2651" s="3">
        <v>125313.514</v>
      </c>
      <c r="F2651" s="4" t="str">
        <f>HYPERLINK("http://141.218.60.56/~jnz1568/getInfo.php?workbook=14_04.xlsx&amp;sheet=A0&amp;row=2651&amp;col=6&amp;number=4.858e-09&amp;sourceID=14","4.858e-09")</f>
        <v>4.858e-09</v>
      </c>
      <c r="G2651" s="4" t="str">
        <f>HYPERLINK("http://141.218.60.56/~jnz1568/getInfo.php?workbook=14_04.xlsx&amp;sheet=A0&amp;row=2651&amp;col=7&amp;number=0&amp;sourceID=14","0")</f>
        <v>0</v>
      </c>
    </row>
    <row r="2652" spans="1:7">
      <c r="A2652" s="3">
        <v>14</v>
      </c>
      <c r="B2652" s="3">
        <v>4</v>
      </c>
      <c r="C2652" s="3">
        <v>56</v>
      </c>
      <c r="D2652" s="3">
        <v>53</v>
      </c>
      <c r="E2652" s="3">
        <v>8673.795</v>
      </c>
      <c r="F2652" s="4" t="str">
        <f>HYPERLINK("http://141.218.60.56/~jnz1568/getInfo.php?workbook=14_04.xlsx&amp;sheet=A0&amp;row=2652&amp;col=6&amp;number=0.004814&amp;sourceID=14","0.004814")</f>
        <v>0.004814</v>
      </c>
      <c r="G2652" s="4" t="str">
        <f>HYPERLINK("http://141.218.60.56/~jnz1568/getInfo.php?workbook=14_04.xlsx&amp;sheet=A0&amp;row=2652&amp;col=7&amp;number=0&amp;sourceID=14","0")</f>
        <v>0</v>
      </c>
    </row>
    <row r="2653" spans="1:7">
      <c r="A2653" s="3">
        <v>14</v>
      </c>
      <c r="B2653" s="3">
        <v>4</v>
      </c>
      <c r="C2653" s="3">
        <v>57</v>
      </c>
      <c r="D2653" s="3">
        <v>53</v>
      </c>
      <c r="E2653" s="3">
        <v>-660.068</v>
      </c>
      <c r="F2653" s="4" t="str">
        <f>HYPERLINK("http://141.218.60.56/~jnz1568/getInfo.php?workbook=14_04.xlsx&amp;sheet=A0&amp;row=2653&amp;col=6&amp;number=6827000&amp;sourceID=14","6827000")</f>
        <v>6827000</v>
      </c>
      <c r="G2653" s="4" t="str">
        <f>HYPERLINK("http://141.218.60.56/~jnz1568/getInfo.php?workbook=14_04.xlsx&amp;sheet=A0&amp;row=2653&amp;col=7&amp;number=0&amp;sourceID=14","0")</f>
        <v>0</v>
      </c>
    </row>
    <row r="2654" spans="1:7">
      <c r="A2654" s="3">
        <v>14</v>
      </c>
      <c r="B2654" s="3">
        <v>4</v>
      </c>
      <c r="C2654" s="3">
        <v>58</v>
      </c>
      <c r="D2654" s="3">
        <v>53</v>
      </c>
      <c r="E2654" s="3">
        <v>-653.802</v>
      </c>
      <c r="F2654" s="4" t="str">
        <f>HYPERLINK("http://141.218.60.56/~jnz1568/getInfo.php?workbook=14_04.xlsx&amp;sheet=A0&amp;row=2654&amp;col=6&amp;number=1497000&amp;sourceID=14","1497000")</f>
        <v>1497000</v>
      </c>
      <c r="G2654" s="4" t="str">
        <f>HYPERLINK("http://141.218.60.56/~jnz1568/getInfo.php?workbook=14_04.xlsx&amp;sheet=A0&amp;row=2654&amp;col=7&amp;number=0&amp;sourceID=14","0")</f>
        <v>0</v>
      </c>
    </row>
    <row r="2655" spans="1:7">
      <c r="A2655" s="3">
        <v>14</v>
      </c>
      <c r="B2655" s="3">
        <v>4</v>
      </c>
      <c r="C2655" s="3">
        <v>59</v>
      </c>
      <c r="D2655" s="3">
        <v>53</v>
      </c>
      <c r="E2655" s="3">
        <v>662.766</v>
      </c>
      <c r="F2655" s="4" t="str">
        <f>HYPERLINK("http://141.218.60.56/~jnz1568/getInfo.php?workbook=14_04.xlsx&amp;sheet=A0&amp;row=2655&amp;col=6&amp;number=61060&amp;sourceID=14","61060")</f>
        <v>61060</v>
      </c>
      <c r="G2655" s="4" t="str">
        <f>HYPERLINK("http://141.218.60.56/~jnz1568/getInfo.php?workbook=14_04.xlsx&amp;sheet=A0&amp;row=2655&amp;col=7&amp;number=0&amp;sourceID=14","0")</f>
        <v>0</v>
      </c>
    </row>
    <row r="2656" spans="1:7">
      <c r="A2656" s="3">
        <v>14</v>
      </c>
      <c r="B2656" s="3">
        <v>4</v>
      </c>
      <c r="C2656" s="3">
        <v>60</v>
      </c>
      <c r="D2656" s="3">
        <v>53</v>
      </c>
      <c r="E2656" s="3">
        <v>-603.079</v>
      </c>
      <c r="F2656" s="4" t="str">
        <f>HYPERLINK("http://141.218.60.56/~jnz1568/getInfo.php?workbook=14_04.xlsx&amp;sheet=A0&amp;row=2656&amp;col=6&amp;number=355000&amp;sourceID=14","355000")</f>
        <v>355000</v>
      </c>
      <c r="G2656" s="4" t="str">
        <f>HYPERLINK("http://141.218.60.56/~jnz1568/getInfo.php?workbook=14_04.xlsx&amp;sheet=A0&amp;row=2656&amp;col=7&amp;number=0&amp;sourceID=14","0")</f>
        <v>0</v>
      </c>
    </row>
    <row r="2657" spans="1:7">
      <c r="A2657" s="3">
        <v>14</v>
      </c>
      <c r="B2657" s="3">
        <v>4</v>
      </c>
      <c r="C2657" s="3">
        <v>61</v>
      </c>
      <c r="D2657" s="3">
        <v>53</v>
      </c>
      <c r="E2657" s="3">
        <v>-562.587</v>
      </c>
      <c r="F2657" s="4" t="str">
        <f>HYPERLINK("http://141.218.60.56/~jnz1568/getInfo.php?workbook=14_04.xlsx&amp;sheet=A0&amp;row=2657&amp;col=6&amp;number=19.97&amp;sourceID=14","19.97")</f>
        <v>19.97</v>
      </c>
      <c r="G2657" s="4" t="str">
        <f>HYPERLINK("http://141.218.60.56/~jnz1568/getInfo.php?workbook=14_04.xlsx&amp;sheet=A0&amp;row=2657&amp;col=7&amp;number=0&amp;sourceID=14","0")</f>
        <v>0</v>
      </c>
    </row>
    <row r="2658" spans="1:7">
      <c r="A2658" s="3">
        <v>14</v>
      </c>
      <c r="B2658" s="3">
        <v>4</v>
      </c>
      <c r="C2658" s="3">
        <v>62</v>
      </c>
      <c r="D2658" s="3">
        <v>53</v>
      </c>
      <c r="E2658" s="3">
        <v>-576.788</v>
      </c>
      <c r="F2658" s="4" t="str">
        <f>HYPERLINK("http://141.218.60.56/~jnz1568/getInfo.php?workbook=14_04.xlsx&amp;sheet=A0&amp;row=2658&amp;col=6&amp;number=0.8156&amp;sourceID=14","0.8156")</f>
        <v>0.8156</v>
      </c>
      <c r="G2658" s="4" t="str">
        <f>HYPERLINK("http://141.218.60.56/~jnz1568/getInfo.php?workbook=14_04.xlsx&amp;sheet=A0&amp;row=2658&amp;col=7&amp;number=0&amp;sourceID=14","0")</f>
        <v>0</v>
      </c>
    </row>
    <row r="2659" spans="1:7">
      <c r="A2659" s="3">
        <v>14</v>
      </c>
      <c r="B2659" s="3">
        <v>4</v>
      </c>
      <c r="C2659" s="3">
        <v>63</v>
      </c>
      <c r="D2659" s="3">
        <v>53</v>
      </c>
      <c r="E2659" s="3">
        <v>-561.78</v>
      </c>
      <c r="F2659" s="4" t="str">
        <f>HYPERLINK("http://141.218.60.56/~jnz1568/getInfo.php?workbook=14_04.xlsx&amp;sheet=A0&amp;row=2659&amp;col=6&amp;number=1.482&amp;sourceID=14","1.482")</f>
        <v>1.482</v>
      </c>
      <c r="G2659" s="4" t="str">
        <f>HYPERLINK("http://141.218.60.56/~jnz1568/getInfo.php?workbook=14_04.xlsx&amp;sheet=A0&amp;row=2659&amp;col=7&amp;number=0&amp;sourceID=14","0")</f>
        <v>0</v>
      </c>
    </row>
    <row r="2660" spans="1:7">
      <c r="A2660" s="3">
        <v>14</v>
      </c>
      <c r="B2660" s="3">
        <v>4</v>
      </c>
      <c r="C2660" s="3">
        <v>64</v>
      </c>
      <c r="D2660" s="3">
        <v>53</v>
      </c>
      <c r="E2660" s="3">
        <v>-545.158</v>
      </c>
      <c r="F2660" s="4" t="str">
        <f>HYPERLINK("http://141.218.60.56/~jnz1568/getInfo.php?workbook=14_04.xlsx&amp;sheet=A0&amp;row=2660&amp;col=6&amp;number=0.2923&amp;sourceID=14","0.2923")</f>
        <v>0.2923</v>
      </c>
      <c r="G2660" s="4" t="str">
        <f>HYPERLINK("http://141.218.60.56/~jnz1568/getInfo.php?workbook=14_04.xlsx&amp;sheet=A0&amp;row=2660&amp;col=7&amp;number=0&amp;sourceID=14","0")</f>
        <v>0</v>
      </c>
    </row>
    <row r="2661" spans="1:7">
      <c r="A2661" s="3">
        <v>14</v>
      </c>
      <c r="B2661" s="3">
        <v>4</v>
      </c>
      <c r="C2661" s="3">
        <v>65</v>
      </c>
      <c r="D2661" s="3">
        <v>53</v>
      </c>
      <c r="E2661" s="3">
        <v>-539.935</v>
      </c>
      <c r="F2661" s="4" t="str">
        <f>HYPERLINK("http://141.218.60.56/~jnz1568/getInfo.php?workbook=14_04.xlsx&amp;sheet=A0&amp;row=2661&amp;col=6&amp;number=126&amp;sourceID=14","126")</f>
        <v>126</v>
      </c>
      <c r="G2661" s="4" t="str">
        <f>HYPERLINK("http://141.218.60.56/~jnz1568/getInfo.php?workbook=14_04.xlsx&amp;sheet=A0&amp;row=2661&amp;col=7&amp;number=0&amp;sourceID=14","0")</f>
        <v>0</v>
      </c>
    </row>
    <row r="2662" spans="1:7">
      <c r="A2662" s="3">
        <v>14</v>
      </c>
      <c r="B2662" s="3">
        <v>4</v>
      </c>
      <c r="C2662" s="3">
        <v>66</v>
      </c>
      <c r="D2662" s="3">
        <v>53</v>
      </c>
      <c r="E2662" s="3">
        <v>-540.378</v>
      </c>
      <c r="F2662" s="4" t="str">
        <f>HYPERLINK("http://141.218.60.56/~jnz1568/getInfo.php?workbook=14_04.xlsx&amp;sheet=A0&amp;row=2662&amp;col=6&amp;number=0.05498&amp;sourceID=14","0.05498")</f>
        <v>0.05498</v>
      </c>
      <c r="G2662" s="4" t="str">
        <f>HYPERLINK("http://141.218.60.56/~jnz1568/getInfo.php?workbook=14_04.xlsx&amp;sheet=A0&amp;row=2662&amp;col=7&amp;number=0&amp;sourceID=14","0")</f>
        <v>0</v>
      </c>
    </row>
    <row r="2663" spans="1:7">
      <c r="A2663" s="3">
        <v>14</v>
      </c>
      <c r="B2663" s="3">
        <v>4</v>
      </c>
      <c r="C2663" s="3">
        <v>67</v>
      </c>
      <c r="D2663" s="3">
        <v>53</v>
      </c>
      <c r="E2663" s="3">
        <v>-527.48</v>
      </c>
      <c r="F2663" s="4" t="str">
        <f>HYPERLINK("http://141.218.60.56/~jnz1568/getInfo.php?workbook=14_04.xlsx&amp;sheet=A0&amp;row=2663&amp;col=6&amp;number=346.9&amp;sourceID=14","346.9")</f>
        <v>346.9</v>
      </c>
      <c r="G2663" s="4" t="str">
        <f>HYPERLINK("http://141.218.60.56/~jnz1568/getInfo.php?workbook=14_04.xlsx&amp;sheet=A0&amp;row=2663&amp;col=7&amp;number=0&amp;sourceID=14","0")</f>
        <v>0</v>
      </c>
    </row>
    <row r="2664" spans="1:7">
      <c r="A2664" s="3">
        <v>14</v>
      </c>
      <c r="B2664" s="3">
        <v>4</v>
      </c>
      <c r="C2664" s="3">
        <v>68</v>
      </c>
      <c r="D2664" s="3">
        <v>53</v>
      </c>
      <c r="E2664" s="3">
        <v>-525.288</v>
      </c>
      <c r="F2664" s="4" t="str">
        <f>HYPERLINK("http://141.218.60.56/~jnz1568/getInfo.php?workbook=14_04.xlsx&amp;sheet=A0&amp;row=2664&amp;col=6&amp;number=11.17&amp;sourceID=14","11.17")</f>
        <v>11.17</v>
      </c>
      <c r="G2664" s="4" t="str">
        <f>HYPERLINK("http://141.218.60.56/~jnz1568/getInfo.php?workbook=14_04.xlsx&amp;sheet=A0&amp;row=2664&amp;col=7&amp;number=0&amp;sourceID=14","0")</f>
        <v>0</v>
      </c>
    </row>
    <row r="2665" spans="1:7">
      <c r="A2665" s="3">
        <v>14</v>
      </c>
      <c r="B2665" s="3">
        <v>4</v>
      </c>
      <c r="C2665" s="3">
        <v>69</v>
      </c>
      <c r="D2665" s="3">
        <v>53</v>
      </c>
      <c r="E2665" s="3">
        <v>-523.058</v>
      </c>
      <c r="F2665" s="4" t="str">
        <f>HYPERLINK("http://141.218.60.56/~jnz1568/getInfo.php?workbook=14_04.xlsx&amp;sheet=A0&amp;row=2665&amp;col=6&amp;number=255200000&amp;sourceID=14","255200000")</f>
        <v>255200000</v>
      </c>
      <c r="G2665" s="4" t="str">
        <f>HYPERLINK("http://141.218.60.56/~jnz1568/getInfo.php?workbook=14_04.xlsx&amp;sheet=A0&amp;row=2665&amp;col=7&amp;number=0&amp;sourceID=14","0")</f>
        <v>0</v>
      </c>
    </row>
    <row r="2666" spans="1:7">
      <c r="A2666" s="3">
        <v>14</v>
      </c>
      <c r="B2666" s="3">
        <v>4</v>
      </c>
      <c r="C2666" s="3">
        <v>71</v>
      </c>
      <c r="D2666" s="3">
        <v>53</v>
      </c>
      <c r="E2666" s="3">
        <v>-510.131</v>
      </c>
      <c r="F2666" s="4" t="str">
        <f>HYPERLINK("http://141.218.60.56/~jnz1568/getInfo.php?workbook=14_04.xlsx&amp;sheet=A0&amp;row=2666&amp;col=6&amp;number=32270000&amp;sourceID=14","32270000")</f>
        <v>32270000</v>
      </c>
      <c r="G2666" s="4" t="str">
        <f>HYPERLINK("http://141.218.60.56/~jnz1568/getInfo.php?workbook=14_04.xlsx&amp;sheet=A0&amp;row=2666&amp;col=7&amp;number=0&amp;sourceID=14","0")</f>
        <v>0</v>
      </c>
    </row>
    <row r="2667" spans="1:7">
      <c r="A2667" s="3">
        <v>14</v>
      </c>
      <c r="B2667" s="3">
        <v>4</v>
      </c>
      <c r="C2667" s="3">
        <v>72</v>
      </c>
      <c r="D2667" s="3">
        <v>53</v>
      </c>
      <c r="E2667" s="3">
        <v>-504.527</v>
      </c>
      <c r="F2667" s="4" t="str">
        <f>HYPERLINK("http://141.218.60.56/~jnz1568/getInfo.php?workbook=14_04.xlsx&amp;sheet=A0&amp;row=2667&amp;col=6&amp;number=0.3736&amp;sourceID=14","0.3736")</f>
        <v>0.3736</v>
      </c>
      <c r="G2667" s="4" t="str">
        <f>HYPERLINK("http://141.218.60.56/~jnz1568/getInfo.php?workbook=14_04.xlsx&amp;sheet=A0&amp;row=2667&amp;col=7&amp;number=0&amp;sourceID=14","0")</f>
        <v>0</v>
      </c>
    </row>
    <row r="2668" spans="1:7">
      <c r="A2668" s="3">
        <v>14</v>
      </c>
      <c r="B2668" s="3">
        <v>4</v>
      </c>
      <c r="C2668" s="3">
        <v>74</v>
      </c>
      <c r="D2668" s="3">
        <v>53</v>
      </c>
      <c r="E2668" s="3">
        <v>-497.43</v>
      </c>
      <c r="F2668" s="4" t="str">
        <f>HYPERLINK("http://141.218.60.56/~jnz1568/getInfo.php?workbook=14_04.xlsx&amp;sheet=A0&amp;row=2668&amp;col=6&amp;number=390600000&amp;sourceID=14","390600000")</f>
        <v>390600000</v>
      </c>
      <c r="G2668" s="4" t="str">
        <f>HYPERLINK("http://141.218.60.56/~jnz1568/getInfo.php?workbook=14_04.xlsx&amp;sheet=A0&amp;row=2668&amp;col=7&amp;number=0&amp;sourceID=14","0")</f>
        <v>0</v>
      </c>
    </row>
    <row r="2669" spans="1:7">
      <c r="A2669" s="3">
        <v>14</v>
      </c>
      <c r="B2669" s="3">
        <v>4</v>
      </c>
      <c r="C2669" s="3">
        <v>75</v>
      </c>
      <c r="D2669" s="3">
        <v>53</v>
      </c>
      <c r="E2669" s="3">
        <v>-492.729</v>
      </c>
      <c r="F2669" s="4" t="str">
        <f>HYPERLINK("http://141.218.60.56/~jnz1568/getInfo.php?workbook=14_04.xlsx&amp;sheet=A0&amp;row=2669&amp;col=6&amp;number=185800000&amp;sourceID=14","185800000")</f>
        <v>185800000</v>
      </c>
      <c r="G2669" s="4" t="str">
        <f>HYPERLINK("http://141.218.60.56/~jnz1568/getInfo.php?workbook=14_04.xlsx&amp;sheet=A0&amp;row=2669&amp;col=7&amp;number=0&amp;sourceID=14","0")</f>
        <v>0</v>
      </c>
    </row>
    <row r="2670" spans="1:7">
      <c r="A2670" s="3">
        <v>14</v>
      </c>
      <c r="B2670" s="3">
        <v>4</v>
      </c>
      <c r="C2670" s="3">
        <v>77</v>
      </c>
      <c r="D2670" s="3">
        <v>53</v>
      </c>
      <c r="E2670" s="3">
        <v>483.186</v>
      </c>
      <c r="F2670" s="4" t="str">
        <f>HYPERLINK("http://141.218.60.56/~jnz1568/getInfo.php?workbook=14_04.xlsx&amp;sheet=A0&amp;row=2670&amp;col=6&amp;number=153400000&amp;sourceID=14","153400000")</f>
        <v>153400000</v>
      </c>
      <c r="G2670" s="4" t="str">
        <f>HYPERLINK("http://141.218.60.56/~jnz1568/getInfo.php?workbook=14_04.xlsx&amp;sheet=A0&amp;row=2670&amp;col=7&amp;number=0&amp;sourceID=14","0")</f>
        <v>0</v>
      </c>
    </row>
    <row r="2671" spans="1:7">
      <c r="A2671" s="3">
        <v>14</v>
      </c>
      <c r="B2671" s="3">
        <v>4</v>
      </c>
      <c r="C2671" s="3">
        <v>78</v>
      </c>
      <c r="D2671" s="3">
        <v>53</v>
      </c>
      <c r="E2671" s="3">
        <v>-478.782</v>
      </c>
      <c r="F2671" s="4" t="str">
        <f>HYPERLINK("http://141.218.60.56/~jnz1568/getInfo.php?workbook=14_04.xlsx&amp;sheet=A0&amp;row=2671&amp;col=6&amp;number=945500000&amp;sourceID=14","945500000")</f>
        <v>945500000</v>
      </c>
      <c r="G2671" s="4" t="str">
        <f>HYPERLINK("http://141.218.60.56/~jnz1568/getInfo.php?workbook=14_04.xlsx&amp;sheet=A0&amp;row=2671&amp;col=7&amp;number=0&amp;sourceID=14","0")</f>
        <v>0</v>
      </c>
    </row>
    <row r="2672" spans="1:7">
      <c r="A2672" s="3">
        <v>14</v>
      </c>
      <c r="B2672" s="3">
        <v>4</v>
      </c>
      <c r="C2672" s="3">
        <v>79</v>
      </c>
      <c r="D2672" s="3">
        <v>53</v>
      </c>
      <c r="E2672" s="3">
        <v>-477.779</v>
      </c>
      <c r="F2672" s="4" t="str">
        <f>HYPERLINK("http://141.218.60.56/~jnz1568/getInfo.php?workbook=14_04.xlsx&amp;sheet=A0&amp;row=2672&amp;col=6&amp;number=1729000000&amp;sourceID=14","1729000000")</f>
        <v>1729000000</v>
      </c>
      <c r="G2672" s="4" t="str">
        <f>HYPERLINK("http://141.218.60.56/~jnz1568/getInfo.php?workbook=14_04.xlsx&amp;sheet=A0&amp;row=2672&amp;col=7&amp;number=0&amp;sourceID=14","0")</f>
        <v>0</v>
      </c>
    </row>
    <row r="2673" spans="1:7">
      <c r="A2673" s="3">
        <v>14</v>
      </c>
      <c r="B2673" s="3">
        <v>4</v>
      </c>
      <c r="C2673" s="3">
        <v>80</v>
      </c>
      <c r="D2673" s="3">
        <v>53</v>
      </c>
      <c r="E2673" s="3">
        <v>508.62</v>
      </c>
      <c r="F2673" s="4" t="str">
        <f>HYPERLINK("http://141.218.60.56/~jnz1568/getInfo.php?workbook=14_04.xlsx&amp;sheet=A0&amp;row=2673&amp;col=6&amp;number=0.001743&amp;sourceID=14","0.001743")</f>
        <v>0.001743</v>
      </c>
      <c r="G2673" s="4" t="str">
        <f>HYPERLINK("http://141.218.60.56/~jnz1568/getInfo.php?workbook=14_04.xlsx&amp;sheet=A0&amp;row=2673&amp;col=7&amp;number=0&amp;sourceID=14","0")</f>
        <v>0</v>
      </c>
    </row>
    <row r="2674" spans="1:7">
      <c r="A2674" s="3">
        <v>14</v>
      </c>
      <c r="B2674" s="3">
        <v>4</v>
      </c>
      <c r="C2674" s="3">
        <v>82</v>
      </c>
      <c r="D2674" s="3">
        <v>53</v>
      </c>
      <c r="E2674" s="3">
        <v>-452.187</v>
      </c>
      <c r="F2674" s="4" t="str">
        <f>HYPERLINK("http://141.218.60.56/~jnz1568/getInfo.php?workbook=14_04.xlsx&amp;sheet=A0&amp;row=2674&amp;col=6&amp;number=7366000&amp;sourceID=14","7366000")</f>
        <v>7366000</v>
      </c>
      <c r="G2674" s="4" t="str">
        <f>HYPERLINK("http://141.218.60.56/~jnz1568/getInfo.php?workbook=14_04.xlsx&amp;sheet=A0&amp;row=2674&amp;col=7&amp;number=0&amp;sourceID=14","0")</f>
        <v>0</v>
      </c>
    </row>
    <row r="2675" spans="1:7">
      <c r="A2675" s="3">
        <v>14</v>
      </c>
      <c r="B2675" s="3">
        <v>4</v>
      </c>
      <c r="C2675" s="3">
        <v>83</v>
      </c>
      <c r="D2675" s="3">
        <v>53</v>
      </c>
      <c r="E2675" s="3">
        <v>-354.528</v>
      </c>
      <c r="F2675" s="4" t="str">
        <f>HYPERLINK("http://141.218.60.56/~jnz1568/getInfo.php?workbook=14_04.xlsx&amp;sheet=A0&amp;row=2675&amp;col=6&amp;number=129000&amp;sourceID=14","129000")</f>
        <v>129000</v>
      </c>
      <c r="G2675" s="4" t="str">
        <f>HYPERLINK("http://141.218.60.56/~jnz1568/getInfo.php?workbook=14_04.xlsx&amp;sheet=A0&amp;row=2675&amp;col=7&amp;number=0&amp;sourceID=14","0")</f>
        <v>0</v>
      </c>
    </row>
    <row r="2676" spans="1:7">
      <c r="A2676" s="3">
        <v>14</v>
      </c>
      <c r="B2676" s="3">
        <v>4</v>
      </c>
      <c r="C2676" s="3">
        <v>84</v>
      </c>
      <c r="D2676" s="3">
        <v>53</v>
      </c>
      <c r="E2676" s="3">
        <v>-345.715</v>
      </c>
      <c r="F2676" s="4" t="str">
        <f>HYPERLINK("http://141.218.60.56/~jnz1568/getInfo.php?workbook=14_04.xlsx&amp;sheet=A0&amp;row=2676&amp;col=6&amp;number=1.285e-05&amp;sourceID=14","1.285e-05")</f>
        <v>1.285e-05</v>
      </c>
      <c r="G2676" s="4" t="str">
        <f>HYPERLINK("http://141.218.60.56/~jnz1568/getInfo.php?workbook=14_04.xlsx&amp;sheet=A0&amp;row=2676&amp;col=7&amp;number=0&amp;sourceID=14","0")</f>
        <v>0</v>
      </c>
    </row>
    <row r="2677" spans="1:7">
      <c r="A2677" s="3">
        <v>14</v>
      </c>
      <c r="B2677" s="3">
        <v>4</v>
      </c>
      <c r="C2677" s="3">
        <v>85</v>
      </c>
      <c r="D2677" s="3">
        <v>53</v>
      </c>
      <c r="E2677" s="3">
        <v>-337.168</v>
      </c>
      <c r="F2677" s="4" t="str">
        <f>HYPERLINK("http://141.218.60.56/~jnz1568/getInfo.php?workbook=14_04.xlsx&amp;sheet=A0&amp;row=2677&amp;col=6&amp;number=3296000000&amp;sourceID=14","3296000000")</f>
        <v>3296000000</v>
      </c>
      <c r="G2677" s="4" t="str">
        <f>HYPERLINK("http://141.218.60.56/~jnz1568/getInfo.php?workbook=14_04.xlsx&amp;sheet=A0&amp;row=2677&amp;col=7&amp;number=0&amp;sourceID=14","0")</f>
        <v>0</v>
      </c>
    </row>
    <row r="2678" spans="1:7">
      <c r="A2678" s="3">
        <v>14</v>
      </c>
      <c r="B2678" s="3">
        <v>4</v>
      </c>
      <c r="C2678" s="3">
        <v>86</v>
      </c>
      <c r="D2678" s="3">
        <v>53</v>
      </c>
      <c r="E2678" s="3">
        <v>-337.031</v>
      </c>
      <c r="F2678" s="4" t="str">
        <f>HYPERLINK("http://141.218.60.56/~jnz1568/getInfo.php?workbook=14_04.xlsx&amp;sheet=A0&amp;row=2678&amp;col=6&amp;number=813000000&amp;sourceID=14","813000000")</f>
        <v>813000000</v>
      </c>
      <c r="G2678" s="4" t="str">
        <f>HYPERLINK("http://141.218.60.56/~jnz1568/getInfo.php?workbook=14_04.xlsx&amp;sheet=A0&amp;row=2678&amp;col=7&amp;number=0&amp;sourceID=14","0")</f>
        <v>0</v>
      </c>
    </row>
    <row r="2679" spans="1:7">
      <c r="A2679" s="3">
        <v>14</v>
      </c>
      <c r="B2679" s="3">
        <v>4</v>
      </c>
      <c r="C2679" s="3">
        <v>87</v>
      </c>
      <c r="D2679" s="3">
        <v>53</v>
      </c>
      <c r="E2679" s="3">
        <v>331.745</v>
      </c>
      <c r="F2679" s="4" t="str">
        <f>HYPERLINK("http://141.218.60.56/~jnz1568/getInfo.php?workbook=14_04.xlsx&amp;sheet=A0&amp;row=2679&amp;col=6&amp;number=33620000&amp;sourceID=14","33620000")</f>
        <v>33620000</v>
      </c>
      <c r="G2679" s="4" t="str">
        <f>HYPERLINK("http://141.218.60.56/~jnz1568/getInfo.php?workbook=14_04.xlsx&amp;sheet=A0&amp;row=2679&amp;col=7&amp;number=0&amp;sourceID=14","0")</f>
        <v>0</v>
      </c>
    </row>
    <row r="2680" spans="1:7">
      <c r="A2680" s="3">
        <v>14</v>
      </c>
      <c r="B2680" s="3">
        <v>4</v>
      </c>
      <c r="C2680" s="3">
        <v>88</v>
      </c>
      <c r="D2680" s="3">
        <v>53</v>
      </c>
      <c r="E2680" s="3">
        <v>-333.822</v>
      </c>
      <c r="F2680" s="4" t="str">
        <f>HYPERLINK("http://141.218.60.56/~jnz1568/getInfo.php?workbook=14_04.xlsx&amp;sheet=A0&amp;row=2680&amp;col=6&amp;number=4255000&amp;sourceID=14","4255000")</f>
        <v>4255000</v>
      </c>
      <c r="G2680" s="4" t="str">
        <f>HYPERLINK("http://141.218.60.56/~jnz1568/getInfo.php?workbook=14_04.xlsx&amp;sheet=A0&amp;row=2680&amp;col=7&amp;number=0&amp;sourceID=14","0")</f>
        <v>0</v>
      </c>
    </row>
    <row r="2681" spans="1:7">
      <c r="A2681" s="3">
        <v>14</v>
      </c>
      <c r="B2681" s="3">
        <v>4</v>
      </c>
      <c r="C2681" s="3">
        <v>89</v>
      </c>
      <c r="D2681" s="3">
        <v>53</v>
      </c>
      <c r="E2681" s="3">
        <v>-327.69</v>
      </c>
      <c r="F2681" s="4" t="str">
        <f>HYPERLINK("http://141.218.60.56/~jnz1568/getInfo.php?workbook=14_04.xlsx&amp;sheet=A0&amp;row=2681&amp;col=6&amp;number=164100&amp;sourceID=14","164100")</f>
        <v>164100</v>
      </c>
      <c r="G2681" s="4" t="str">
        <f>HYPERLINK("http://141.218.60.56/~jnz1568/getInfo.php?workbook=14_04.xlsx&amp;sheet=A0&amp;row=2681&amp;col=7&amp;number=0&amp;sourceID=14","0")</f>
        <v>0</v>
      </c>
    </row>
    <row r="2682" spans="1:7">
      <c r="A2682" s="3">
        <v>14</v>
      </c>
      <c r="B2682" s="3">
        <v>4</v>
      </c>
      <c r="C2682" s="3">
        <v>90</v>
      </c>
      <c r="D2682" s="3">
        <v>53</v>
      </c>
      <c r="E2682" s="3">
        <v>326.779</v>
      </c>
      <c r="F2682" s="4" t="str">
        <f>HYPERLINK("http://141.218.60.56/~jnz1568/getInfo.php?workbook=14_04.xlsx&amp;sheet=A0&amp;row=2682&amp;col=6&amp;number=166300&amp;sourceID=14","166300")</f>
        <v>166300</v>
      </c>
      <c r="G2682" s="4" t="str">
        <f>HYPERLINK("http://141.218.60.56/~jnz1568/getInfo.php?workbook=14_04.xlsx&amp;sheet=A0&amp;row=2682&amp;col=7&amp;number=0&amp;sourceID=14","0")</f>
        <v>0</v>
      </c>
    </row>
    <row r="2683" spans="1:7">
      <c r="A2683" s="3">
        <v>14</v>
      </c>
      <c r="B2683" s="3">
        <v>4</v>
      </c>
      <c r="C2683" s="3">
        <v>91</v>
      </c>
      <c r="D2683" s="3">
        <v>53</v>
      </c>
      <c r="E2683" s="3">
        <v>326.867</v>
      </c>
      <c r="F2683" s="4" t="str">
        <f>HYPERLINK("http://141.218.60.56/~jnz1568/getInfo.php?workbook=14_04.xlsx&amp;sheet=A0&amp;row=2683&amp;col=6&amp;number=13540&amp;sourceID=14","13540")</f>
        <v>13540</v>
      </c>
      <c r="G2683" s="4" t="str">
        <f>HYPERLINK("http://141.218.60.56/~jnz1568/getInfo.php?workbook=14_04.xlsx&amp;sheet=A0&amp;row=2683&amp;col=7&amp;number=0&amp;sourceID=14","0")</f>
        <v>0</v>
      </c>
    </row>
    <row r="2684" spans="1:7">
      <c r="A2684" s="3">
        <v>14</v>
      </c>
      <c r="B2684" s="3">
        <v>4</v>
      </c>
      <c r="C2684" s="3">
        <v>92</v>
      </c>
      <c r="D2684" s="3">
        <v>53</v>
      </c>
      <c r="E2684" s="3">
        <v>322.724</v>
      </c>
      <c r="F2684" s="4" t="str">
        <f>HYPERLINK("http://141.218.60.56/~jnz1568/getInfo.php?workbook=14_04.xlsx&amp;sheet=A0&amp;row=2684&amp;col=6&amp;number=26.7&amp;sourceID=14","26.7")</f>
        <v>26.7</v>
      </c>
      <c r="G2684" s="4" t="str">
        <f>HYPERLINK("http://141.218.60.56/~jnz1568/getInfo.php?workbook=14_04.xlsx&amp;sheet=A0&amp;row=2684&amp;col=7&amp;number=0&amp;sourceID=14","0")</f>
        <v>0</v>
      </c>
    </row>
    <row r="2685" spans="1:7">
      <c r="A2685" s="3">
        <v>14</v>
      </c>
      <c r="B2685" s="3">
        <v>4</v>
      </c>
      <c r="C2685" s="3">
        <v>55</v>
      </c>
      <c r="D2685" s="3">
        <v>54</v>
      </c>
      <c r="E2685" s="3">
        <v>121065.598</v>
      </c>
      <c r="F2685" s="4" t="str">
        <f>HYPERLINK("http://141.218.60.56/~jnz1568/getInfo.php?workbook=14_04.xlsx&amp;sheet=A0&amp;row=2685&amp;col=6&amp;number=0.01013&amp;sourceID=14","0.01013")</f>
        <v>0.01013</v>
      </c>
      <c r="G2685" s="4" t="str">
        <f>HYPERLINK("http://141.218.60.56/~jnz1568/getInfo.php?workbook=14_04.xlsx&amp;sheet=A0&amp;row=2685&amp;col=7&amp;number=0&amp;sourceID=14","0")</f>
        <v>0</v>
      </c>
    </row>
    <row r="2686" spans="1:7">
      <c r="A2686" s="3">
        <v>14</v>
      </c>
      <c r="B2686" s="3">
        <v>4</v>
      </c>
      <c r="C2686" s="3">
        <v>56</v>
      </c>
      <c r="D2686" s="3">
        <v>54</v>
      </c>
      <c r="E2686" s="3">
        <v>8652.781</v>
      </c>
      <c r="F2686" s="4" t="str">
        <f>HYPERLINK("http://141.218.60.56/~jnz1568/getInfo.php?workbook=14_04.xlsx&amp;sheet=A0&amp;row=2686&amp;col=6&amp;number=0.0009006&amp;sourceID=14","0.0009006")</f>
        <v>0.0009006</v>
      </c>
      <c r="G2686" s="4" t="str">
        <f>HYPERLINK("http://141.218.60.56/~jnz1568/getInfo.php?workbook=14_04.xlsx&amp;sheet=A0&amp;row=2686&amp;col=7&amp;number=0&amp;sourceID=14","0")</f>
        <v>0</v>
      </c>
    </row>
    <row r="2687" spans="1:7">
      <c r="A2687" s="3">
        <v>14</v>
      </c>
      <c r="B2687" s="3">
        <v>4</v>
      </c>
      <c r="C2687" s="3">
        <v>58</v>
      </c>
      <c r="D2687" s="3">
        <v>54</v>
      </c>
      <c r="E2687" s="3">
        <v>-654.262</v>
      </c>
      <c r="F2687" s="4" t="str">
        <f>HYPERLINK("http://141.218.60.56/~jnz1568/getInfo.php?workbook=14_04.xlsx&amp;sheet=A0&amp;row=2687&amp;col=6&amp;number=5433000&amp;sourceID=14","5433000")</f>
        <v>5433000</v>
      </c>
      <c r="G2687" s="4" t="str">
        <f>HYPERLINK("http://141.218.60.56/~jnz1568/getInfo.php?workbook=14_04.xlsx&amp;sheet=A0&amp;row=2687&amp;col=7&amp;number=0&amp;sourceID=14","0")</f>
        <v>0</v>
      </c>
    </row>
    <row r="2688" spans="1:7">
      <c r="A2688" s="3">
        <v>14</v>
      </c>
      <c r="B2688" s="3">
        <v>4</v>
      </c>
      <c r="C2688" s="3">
        <v>59</v>
      </c>
      <c r="D2688" s="3">
        <v>54</v>
      </c>
      <c r="E2688" s="3">
        <v>662.643</v>
      </c>
      <c r="F2688" s="4" t="str">
        <f>HYPERLINK("http://141.218.60.56/~jnz1568/getInfo.php?workbook=14_04.xlsx&amp;sheet=A0&amp;row=2688&amp;col=6&amp;number=1135000&amp;sourceID=14","1135000")</f>
        <v>1135000</v>
      </c>
      <c r="G2688" s="4" t="str">
        <f>HYPERLINK("http://141.218.60.56/~jnz1568/getInfo.php?workbook=14_04.xlsx&amp;sheet=A0&amp;row=2688&amp;col=7&amp;number=0&amp;sourceID=14","0")</f>
        <v>0</v>
      </c>
    </row>
    <row r="2689" spans="1:7">
      <c r="A2689" s="3">
        <v>14</v>
      </c>
      <c r="B2689" s="3">
        <v>4</v>
      </c>
      <c r="C2689" s="3">
        <v>60</v>
      </c>
      <c r="D2689" s="3">
        <v>54</v>
      </c>
      <c r="E2689" s="3">
        <v>-603.47</v>
      </c>
      <c r="F2689" s="4" t="str">
        <f>HYPERLINK("http://141.218.60.56/~jnz1568/getInfo.php?workbook=14_04.xlsx&amp;sheet=A0&amp;row=2689&amp;col=6&amp;number=710200&amp;sourceID=14","710200")</f>
        <v>710200</v>
      </c>
      <c r="G2689" s="4" t="str">
        <f>HYPERLINK("http://141.218.60.56/~jnz1568/getInfo.php?workbook=14_04.xlsx&amp;sheet=A0&amp;row=2689&amp;col=7&amp;number=0&amp;sourceID=14","0")</f>
        <v>0</v>
      </c>
    </row>
    <row r="2690" spans="1:7">
      <c r="A2690" s="3">
        <v>14</v>
      </c>
      <c r="B2690" s="3">
        <v>4</v>
      </c>
      <c r="C2690" s="3">
        <v>61</v>
      </c>
      <c r="D2690" s="3">
        <v>54</v>
      </c>
      <c r="E2690" s="3">
        <v>-562.928</v>
      </c>
      <c r="F2690" s="4" t="str">
        <f>HYPERLINK("http://141.218.60.56/~jnz1568/getInfo.php?workbook=14_04.xlsx&amp;sheet=A0&amp;row=2690&amp;col=6&amp;number=19.34&amp;sourceID=14","19.34")</f>
        <v>19.34</v>
      </c>
      <c r="G2690" s="4" t="str">
        <f>HYPERLINK("http://141.218.60.56/~jnz1568/getInfo.php?workbook=14_04.xlsx&amp;sheet=A0&amp;row=2690&amp;col=7&amp;number=0&amp;sourceID=14","0")</f>
        <v>0</v>
      </c>
    </row>
    <row r="2691" spans="1:7">
      <c r="A2691" s="3">
        <v>14</v>
      </c>
      <c r="B2691" s="3">
        <v>4</v>
      </c>
      <c r="C2691" s="3">
        <v>62</v>
      </c>
      <c r="D2691" s="3">
        <v>54</v>
      </c>
      <c r="E2691" s="3">
        <v>-577.146</v>
      </c>
      <c r="F2691" s="4" t="str">
        <f>HYPERLINK("http://141.218.60.56/~jnz1568/getInfo.php?workbook=14_04.xlsx&amp;sheet=A0&amp;row=2691&amp;col=6&amp;number=22.35&amp;sourceID=14","22.35")</f>
        <v>22.35</v>
      </c>
      <c r="G2691" s="4" t="str">
        <f>HYPERLINK("http://141.218.60.56/~jnz1568/getInfo.php?workbook=14_04.xlsx&amp;sheet=A0&amp;row=2691&amp;col=7&amp;number=0&amp;sourceID=14","0")</f>
        <v>0</v>
      </c>
    </row>
    <row r="2692" spans="1:7">
      <c r="A2692" s="3">
        <v>14</v>
      </c>
      <c r="B2692" s="3">
        <v>4</v>
      </c>
      <c r="C2692" s="3">
        <v>63</v>
      </c>
      <c r="D2692" s="3">
        <v>54</v>
      </c>
      <c r="E2692" s="3">
        <v>-562.12</v>
      </c>
      <c r="F2692" s="4" t="str">
        <f>HYPERLINK("http://141.218.60.56/~jnz1568/getInfo.php?workbook=14_04.xlsx&amp;sheet=A0&amp;row=2692&amp;col=6&amp;number=0.201&amp;sourceID=14","0.201")</f>
        <v>0.201</v>
      </c>
      <c r="G2692" s="4" t="str">
        <f>HYPERLINK("http://141.218.60.56/~jnz1568/getInfo.php?workbook=14_04.xlsx&amp;sheet=A0&amp;row=2692&amp;col=7&amp;number=0&amp;sourceID=14","0")</f>
        <v>0</v>
      </c>
    </row>
    <row r="2693" spans="1:7">
      <c r="A2693" s="3">
        <v>14</v>
      </c>
      <c r="B2693" s="3">
        <v>4</v>
      </c>
      <c r="C2693" s="3">
        <v>64</v>
      </c>
      <c r="D2693" s="3">
        <v>54</v>
      </c>
      <c r="E2693" s="3">
        <v>-545.477</v>
      </c>
      <c r="F2693" s="4" t="str">
        <f>HYPERLINK("http://141.218.60.56/~jnz1568/getInfo.php?workbook=14_04.xlsx&amp;sheet=A0&amp;row=2693&amp;col=6&amp;number=3.219&amp;sourceID=14","3.219")</f>
        <v>3.219</v>
      </c>
      <c r="G2693" s="4" t="str">
        <f>HYPERLINK("http://141.218.60.56/~jnz1568/getInfo.php?workbook=14_04.xlsx&amp;sheet=A0&amp;row=2693&amp;col=7&amp;number=0&amp;sourceID=14","0")</f>
        <v>0</v>
      </c>
    </row>
    <row r="2694" spans="1:7">
      <c r="A2694" s="3">
        <v>14</v>
      </c>
      <c r="B2694" s="3">
        <v>4</v>
      </c>
      <c r="C2694" s="3">
        <v>65</v>
      </c>
      <c r="D2694" s="3">
        <v>54</v>
      </c>
      <c r="E2694" s="3">
        <v>-540.249</v>
      </c>
      <c r="F2694" s="4" t="str">
        <f>HYPERLINK("http://141.218.60.56/~jnz1568/getInfo.php?workbook=14_04.xlsx&amp;sheet=A0&amp;row=2694&amp;col=6&amp;number=338&amp;sourceID=14","338")</f>
        <v>338</v>
      </c>
      <c r="G2694" s="4" t="str">
        <f>HYPERLINK("http://141.218.60.56/~jnz1568/getInfo.php?workbook=14_04.xlsx&amp;sheet=A0&amp;row=2694&amp;col=7&amp;number=0&amp;sourceID=14","0")</f>
        <v>0</v>
      </c>
    </row>
    <row r="2695" spans="1:7">
      <c r="A2695" s="3">
        <v>14</v>
      </c>
      <c r="B2695" s="3">
        <v>4</v>
      </c>
      <c r="C2695" s="3">
        <v>66</v>
      </c>
      <c r="D2695" s="3">
        <v>54</v>
      </c>
      <c r="E2695" s="3">
        <v>-540.692</v>
      </c>
      <c r="F2695" s="4" t="str">
        <f>HYPERLINK("http://141.218.60.56/~jnz1568/getInfo.php?workbook=14_04.xlsx&amp;sheet=A0&amp;row=2695&amp;col=6&amp;number=90.16&amp;sourceID=14","90.16")</f>
        <v>90.16</v>
      </c>
      <c r="G2695" s="4" t="str">
        <f>HYPERLINK("http://141.218.60.56/~jnz1568/getInfo.php?workbook=14_04.xlsx&amp;sheet=A0&amp;row=2695&amp;col=7&amp;number=0&amp;sourceID=14","0")</f>
        <v>0</v>
      </c>
    </row>
    <row r="2696" spans="1:7">
      <c r="A2696" s="3">
        <v>14</v>
      </c>
      <c r="B2696" s="3">
        <v>4</v>
      </c>
      <c r="C2696" s="3">
        <v>67</v>
      </c>
      <c r="D2696" s="3">
        <v>54</v>
      </c>
      <c r="E2696" s="3">
        <v>-527.779</v>
      </c>
      <c r="F2696" s="4" t="str">
        <f>HYPERLINK("http://141.218.60.56/~jnz1568/getInfo.php?workbook=14_04.xlsx&amp;sheet=A0&amp;row=2696&amp;col=6&amp;number=360.6&amp;sourceID=14","360.6")</f>
        <v>360.6</v>
      </c>
      <c r="G2696" s="4" t="str">
        <f>HYPERLINK("http://141.218.60.56/~jnz1568/getInfo.php?workbook=14_04.xlsx&amp;sheet=A0&amp;row=2696&amp;col=7&amp;number=0&amp;sourceID=14","0")</f>
        <v>0</v>
      </c>
    </row>
    <row r="2697" spans="1:7">
      <c r="A2697" s="3">
        <v>14</v>
      </c>
      <c r="B2697" s="3">
        <v>4</v>
      </c>
      <c r="C2697" s="3">
        <v>68</v>
      </c>
      <c r="D2697" s="3">
        <v>54</v>
      </c>
      <c r="E2697" s="3">
        <v>-525.585</v>
      </c>
      <c r="F2697" s="4" t="str">
        <f>HYPERLINK("http://141.218.60.56/~jnz1568/getInfo.php?workbook=14_04.xlsx&amp;sheet=A0&amp;row=2697&amp;col=6&amp;number=36.14&amp;sourceID=14","36.14")</f>
        <v>36.14</v>
      </c>
      <c r="G2697" s="4" t="str">
        <f>HYPERLINK("http://141.218.60.56/~jnz1568/getInfo.php?workbook=14_04.xlsx&amp;sheet=A0&amp;row=2697&amp;col=7&amp;number=0&amp;sourceID=14","0")</f>
        <v>0</v>
      </c>
    </row>
    <row r="2698" spans="1:7">
      <c r="A2698" s="3">
        <v>14</v>
      </c>
      <c r="B2698" s="3">
        <v>4</v>
      </c>
      <c r="C2698" s="3">
        <v>69</v>
      </c>
      <c r="D2698" s="3">
        <v>54</v>
      </c>
      <c r="E2698" s="3">
        <v>-523.352</v>
      </c>
      <c r="F2698" s="4" t="str">
        <f>HYPERLINK("http://141.218.60.56/~jnz1568/getInfo.php?workbook=14_04.xlsx&amp;sheet=A0&amp;row=2698&amp;col=6&amp;number=120100000&amp;sourceID=14","120100000")</f>
        <v>120100000</v>
      </c>
      <c r="G2698" s="4" t="str">
        <f>HYPERLINK("http://141.218.60.56/~jnz1568/getInfo.php?workbook=14_04.xlsx&amp;sheet=A0&amp;row=2698&amp;col=7&amp;number=0&amp;sourceID=14","0")</f>
        <v>0</v>
      </c>
    </row>
    <row r="2699" spans="1:7">
      <c r="A2699" s="3">
        <v>14</v>
      </c>
      <c r="B2699" s="3">
        <v>4</v>
      </c>
      <c r="C2699" s="3">
        <v>70</v>
      </c>
      <c r="D2699" s="3">
        <v>54</v>
      </c>
      <c r="E2699" s="3">
        <v>-514.115</v>
      </c>
      <c r="F2699" s="4" t="str">
        <f>HYPERLINK("http://141.218.60.56/~jnz1568/getInfo.php?workbook=14_04.xlsx&amp;sheet=A0&amp;row=2699&amp;col=6&amp;number=302900000&amp;sourceID=14","302900000")</f>
        <v>302900000</v>
      </c>
      <c r="G2699" s="4" t="str">
        <f>HYPERLINK("http://141.218.60.56/~jnz1568/getInfo.php?workbook=14_04.xlsx&amp;sheet=A0&amp;row=2699&amp;col=7&amp;number=0&amp;sourceID=14","0")</f>
        <v>0</v>
      </c>
    </row>
    <row r="2700" spans="1:7">
      <c r="A2700" s="3">
        <v>14</v>
      </c>
      <c r="B2700" s="3">
        <v>4</v>
      </c>
      <c r="C2700" s="3">
        <v>71</v>
      </c>
      <c r="D2700" s="3">
        <v>54</v>
      </c>
      <c r="E2700" s="3">
        <v>-510.411</v>
      </c>
      <c r="F2700" s="4" t="str">
        <f>HYPERLINK("http://141.218.60.56/~jnz1568/getInfo.php?workbook=14_04.xlsx&amp;sheet=A0&amp;row=2700&amp;col=6&amp;number=69190000&amp;sourceID=14","69190000")</f>
        <v>69190000</v>
      </c>
      <c r="G2700" s="4" t="str">
        <f>HYPERLINK("http://141.218.60.56/~jnz1568/getInfo.php?workbook=14_04.xlsx&amp;sheet=A0&amp;row=2700&amp;col=7&amp;number=0&amp;sourceID=14","0")</f>
        <v>0</v>
      </c>
    </row>
    <row r="2701" spans="1:7">
      <c r="A2701" s="3">
        <v>14</v>
      </c>
      <c r="B2701" s="3">
        <v>4</v>
      </c>
      <c r="C2701" s="3">
        <v>72</v>
      </c>
      <c r="D2701" s="3">
        <v>54</v>
      </c>
      <c r="E2701" s="3">
        <v>-504.801</v>
      </c>
      <c r="F2701" s="4" t="str">
        <f>HYPERLINK("http://141.218.60.56/~jnz1568/getInfo.php?workbook=14_04.xlsx&amp;sheet=A0&amp;row=2701&amp;col=6&amp;number=0.6712&amp;sourceID=14","0.6712")</f>
        <v>0.6712</v>
      </c>
      <c r="G2701" s="4" t="str">
        <f>HYPERLINK("http://141.218.60.56/~jnz1568/getInfo.php?workbook=14_04.xlsx&amp;sheet=A0&amp;row=2701&amp;col=7&amp;number=0&amp;sourceID=14","0")</f>
        <v>0</v>
      </c>
    </row>
    <row r="2702" spans="1:7">
      <c r="A2702" s="3">
        <v>14</v>
      </c>
      <c r="B2702" s="3">
        <v>4</v>
      </c>
      <c r="C2702" s="3">
        <v>74</v>
      </c>
      <c r="D2702" s="3">
        <v>54</v>
      </c>
      <c r="E2702" s="3">
        <v>-497.696</v>
      </c>
      <c r="F2702" s="4" t="str">
        <f>HYPERLINK("http://141.218.60.56/~jnz1568/getInfo.php?workbook=14_04.xlsx&amp;sheet=A0&amp;row=2702&amp;col=6&amp;number=762400000&amp;sourceID=14","762400000")</f>
        <v>762400000</v>
      </c>
      <c r="G2702" s="4" t="str">
        <f>HYPERLINK("http://141.218.60.56/~jnz1568/getInfo.php?workbook=14_04.xlsx&amp;sheet=A0&amp;row=2702&amp;col=7&amp;number=0&amp;sourceID=14","0")</f>
        <v>0</v>
      </c>
    </row>
    <row r="2703" spans="1:7">
      <c r="A2703" s="3">
        <v>14</v>
      </c>
      <c r="B2703" s="3">
        <v>4</v>
      </c>
      <c r="C2703" s="3">
        <v>75</v>
      </c>
      <c r="D2703" s="3">
        <v>54</v>
      </c>
      <c r="E2703" s="3">
        <v>-492.99</v>
      </c>
      <c r="F2703" s="4" t="str">
        <f>HYPERLINK("http://141.218.60.56/~jnz1568/getInfo.php?workbook=14_04.xlsx&amp;sheet=A0&amp;row=2703&amp;col=6&amp;number=131000000&amp;sourceID=14","131000000")</f>
        <v>131000000</v>
      </c>
      <c r="G2703" s="4" t="str">
        <f>HYPERLINK("http://141.218.60.56/~jnz1568/getInfo.php?workbook=14_04.xlsx&amp;sheet=A0&amp;row=2703&amp;col=7&amp;number=0&amp;sourceID=14","0")</f>
        <v>0</v>
      </c>
    </row>
    <row r="2704" spans="1:7">
      <c r="A2704" s="3">
        <v>14</v>
      </c>
      <c r="B2704" s="3">
        <v>4</v>
      </c>
      <c r="C2704" s="3">
        <v>76</v>
      </c>
      <c r="D2704" s="3">
        <v>54</v>
      </c>
      <c r="E2704" s="3">
        <v>485.254</v>
      </c>
      <c r="F2704" s="4" t="str">
        <f>HYPERLINK("http://141.218.60.56/~jnz1568/getInfo.php?workbook=14_04.xlsx&amp;sheet=A0&amp;row=2704&amp;col=6&amp;number=306000000&amp;sourceID=14","306000000")</f>
        <v>306000000</v>
      </c>
      <c r="G2704" s="4" t="str">
        <f>HYPERLINK("http://141.218.60.56/~jnz1568/getInfo.php?workbook=14_04.xlsx&amp;sheet=A0&amp;row=2704&amp;col=7&amp;number=0&amp;sourceID=14","0")</f>
        <v>0</v>
      </c>
    </row>
    <row r="2705" spans="1:7">
      <c r="A2705" s="3">
        <v>14</v>
      </c>
      <c r="B2705" s="3">
        <v>4</v>
      </c>
      <c r="C2705" s="3">
        <v>77</v>
      </c>
      <c r="D2705" s="3">
        <v>54</v>
      </c>
      <c r="E2705" s="3">
        <v>483.121</v>
      </c>
      <c r="F2705" s="4" t="str">
        <f>HYPERLINK("http://141.218.60.56/~jnz1568/getInfo.php?workbook=14_04.xlsx&amp;sheet=A0&amp;row=2705&amp;col=6&amp;number=837000000&amp;sourceID=14","837000000")</f>
        <v>837000000</v>
      </c>
      <c r="G2705" s="4" t="str">
        <f>HYPERLINK("http://141.218.60.56/~jnz1568/getInfo.php?workbook=14_04.xlsx&amp;sheet=A0&amp;row=2705&amp;col=7&amp;number=0&amp;sourceID=14","0")</f>
        <v>0</v>
      </c>
    </row>
    <row r="2706" spans="1:7">
      <c r="A2706" s="3">
        <v>14</v>
      </c>
      <c r="B2706" s="3">
        <v>4</v>
      </c>
      <c r="C2706" s="3">
        <v>78</v>
      </c>
      <c r="D2706" s="3">
        <v>54</v>
      </c>
      <c r="E2706" s="3">
        <v>-479.029</v>
      </c>
      <c r="F2706" s="4" t="str">
        <f>HYPERLINK("http://141.218.60.56/~jnz1568/getInfo.php?workbook=14_04.xlsx&amp;sheet=A0&amp;row=2706&amp;col=6&amp;number=705700000&amp;sourceID=14","705700000")</f>
        <v>705700000</v>
      </c>
      <c r="G2706" s="4" t="str">
        <f>HYPERLINK("http://141.218.60.56/~jnz1568/getInfo.php?workbook=14_04.xlsx&amp;sheet=A0&amp;row=2706&amp;col=7&amp;number=0&amp;sourceID=14","0")</f>
        <v>0</v>
      </c>
    </row>
    <row r="2707" spans="1:7">
      <c r="A2707" s="3">
        <v>14</v>
      </c>
      <c r="B2707" s="3">
        <v>4</v>
      </c>
      <c r="C2707" s="3">
        <v>80</v>
      </c>
      <c r="D2707" s="3">
        <v>54</v>
      </c>
      <c r="E2707" s="3">
        <v>508.547</v>
      </c>
      <c r="F2707" s="4" t="str">
        <f>HYPERLINK("http://141.218.60.56/~jnz1568/getInfo.php?workbook=14_04.xlsx&amp;sheet=A0&amp;row=2707&amp;col=6&amp;number=0.1054&amp;sourceID=14","0.1054")</f>
        <v>0.1054</v>
      </c>
      <c r="G2707" s="4" t="str">
        <f>HYPERLINK("http://141.218.60.56/~jnz1568/getInfo.php?workbook=14_04.xlsx&amp;sheet=A0&amp;row=2707&amp;col=7&amp;number=0&amp;sourceID=14","0")</f>
        <v>0</v>
      </c>
    </row>
    <row r="2708" spans="1:7">
      <c r="A2708" s="3">
        <v>14</v>
      </c>
      <c r="B2708" s="3">
        <v>4</v>
      </c>
      <c r="C2708" s="3">
        <v>81</v>
      </c>
      <c r="D2708" s="3">
        <v>54</v>
      </c>
      <c r="E2708" s="3">
        <v>460.591</v>
      </c>
      <c r="F2708" s="4" t="str">
        <f>HYPERLINK("http://141.218.60.56/~jnz1568/getInfo.php?workbook=14_04.xlsx&amp;sheet=A0&amp;row=2708&amp;col=6&amp;number=1377000&amp;sourceID=14","1377000")</f>
        <v>1377000</v>
      </c>
      <c r="G2708" s="4" t="str">
        <f>HYPERLINK("http://141.218.60.56/~jnz1568/getInfo.php?workbook=14_04.xlsx&amp;sheet=A0&amp;row=2708&amp;col=7&amp;number=0&amp;sourceID=14","0")</f>
        <v>0</v>
      </c>
    </row>
    <row r="2709" spans="1:7">
      <c r="A2709" s="3">
        <v>14</v>
      </c>
      <c r="B2709" s="3">
        <v>4</v>
      </c>
      <c r="C2709" s="3">
        <v>82</v>
      </c>
      <c r="D2709" s="3">
        <v>54</v>
      </c>
      <c r="E2709" s="3">
        <v>-452.407</v>
      </c>
      <c r="F2709" s="4" t="str">
        <f>HYPERLINK("http://141.218.60.56/~jnz1568/getInfo.php?workbook=14_04.xlsx&amp;sheet=A0&amp;row=2709&amp;col=6&amp;number=55440000&amp;sourceID=14","55440000")</f>
        <v>55440000</v>
      </c>
      <c r="G2709" s="4" t="str">
        <f>HYPERLINK("http://141.218.60.56/~jnz1568/getInfo.php?workbook=14_04.xlsx&amp;sheet=A0&amp;row=2709&amp;col=7&amp;number=0&amp;sourceID=14","0")</f>
        <v>0</v>
      </c>
    </row>
    <row r="2710" spans="1:7">
      <c r="A2710" s="3">
        <v>14</v>
      </c>
      <c r="B2710" s="3">
        <v>4</v>
      </c>
      <c r="C2710" s="3">
        <v>83</v>
      </c>
      <c r="D2710" s="3">
        <v>54</v>
      </c>
      <c r="E2710" s="3">
        <v>-354.663</v>
      </c>
      <c r="F2710" s="4" t="str">
        <f>HYPERLINK("http://141.218.60.56/~jnz1568/getInfo.php?workbook=14_04.xlsx&amp;sheet=A0&amp;row=2710&amp;col=6&amp;number=215200&amp;sourceID=14","215200")</f>
        <v>215200</v>
      </c>
      <c r="G2710" s="4" t="str">
        <f>HYPERLINK("http://141.218.60.56/~jnz1568/getInfo.php?workbook=14_04.xlsx&amp;sheet=A0&amp;row=2710&amp;col=7&amp;number=0&amp;sourceID=14","0")</f>
        <v>0</v>
      </c>
    </row>
    <row r="2711" spans="1:7">
      <c r="A2711" s="3">
        <v>14</v>
      </c>
      <c r="B2711" s="3">
        <v>4</v>
      </c>
      <c r="C2711" s="3">
        <v>84</v>
      </c>
      <c r="D2711" s="3">
        <v>54</v>
      </c>
      <c r="E2711" s="3">
        <v>-345.844</v>
      </c>
      <c r="F2711" s="4" t="str">
        <f>HYPERLINK("http://141.218.60.56/~jnz1568/getInfo.php?workbook=14_04.xlsx&amp;sheet=A0&amp;row=2711&amp;col=6&amp;number=82.42&amp;sourceID=14","82.42")</f>
        <v>82.42</v>
      </c>
      <c r="G2711" s="4" t="str">
        <f>HYPERLINK("http://141.218.60.56/~jnz1568/getInfo.php?workbook=14_04.xlsx&amp;sheet=A0&amp;row=2711&amp;col=7&amp;number=0&amp;sourceID=14","0")</f>
        <v>0</v>
      </c>
    </row>
    <row r="2712" spans="1:7">
      <c r="A2712" s="3">
        <v>14</v>
      </c>
      <c r="B2712" s="3">
        <v>4</v>
      </c>
      <c r="C2712" s="3">
        <v>86</v>
      </c>
      <c r="D2712" s="3">
        <v>54</v>
      </c>
      <c r="E2712" s="3">
        <v>-337.153</v>
      </c>
      <c r="F2712" s="4" t="str">
        <f>HYPERLINK("http://141.218.60.56/~jnz1568/getInfo.php?workbook=14_04.xlsx&amp;sheet=A0&amp;row=2712&amp;col=6&amp;number=2472000000&amp;sourceID=14","2472000000")</f>
        <v>2472000000</v>
      </c>
      <c r="G2712" s="4" t="str">
        <f>HYPERLINK("http://141.218.60.56/~jnz1568/getInfo.php?workbook=14_04.xlsx&amp;sheet=A0&amp;row=2712&amp;col=7&amp;number=0&amp;sourceID=14","0")</f>
        <v>0</v>
      </c>
    </row>
    <row r="2713" spans="1:7">
      <c r="A2713" s="3">
        <v>14</v>
      </c>
      <c r="B2713" s="3">
        <v>4</v>
      </c>
      <c r="C2713" s="3">
        <v>87</v>
      </c>
      <c r="D2713" s="3">
        <v>54</v>
      </c>
      <c r="E2713" s="3">
        <v>331.714</v>
      </c>
      <c r="F2713" s="4" t="str">
        <f>HYPERLINK("http://141.218.60.56/~jnz1568/getInfo.php?workbook=14_04.xlsx&amp;sheet=A0&amp;row=2713&amp;col=6&amp;number=510500000&amp;sourceID=14","510500000")</f>
        <v>510500000</v>
      </c>
      <c r="G2713" s="4" t="str">
        <f>HYPERLINK("http://141.218.60.56/~jnz1568/getInfo.php?workbook=14_04.xlsx&amp;sheet=A0&amp;row=2713&amp;col=7&amp;number=0&amp;sourceID=14","0")</f>
        <v>0</v>
      </c>
    </row>
    <row r="2714" spans="1:7">
      <c r="A2714" s="3">
        <v>14</v>
      </c>
      <c r="B2714" s="3">
        <v>4</v>
      </c>
      <c r="C2714" s="3">
        <v>88</v>
      </c>
      <c r="D2714" s="3">
        <v>54</v>
      </c>
      <c r="E2714" s="3">
        <v>-333.942</v>
      </c>
      <c r="F2714" s="4" t="str">
        <f>HYPERLINK("http://141.218.60.56/~jnz1568/getInfo.php?workbook=14_04.xlsx&amp;sheet=A0&amp;row=2714&amp;col=6&amp;number=7253000&amp;sourceID=14","7253000")</f>
        <v>7253000</v>
      </c>
      <c r="G2714" s="4" t="str">
        <f>HYPERLINK("http://141.218.60.56/~jnz1568/getInfo.php?workbook=14_04.xlsx&amp;sheet=A0&amp;row=2714&amp;col=7&amp;number=0&amp;sourceID=14","0")</f>
        <v>0</v>
      </c>
    </row>
    <row r="2715" spans="1:7">
      <c r="A2715" s="3">
        <v>14</v>
      </c>
      <c r="B2715" s="3">
        <v>4</v>
      </c>
      <c r="C2715" s="3">
        <v>89</v>
      </c>
      <c r="D2715" s="3">
        <v>54</v>
      </c>
      <c r="E2715" s="3">
        <v>-327.805</v>
      </c>
      <c r="F2715" s="4" t="str">
        <f>HYPERLINK("http://141.218.60.56/~jnz1568/getInfo.php?workbook=14_04.xlsx&amp;sheet=A0&amp;row=2715&amp;col=6&amp;number=273700&amp;sourceID=14","273700")</f>
        <v>273700</v>
      </c>
      <c r="G2715" s="4" t="str">
        <f>HYPERLINK("http://141.218.60.56/~jnz1568/getInfo.php?workbook=14_04.xlsx&amp;sheet=A0&amp;row=2715&amp;col=7&amp;number=0&amp;sourceID=14","0")</f>
        <v>0</v>
      </c>
    </row>
    <row r="2716" spans="1:7">
      <c r="A2716" s="3">
        <v>14</v>
      </c>
      <c r="B2716" s="3">
        <v>4</v>
      </c>
      <c r="C2716" s="3">
        <v>90</v>
      </c>
      <c r="D2716" s="3">
        <v>54</v>
      </c>
      <c r="E2716" s="3">
        <v>326.749</v>
      </c>
      <c r="F2716" s="4" t="str">
        <f>HYPERLINK("http://141.218.60.56/~jnz1568/getInfo.php?workbook=14_04.xlsx&amp;sheet=A0&amp;row=2716&amp;col=6&amp;number=119100&amp;sourceID=14","119100")</f>
        <v>119100</v>
      </c>
      <c r="G2716" s="4" t="str">
        <f>HYPERLINK("http://141.218.60.56/~jnz1568/getInfo.php?workbook=14_04.xlsx&amp;sheet=A0&amp;row=2716&amp;col=7&amp;number=0&amp;sourceID=14","0")</f>
        <v>0</v>
      </c>
    </row>
    <row r="2717" spans="1:7">
      <c r="A2717" s="3">
        <v>14</v>
      </c>
      <c r="B2717" s="3">
        <v>4</v>
      </c>
      <c r="C2717" s="3">
        <v>91</v>
      </c>
      <c r="D2717" s="3">
        <v>54</v>
      </c>
      <c r="E2717" s="3">
        <v>326.837</v>
      </c>
      <c r="F2717" s="4" t="str">
        <f>HYPERLINK("http://141.218.60.56/~jnz1568/getInfo.php?workbook=14_04.xlsx&amp;sheet=A0&amp;row=2717&amp;col=6&amp;number=135800&amp;sourceID=14","135800")</f>
        <v>135800</v>
      </c>
      <c r="G2717" s="4" t="str">
        <f>HYPERLINK("http://141.218.60.56/~jnz1568/getInfo.php?workbook=14_04.xlsx&amp;sheet=A0&amp;row=2717&amp;col=7&amp;number=0&amp;sourceID=14","0")</f>
        <v>0</v>
      </c>
    </row>
    <row r="2718" spans="1:7">
      <c r="A2718" s="3">
        <v>14</v>
      </c>
      <c r="B2718" s="3">
        <v>4</v>
      </c>
      <c r="C2718" s="3">
        <v>92</v>
      </c>
      <c r="D2718" s="3">
        <v>54</v>
      </c>
      <c r="E2718" s="3">
        <v>322.695</v>
      </c>
      <c r="F2718" s="4" t="str">
        <f>HYPERLINK("http://141.218.60.56/~jnz1568/getInfo.php?workbook=14_04.xlsx&amp;sheet=A0&amp;row=2718&amp;col=6&amp;number=11.69&amp;sourceID=14","11.69")</f>
        <v>11.69</v>
      </c>
      <c r="G2718" s="4" t="str">
        <f>HYPERLINK("http://141.218.60.56/~jnz1568/getInfo.php?workbook=14_04.xlsx&amp;sheet=A0&amp;row=2718&amp;col=7&amp;number=0&amp;sourceID=14","0")</f>
        <v>0</v>
      </c>
    </row>
    <row r="2719" spans="1:7">
      <c r="A2719" s="3">
        <v>14</v>
      </c>
      <c r="B2719" s="3">
        <v>4</v>
      </c>
      <c r="C2719" s="3">
        <v>56</v>
      </c>
      <c r="D2719" s="3">
        <v>55</v>
      </c>
      <c r="E2719" s="3">
        <v>9318.813</v>
      </c>
      <c r="F2719" s="4" t="str">
        <f>HYPERLINK("http://141.218.60.56/~jnz1568/getInfo.php?workbook=14_04.xlsx&amp;sheet=A0&amp;row=2719&amp;col=6&amp;number=0.004024&amp;sourceID=14","0.004024")</f>
        <v>0.004024</v>
      </c>
      <c r="G2719" s="4" t="str">
        <f>HYPERLINK("http://141.218.60.56/~jnz1568/getInfo.php?workbook=14_04.xlsx&amp;sheet=A0&amp;row=2719&amp;col=7&amp;number=0&amp;sourceID=14","0")</f>
        <v>0</v>
      </c>
    </row>
    <row r="2720" spans="1:7">
      <c r="A2720" s="3">
        <v>14</v>
      </c>
      <c r="B2720" s="3">
        <v>4</v>
      </c>
      <c r="C2720" s="3">
        <v>59</v>
      </c>
      <c r="D2720" s="3">
        <v>55</v>
      </c>
      <c r="E2720" s="3">
        <v>666.29</v>
      </c>
      <c r="F2720" s="4" t="str">
        <f>HYPERLINK("http://141.218.60.56/~jnz1568/getInfo.php?workbook=14_04.xlsx&amp;sheet=A0&amp;row=2720&amp;col=6&amp;number=8046000&amp;sourceID=14","8046000")</f>
        <v>8046000</v>
      </c>
      <c r="G2720" s="4" t="str">
        <f>HYPERLINK("http://141.218.60.56/~jnz1568/getInfo.php?workbook=14_04.xlsx&amp;sheet=A0&amp;row=2720&amp;col=7&amp;number=0&amp;sourceID=14","0")</f>
        <v>0</v>
      </c>
    </row>
    <row r="2721" spans="1:7">
      <c r="A2721" s="3">
        <v>14</v>
      </c>
      <c r="B2721" s="3">
        <v>4</v>
      </c>
      <c r="C2721" s="3">
        <v>61</v>
      </c>
      <c r="D2721" s="3">
        <v>55</v>
      </c>
      <c r="E2721" s="3">
        <v>-563.449</v>
      </c>
      <c r="F2721" s="4" t="str">
        <f>HYPERLINK("http://141.218.60.56/~jnz1568/getInfo.php?workbook=14_04.xlsx&amp;sheet=A0&amp;row=2721&amp;col=6&amp;number=107.1&amp;sourceID=14","107.1")</f>
        <v>107.1</v>
      </c>
      <c r="G2721" s="4" t="str">
        <f>HYPERLINK("http://141.218.60.56/~jnz1568/getInfo.php?workbook=14_04.xlsx&amp;sheet=A0&amp;row=2721&amp;col=7&amp;number=0&amp;sourceID=14","0")</f>
        <v>0</v>
      </c>
    </row>
    <row r="2722" spans="1:7">
      <c r="A2722" s="3">
        <v>14</v>
      </c>
      <c r="B2722" s="3">
        <v>4</v>
      </c>
      <c r="C2722" s="3">
        <v>62</v>
      </c>
      <c r="D2722" s="3">
        <v>55</v>
      </c>
      <c r="E2722" s="3">
        <v>-577.695</v>
      </c>
      <c r="F2722" s="4" t="str">
        <f>HYPERLINK("http://141.218.60.56/~jnz1568/getInfo.php?workbook=14_04.xlsx&amp;sheet=A0&amp;row=2722&amp;col=6&amp;number=10.67&amp;sourceID=14","10.67")</f>
        <v>10.67</v>
      </c>
      <c r="G2722" s="4" t="str">
        <f>HYPERLINK("http://141.218.60.56/~jnz1568/getInfo.php?workbook=14_04.xlsx&amp;sheet=A0&amp;row=2722&amp;col=7&amp;number=0&amp;sourceID=14","0")</f>
        <v>0</v>
      </c>
    </row>
    <row r="2723" spans="1:7">
      <c r="A2723" s="3">
        <v>14</v>
      </c>
      <c r="B2723" s="3">
        <v>4</v>
      </c>
      <c r="C2723" s="3">
        <v>63</v>
      </c>
      <c r="D2723" s="3">
        <v>55</v>
      </c>
      <c r="E2723" s="3">
        <v>-562.64</v>
      </c>
      <c r="F2723" s="4" t="str">
        <f>HYPERLINK("http://141.218.60.56/~jnz1568/getInfo.php?workbook=14_04.xlsx&amp;sheet=A0&amp;row=2723&amp;col=6&amp;number=10.84&amp;sourceID=14","10.84")</f>
        <v>10.84</v>
      </c>
      <c r="G2723" s="4" t="str">
        <f>HYPERLINK("http://141.218.60.56/~jnz1568/getInfo.php?workbook=14_04.xlsx&amp;sheet=A0&amp;row=2723&amp;col=7&amp;number=0&amp;sourceID=14","0")</f>
        <v>0</v>
      </c>
    </row>
    <row r="2724" spans="1:7">
      <c r="A2724" s="3">
        <v>14</v>
      </c>
      <c r="B2724" s="3">
        <v>4</v>
      </c>
      <c r="C2724" s="3">
        <v>64</v>
      </c>
      <c r="D2724" s="3">
        <v>55</v>
      </c>
      <c r="E2724" s="3">
        <v>-545.967</v>
      </c>
      <c r="F2724" s="4" t="str">
        <f>HYPERLINK("http://141.218.60.56/~jnz1568/getInfo.php?workbook=14_04.xlsx&amp;sheet=A0&amp;row=2724&amp;col=6&amp;number=7.879&amp;sourceID=14","7.879")</f>
        <v>7.879</v>
      </c>
      <c r="G2724" s="4" t="str">
        <f>HYPERLINK("http://141.218.60.56/~jnz1568/getInfo.php?workbook=14_04.xlsx&amp;sheet=A0&amp;row=2724&amp;col=7&amp;number=0&amp;sourceID=14","0")</f>
        <v>0</v>
      </c>
    </row>
    <row r="2725" spans="1:7">
      <c r="A2725" s="3">
        <v>14</v>
      </c>
      <c r="B2725" s="3">
        <v>4</v>
      </c>
      <c r="C2725" s="3">
        <v>65</v>
      </c>
      <c r="D2725" s="3">
        <v>55</v>
      </c>
      <c r="E2725" s="3">
        <v>-540.73</v>
      </c>
      <c r="F2725" s="4" t="str">
        <f>HYPERLINK("http://141.218.60.56/~jnz1568/getInfo.php?workbook=14_04.xlsx&amp;sheet=A0&amp;row=2725&amp;col=6&amp;number=681.2&amp;sourceID=14","681.2")</f>
        <v>681.2</v>
      </c>
      <c r="G2725" s="4" t="str">
        <f>HYPERLINK("http://141.218.60.56/~jnz1568/getInfo.php?workbook=14_04.xlsx&amp;sheet=A0&amp;row=2725&amp;col=7&amp;number=0&amp;sourceID=14","0")</f>
        <v>0</v>
      </c>
    </row>
    <row r="2726" spans="1:7">
      <c r="A2726" s="3">
        <v>14</v>
      </c>
      <c r="B2726" s="3">
        <v>4</v>
      </c>
      <c r="C2726" s="3">
        <v>67</v>
      </c>
      <c r="D2726" s="3">
        <v>55</v>
      </c>
      <c r="E2726" s="3">
        <v>-528.238</v>
      </c>
      <c r="F2726" s="4" t="str">
        <f>HYPERLINK("http://141.218.60.56/~jnz1568/getInfo.php?workbook=14_04.xlsx&amp;sheet=A0&amp;row=2726&amp;col=6&amp;number=226.4&amp;sourceID=14","226.4")</f>
        <v>226.4</v>
      </c>
      <c r="G2726" s="4" t="str">
        <f>HYPERLINK("http://141.218.60.56/~jnz1568/getInfo.php?workbook=14_04.xlsx&amp;sheet=A0&amp;row=2726&amp;col=7&amp;number=0&amp;sourceID=14","0")</f>
        <v>0</v>
      </c>
    </row>
    <row r="2727" spans="1:7">
      <c r="A2727" s="3">
        <v>14</v>
      </c>
      <c r="B2727" s="3">
        <v>4</v>
      </c>
      <c r="C2727" s="3">
        <v>68</v>
      </c>
      <c r="D2727" s="3">
        <v>55</v>
      </c>
      <c r="E2727" s="3">
        <v>-526.04</v>
      </c>
      <c r="F2727" s="4" t="str">
        <f>HYPERLINK("http://141.218.60.56/~jnz1568/getInfo.php?workbook=14_04.xlsx&amp;sheet=A0&amp;row=2727&amp;col=6&amp;number=40.5&amp;sourceID=14","40.5")</f>
        <v>40.5</v>
      </c>
      <c r="G2727" s="4" t="str">
        <f>HYPERLINK("http://141.218.60.56/~jnz1568/getInfo.php?workbook=14_04.xlsx&amp;sheet=A0&amp;row=2727&amp;col=7&amp;number=0&amp;sourceID=14","0")</f>
        <v>0</v>
      </c>
    </row>
    <row r="2728" spans="1:7">
      <c r="A2728" s="3">
        <v>14</v>
      </c>
      <c r="B2728" s="3">
        <v>4</v>
      </c>
      <c r="C2728" s="3">
        <v>69</v>
      </c>
      <c r="D2728" s="3">
        <v>55</v>
      </c>
      <c r="E2728" s="3">
        <v>-523.803</v>
      </c>
      <c r="F2728" s="4" t="str">
        <f>HYPERLINK("http://141.218.60.56/~jnz1568/getInfo.php?workbook=14_04.xlsx&amp;sheet=A0&amp;row=2728&amp;col=6&amp;number=1403&amp;sourceID=14","1403")</f>
        <v>1403</v>
      </c>
      <c r="G2728" s="4" t="str">
        <f>HYPERLINK("http://141.218.60.56/~jnz1568/getInfo.php?workbook=14_04.xlsx&amp;sheet=A0&amp;row=2728&amp;col=7&amp;number=0&amp;sourceID=14","0")</f>
        <v>0</v>
      </c>
    </row>
    <row r="2729" spans="1:7">
      <c r="A2729" s="3">
        <v>14</v>
      </c>
      <c r="B2729" s="3">
        <v>4</v>
      </c>
      <c r="C2729" s="3">
        <v>70</v>
      </c>
      <c r="D2729" s="3">
        <v>55</v>
      </c>
      <c r="E2729" s="3">
        <v>-514.55</v>
      </c>
      <c r="F2729" s="4" t="str">
        <f>HYPERLINK("http://141.218.60.56/~jnz1568/getInfo.php?workbook=14_04.xlsx&amp;sheet=A0&amp;row=2729&amp;col=6&amp;number=225700000&amp;sourceID=14","225700000")</f>
        <v>225700000</v>
      </c>
      <c r="G2729" s="4" t="str">
        <f>HYPERLINK("http://141.218.60.56/~jnz1568/getInfo.php?workbook=14_04.xlsx&amp;sheet=A0&amp;row=2729&amp;col=7&amp;number=0&amp;sourceID=14","0")</f>
        <v>0</v>
      </c>
    </row>
    <row r="2730" spans="1:7">
      <c r="A2730" s="3">
        <v>14</v>
      </c>
      <c r="B2730" s="3">
        <v>4</v>
      </c>
      <c r="C2730" s="3">
        <v>71</v>
      </c>
      <c r="D2730" s="3">
        <v>55</v>
      </c>
      <c r="E2730" s="3">
        <v>-510.84</v>
      </c>
      <c r="F2730" s="4" t="str">
        <f>HYPERLINK("http://141.218.60.56/~jnz1568/getInfo.php?workbook=14_04.xlsx&amp;sheet=A0&amp;row=2730&amp;col=6&amp;number=265900000&amp;sourceID=14","265900000")</f>
        <v>265900000</v>
      </c>
      <c r="G2730" s="4" t="str">
        <f>HYPERLINK("http://141.218.60.56/~jnz1568/getInfo.php?workbook=14_04.xlsx&amp;sheet=A0&amp;row=2730&amp;col=7&amp;number=0&amp;sourceID=14","0")</f>
        <v>0</v>
      </c>
    </row>
    <row r="2731" spans="1:7">
      <c r="A2731" s="3">
        <v>14</v>
      </c>
      <c r="B2731" s="3">
        <v>4</v>
      </c>
      <c r="C2731" s="3">
        <v>72</v>
      </c>
      <c r="D2731" s="3">
        <v>55</v>
      </c>
      <c r="E2731" s="3">
        <v>-505.22</v>
      </c>
      <c r="F2731" s="4" t="str">
        <f>HYPERLINK("http://141.218.60.56/~jnz1568/getInfo.php?workbook=14_04.xlsx&amp;sheet=A0&amp;row=2731&amp;col=6&amp;number=4.914&amp;sourceID=14","4.914")</f>
        <v>4.914</v>
      </c>
      <c r="G2731" s="4" t="str">
        <f>HYPERLINK("http://141.218.60.56/~jnz1568/getInfo.php?workbook=14_04.xlsx&amp;sheet=A0&amp;row=2731&amp;col=7&amp;number=0&amp;sourceID=14","0")</f>
        <v>0</v>
      </c>
    </row>
    <row r="2732" spans="1:7">
      <c r="A2732" s="3">
        <v>14</v>
      </c>
      <c r="B2732" s="3">
        <v>4</v>
      </c>
      <c r="C2732" s="3">
        <v>73</v>
      </c>
      <c r="D2732" s="3">
        <v>55</v>
      </c>
      <c r="E2732" s="3">
        <v>-501.881</v>
      </c>
      <c r="F2732" s="4" t="str">
        <f>HYPERLINK("http://141.218.60.56/~jnz1568/getInfo.php?workbook=14_04.xlsx&amp;sheet=A0&amp;row=2732&amp;col=6&amp;number=540900000&amp;sourceID=14","540900000")</f>
        <v>540900000</v>
      </c>
      <c r="G2732" s="4" t="str">
        <f>HYPERLINK("http://141.218.60.56/~jnz1568/getInfo.php?workbook=14_04.xlsx&amp;sheet=A0&amp;row=2732&amp;col=7&amp;number=0&amp;sourceID=14","0")</f>
        <v>0</v>
      </c>
    </row>
    <row r="2733" spans="1:7">
      <c r="A2733" s="3">
        <v>14</v>
      </c>
      <c r="B2733" s="3">
        <v>4</v>
      </c>
      <c r="C2733" s="3">
        <v>75</v>
      </c>
      <c r="D2733" s="3">
        <v>55</v>
      </c>
      <c r="E2733" s="3">
        <v>-493.39</v>
      </c>
      <c r="F2733" s="4" t="str">
        <f>HYPERLINK("http://141.218.60.56/~jnz1568/getInfo.php?workbook=14_04.xlsx&amp;sheet=A0&amp;row=2733&amp;col=6&amp;number=726100000&amp;sourceID=14","726100000")</f>
        <v>726100000</v>
      </c>
      <c r="G2733" s="4" t="str">
        <f>HYPERLINK("http://141.218.60.56/~jnz1568/getInfo.php?workbook=14_04.xlsx&amp;sheet=A0&amp;row=2733&amp;col=7&amp;number=0&amp;sourceID=14","0")</f>
        <v>0</v>
      </c>
    </row>
    <row r="2734" spans="1:7">
      <c r="A2734" s="3">
        <v>14</v>
      </c>
      <c r="B2734" s="3">
        <v>4</v>
      </c>
      <c r="C2734" s="3">
        <v>76</v>
      </c>
      <c r="D2734" s="3">
        <v>55</v>
      </c>
      <c r="E2734" s="3">
        <v>487.207</v>
      </c>
      <c r="F2734" s="4" t="str">
        <f>HYPERLINK("http://141.218.60.56/~jnz1568/getInfo.php?workbook=14_04.xlsx&amp;sheet=A0&amp;row=2734&amp;col=6&amp;number=850200000&amp;sourceID=14","850200000")</f>
        <v>850200000</v>
      </c>
      <c r="G2734" s="4" t="str">
        <f>HYPERLINK("http://141.218.60.56/~jnz1568/getInfo.php?workbook=14_04.xlsx&amp;sheet=A0&amp;row=2734&amp;col=7&amp;number=0&amp;sourceID=14","0")</f>
        <v>0</v>
      </c>
    </row>
    <row r="2735" spans="1:7">
      <c r="A2735" s="3">
        <v>14</v>
      </c>
      <c r="B2735" s="3">
        <v>4</v>
      </c>
      <c r="C2735" s="3">
        <v>77</v>
      </c>
      <c r="D2735" s="3">
        <v>55</v>
      </c>
      <c r="E2735" s="3">
        <v>485.056</v>
      </c>
      <c r="F2735" s="4" t="str">
        <f>HYPERLINK("http://141.218.60.56/~jnz1568/getInfo.php?workbook=14_04.xlsx&amp;sheet=A0&amp;row=2735&amp;col=6&amp;number=506300000&amp;sourceID=14","506300000")</f>
        <v>506300000</v>
      </c>
      <c r="G2735" s="4" t="str">
        <f>HYPERLINK("http://141.218.60.56/~jnz1568/getInfo.php?workbook=14_04.xlsx&amp;sheet=A0&amp;row=2735&amp;col=7&amp;number=0&amp;sourceID=14","0")</f>
        <v>0</v>
      </c>
    </row>
    <row r="2736" spans="1:7">
      <c r="A2736" s="3">
        <v>14</v>
      </c>
      <c r="B2736" s="3">
        <v>4</v>
      </c>
      <c r="C2736" s="3">
        <v>81</v>
      </c>
      <c r="D2736" s="3">
        <v>55</v>
      </c>
      <c r="E2736" s="3">
        <v>462.349</v>
      </c>
      <c r="F2736" s="4" t="str">
        <f>HYPERLINK("http://141.218.60.56/~jnz1568/getInfo.php?workbook=14_04.xlsx&amp;sheet=A0&amp;row=2736&amp;col=6&amp;number=33460000&amp;sourceID=14","33460000")</f>
        <v>33460000</v>
      </c>
      <c r="G2736" s="4" t="str">
        <f>HYPERLINK("http://141.218.60.56/~jnz1568/getInfo.php?workbook=14_04.xlsx&amp;sheet=A0&amp;row=2736&amp;col=7&amp;number=0&amp;sourceID=14","0")</f>
        <v>0</v>
      </c>
    </row>
    <row r="2737" spans="1:7">
      <c r="A2737" s="3">
        <v>14</v>
      </c>
      <c r="B2737" s="3">
        <v>4</v>
      </c>
      <c r="C2737" s="3">
        <v>83</v>
      </c>
      <c r="D2737" s="3">
        <v>55</v>
      </c>
      <c r="E2737" s="3">
        <v>-354.87</v>
      </c>
      <c r="F2737" s="4" t="str">
        <f>HYPERLINK("http://141.218.60.56/~jnz1568/getInfo.php?workbook=14_04.xlsx&amp;sheet=A0&amp;row=2737&amp;col=6&amp;number=301800&amp;sourceID=14","301800")</f>
        <v>301800</v>
      </c>
      <c r="G2737" s="4" t="str">
        <f>HYPERLINK("http://141.218.60.56/~jnz1568/getInfo.php?workbook=14_04.xlsx&amp;sheet=A0&amp;row=2737&amp;col=7&amp;number=0&amp;sourceID=14","0")</f>
        <v>0</v>
      </c>
    </row>
    <row r="2738" spans="1:7">
      <c r="A2738" s="3">
        <v>14</v>
      </c>
      <c r="B2738" s="3">
        <v>4</v>
      </c>
      <c r="C2738" s="3">
        <v>87</v>
      </c>
      <c r="D2738" s="3">
        <v>55</v>
      </c>
      <c r="E2738" s="3">
        <v>332.625</v>
      </c>
      <c r="F2738" s="4" t="str">
        <f>HYPERLINK("http://141.218.60.56/~jnz1568/getInfo.php?workbook=14_04.xlsx&amp;sheet=A0&amp;row=2738&amp;col=6&amp;number=2886000000&amp;sourceID=14","2886000000")</f>
        <v>2886000000</v>
      </c>
      <c r="G2738" s="4" t="str">
        <f>HYPERLINK("http://141.218.60.56/~jnz1568/getInfo.php?workbook=14_04.xlsx&amp;sheet=A0&amp;row=2738&amp;col=7&amp;number=0&amp;sourceID=14","0")</f>
        <v>0</v>
      </c>
    </row>
    <row r="2739" spans="1:7">
      <c r="A2739" s="3">
        <v>14</v>
      </c>
      <c r="B2739" s="3">
        <v>4</v>
      </c>
      <c r="C2739" s="3">
        <v>89</v>
      </c>
      <c r="D2739" s="3">
        <v>55</v>
      </c>
      <c r="E2739" s="3">
        <v>-327.982</v>
      </c>
      <c r="F2739" s="4" t="str">
        <f>HYPERLINK("http://141.218.60.56/~jnz1568/getInfo.php?workbook=14_04.xlsx&amp;sheet=A0&amp;row=2739&amp;col=6&amp;number=31300&amp;sourceID=14","31300")</f>
        <v>31300</v>
      </c>
      <c r="G2739" s="4" t="str">
        <f>HYPERLINK("http://141.218.60.56/~jnz1568/getInfo.php?workbook=14_04.xlsx&amp;sheet=A0&amp;row=2739&amp;col=7&amp;number=0&amp;sourceID=14","0")</f>
        <v>0</v>
      </c>
    </row>
    <row r="2740" spans="1:7">
      <c r="A2740" s="3">
        <v>14</v>
      </c>
      <c r="B2740" s="3">
        <v>4</v>
      </c>
      <c r="C2740" s="3">
        <v>90</v>
      </c>
      <c r="D2740" s="3">
        <v>55</v>
      </c>
      <c r="E2740" s="3">
        <v>327.633</v>
      </c>
      <c r="F2740" s="4" t="str">
        <f>HYPERLINK("http://141.218.60.56/~jnz1568/getInfo.php?workbook=14_04.xlsx&amp;sheet=A0&amp;row=2740&amp;col=6&amp;number=188600&amp;sourceID=14","188600")</f>
        <v>188600</v>
      </c>
      <c r="G2740" s="4" t="str">
        <f>HYPERLINK("http://141.218.60.56/~jnz1568/getInfo.php?workbook=14_04.xlsx&amp;sheet=A0&amp;row=2740&amp;col=7&amp;number=0&amp;sourceID=14","0")</f>
        <v>0</v>
      </c>
    </row>
    <row r="2741" spans="1:7">
      <c r="A2741" s="3">
        <v>14</v>
      </c>
      <c r="B2741" s="3">
        <v>4</v>
      </c>
      <c r="C2741" s="3">
        <v>91</v>
      </c>
      <c r="D2741" s="3">
        <v>55</v>
      </c>
      <c r="E2741" s="3">
        <v>327.722</v>
      </c>
      <c r="F2741" s="4" t="str">
        <f>HYPERLINK("http://141.218.60.56/~jnz1568/getInfo.php?workbook=14_04.xlsx&amp;sheet=A0&amp;row=2741&amp;col=6&amp;number=322700&amp;sourceID=14","322700")</f>
        <v>322700</v>
      </c>
      <c r="G2741" s="4" t="str">
        <f>HYPERLINK("http://141.218.60.56/~jnz1568/getInfo.php?workbook=14_04.xlsx&amp;sheet=A0&amp;row=2741&amp;col=7&amp;number=0&amp;sourceID=14","0")</f>
        <v>0</v>
      </c>
    </row>
    <row r="2742" spans="1:7">
      <c r="A2742" s="3">
        <v>14</v>
      </c>
      <c r="B2742" s="3">
        <v>4</v>
      </c>
      <c r="C2742" s="3">
        <v>92</v>
      </c>
      <c r="D2742" s="3">
        <v>55</v>
      </c>
      <c r="E2742" s="3">
        <v>323.557</v>
      </c>
      <c r="F2742" s="4" t="str">
        <f>HYPERLINK("http://141.218.60.56/~jnz1568/getInfo.php?workbook=14_04.xlsx&amp;sheet=A0&amp;row=2742&amp;col=6&amp;number=30.25&amp;sourceID=14","30.25")</f>
        <v>30.25</v>
      </c>
      <c r="G2742" s="4" t="str">
        <f>HYPERLINK("http://141.218.60.56/~jnz1568/getInfo.php?workbook=14_04.xlsx&amp;sheet=A0&amp;row=2742&amp;col=7&amp;number=0&amp;sourceID=14","0")</f>
        <v>0</v>
      </c>
    </row>
    <row r="2743" spans="1:7">
      <c r="A2743" s="3">
        <v>14</v>
      </c>
      <c r="B2743" s="3">
        <v>4</v>
      </c>
      <c r="C2743" s="3">
        <v>58</v>
      </c>
      <c r="D2743" s="3">
        <v>56</v>
      </c>
      <c r="E2743" s="3">
        <v>-703.298</v>
      </c>
      <c r="F2743" s="4" t="str">
        <f>HYPERLINK("http://141.218.60.56/~jnz1568/getInfo.php?workbook=14_04.xlsx&amp;sheet=A0&amp;row=2743&amp;col=6&amp;number=9440000&amp;sourceID=14","9440000")</f>
        <v>9440000</v>
      </c>
      <c r="G2743" s="4" t="str">
        <f>HYPERLINK("http://141.218.60.56/~jnz1568/getInfo.php?workbook=14_04.xlsx&amp;sheet=A0&amp;row=2743&amp;col=7&amp;number=0&amp;sourceID=14","0")</f>
        <v>0</v>
      </c>
    </row>
    <row r="2744" spans="1:7">
      <c r="A2744" s="3">
        <v>14</v>
      </c>
      <c r="B2744" s="3">
        <v>4</v>
      </c>
      <c r="C2744" s="3">
        <v>59</v>
      </c>
      <c r="D2744" s="3">
        <v>56</v>
      </c>
      <c r="E2744" s="3">
        <v>717.598</v>
      </c>
      <c r="F2744" s="4" t="str">
        <f>HYPERLINK("http://141.218.60.56/~jnz1568/getInfo.php?workbook=14_04.xlsx&amp;sheet=A0&amp;row=2744&amp;col=6&amp;number=26110&amp;sourceID=14","26110")</f>
        <v>26110</v>
      </c>
      <c r="G2744" s="4" t="str">
        <f>HYPERLINK("http://141.218.60.56/~jnz1568/getInfo.php?workbook=14_04.xlsx&amp;sheet=A0&amp;row=2744&amp;col=7&amp;number=0&amp;sourceID=14","0")</f>
        <v>0</v>
      </c>
    </row>
    <row r="2745" spans="1:7">
      <c r="A2745" s="3">
        <v>14</v>
      </c>
      <c r="B2745" s="3">
        <v>4</v>
      </c>
      <c r="C2745" s="3">
        <v>60</v>
      </c>
      <c r="D2745" s="3">
        <v>56</v>
      </c>
      <c r="E2745" s="3">
        <v>-644.947</v>
      </c>
      <c r="F2745" s="4" t="str">
        <f>HYPERLINK("http://141.218.60.56/~jnz1568/getInfo.php?workbook=14_04.xlsx&amp;sheet=A0&amp;row=2745&amp;col=6&amp;number=105700000&amp;sourceID=14","105700000")</f>
        <v>105700000</v>
      </c>
      <c r="G2745" s="4" t="str">
        <f>HYPERLINK("http://141.218.60.56/~jnz1568/getInfo.php?workbook=14_04.xlsx&amp;sheet=A0&amp;row=2745&amp;col=7&amp;number=0&amp;sourceID=14","0")</f>
        <v>0</v>
      </c>
    </row>
    <row r="2746" spans="1:7">
      <c r="A2746" s="3">
        <v>14</v>
      </c>
      <c r="B2746" s="3">
        <v>4</v>
      </c>
      <c r="C2746" s="3">
        <v>61</v>
      </c>
      <c r="D2746" s="3">
        <v>56</v>
      </c>
      <c r="E2746" s="3">
        <v>-598.852</v>
      </c>
      <c r="F2746" s="4" t="str">
        <f>HYPERLINK("http://141.218.60.56/~jnz1568/getInfo.php?workbook=14_04.xlsx&amp;sheet=A0&amp;row=2746&amp;col=6&amp;number=31.19&amp;sourceID=14","31.19")</f>
        <v>31.19</v>
      </c>
      <c r="G2746" s="4" t="str">
        <f>HYPERLINK("http://141.218.60.56/~jnz1568/getInfo.php?workbook=14_04.xlsx&amp;sheet=A0&amp;row=2746&amp;col=7&amp;number=0&amp;sourceID=14","0")</f>
        <v>0</v>
      </c>
    </row>
    <row r="2747" spans="1:7">
      <c r="A2747" s="3">
        <v>14</v>
      </c>
      <c r="B2747" s="3">
        <v>4</v>
      </c>
      <c r="C2747" s="3">
        <v>62</v>
      </c>
      <c r="D2747" s="3">
        <v>56</v>
      </c>
      <c r="E2747" s="3">
        <v>-614.97</v>
      </c>
      <c r="F2747" s="4" t="str">
        <f>HYPERLINK("http://141.218.60.56/~jnz1568/getInfo.php?workbook=14_04.xlsx&amp;sheet=A0&amp;row=2747&amp;col=6&amp;number=36.62&amp;sourceID=14","36.62")</f>
        <v>36.62</v>
      </c>
      <c r="G2747" s="4" t="str">
        <f>HYPERLINK("http://141.218.60.56/~jnz1568/getInfo.php?workbook=14_04.xlsx&amp;sheet=A0&amp;row=2747&amp;col=7&amp;number=0&amp;sourceID=14","0")</f>
        <v>0</v>
      </c>
    </row>
    <row r="2748" spans="1:7">
      <c r="A2748" s="3">
        <v>14</v>
      </c>
      <c r="B2748" s="3">
        <v>4</v>
      </c>
      <c r="C2748" s="3">
        <v>63</v>
      </c>
      <c r="D2748" s="3">
        <v>56</v>
      </c>
      <c r="E2748" s="3">
        <v>-597.938</v>
      </c>
      <c r="F2748" s="4" t="str">
        <f>HYPERLINK("http://141.218.60.56/~jnz1568/getInfo.php?workbook=14_04.xlsx&amp;sheet=A0&amp;row=2748&amp;col=6&amp;number=0.4679&amp;sourceID=14","0.4679")</f>
        <v>0.4679</v>
      </c>
      <c r="G2748" s="4" t="str">
        <f>HYPERLINK("http://141.218.60.56/~jnz1568/getInfo.php?workbook=14_04.xlsx&amp;sheet=A0&amp;row=2748&amp;col=7&amp;number=0&amp;sourceID=14","0")</f>
        <v>0</v>
      </c>
    </row>
    <row r="2749" spans="1:7">
      <c r="A2749" s="3">
        <v>14</v>
      </c>
      <c r="B2749" s="3">
        <v>4</v>
      </c>
      <c r="C2749" s="3">
        <v>64</v>
      </c>
      <c r="D2749" s="3">
        <v>56</v>
      </c>
      <c r="E2749" s="3">
        <v>-579.143</v>
      </c>
      <c r="F2749" s="4" t="str">
        <f>HYPERLINK("http://141.218.60.56/~jnz1568/getInfo.php?workbook=14_04.xlsx&amp;sheet=A0&amp;row=2749&amp;col=6&amp;number=0.06518&amp;sourceID=14","0.06518")</f>
        <v>0.06518</v>
      </c>
      <c r="G2749" s="4" t="str">
        <f>HYPERLINK("http://141.218.60.56/~jnz1568/getInfo.php?workbook=14_04.xlsx&amp;sheet=A0&amp;row=2749&amp;col=7&amp;number=0&amp;sourceID=14","0")</f>
        <v>0</v>
      </c>
    </row>
    <row r="2750" spans="1:7">
      <c r="A2750" s="3">
        <v>14</v>
      </c>
      <c r="B2750" s="3">
        <v>4</v>
      </c>
      <c r="C2750" s="3">
        <v>65</v>
      </c>
      <c r="D2750" s="3">
        <v>56</v>
      </c>
      <c r="E2750" s="3">
        <v>-573.253</v>
      </c>
      <c r="F2750" s="4" t="str">
        <f>HYPERLINK("http://141.218.60.56/~jnz1568/getInfo.php?workbook=14_04.xlsx&amp;sheet=A0&amp;row=2750&amp;col=6&amp;number=15.08&amp;sourceID=14","15.08")</f>
        <v>15.08</v>
      </c>
      <c r="G2750" s="4" t="str">
        <f>HYPERLINK("http://141.218.60.56/~jnz1568/getInfo.php?workbook=14_04.xlsx&amp;sheet=A0&amp;row=2750&amp;col=7&amp;number=0&amp;sourceID=14","0")</f>
        <v>0</v>
      </c>
    </row>
    <row r="2751" spans="1:7">
      <c r="A2751" s="3">
        <v>14</v>
      </c>
      <c r="B2751" s="3">
        <v>4</v>
      </c>
      <c r="C2751" s="3">
        <v>66</v>
      </c>
      <c r="D2751" s="3">
        <v>56</v>
      </c>
      <c r="E2751" s="3">
        <v>-573.752</v>
      </c>
      <c r="F2751" s="4" t="str">
        <f>HYPERLINK("http://141.218.60.56/~jnz1568/getInfo.php?workbook=14_04.xlsx&amp;sheet=A0&amp;row=2751&amp;col=6&amp;number=143.1&amp;sourceID=14","143.1")</f>
        <v>143.1</v>
      </c>
      <c r="G2751" s="4" t="str">
        <f>HYPERLINK("http://141.218.60.56/~jnz1568/getInfo.php?workbook=14_04.xlsx&amp;sheet=A0&amp;row=2751&amp;col=7&amp;number=0&amp;sourceID=14","0")</f>
        <v>0</v>
      </c>
    </row>
    <row r="2752" spans="1:7">
      <c r="A2752" s="3">
        <v>14</v>
      </c>
      <c r="B2752" s="3">
        <v>4</v>
      </c>
      <c r="C2752" s="3">
        <v>67</v>
      </c>
      <c r="D2752" s="3">
        <v>56</v>
      </c>
      <c r="E2752" s="3">
        <v>-559.233</v>
      </c>
      <c r="F2752" s="4" t="str">
        <f>HYPERLINK("http://141.218.60.56/~jnz1568/getInfo.php?workbook=14_04.xlsx&amp;sheet=A0&amp;row=2752&amp;col=6&amp;number=0.04647&amp;sourceID=14","0.04647")</f>
        <v>0.04647</v>
      </c>
      <c r="G2752" s="4" t="str">
        <f>HYPERLINK("http://141.218.60.56/~jnz1568/getInfo.php?workbook=14_04.xlsx&amp;sheet=A0&amp;row=2752&amp;col=7&amp;number=0&amp;sourceID=14","0")</f>
        <v>0</v>
      </c>
    </row>
    <row r="2753" spans="1:7">
      <c r="A2753" s="3">
        <v>14</v>
      </c>
      <c r="B2753" s="3">
        <v>4</v>
      </c>
      <c r="C2753" s="3">
        <v>68</v>
      </c>
      <c r="D2753" s="3">
        <v>56</v>
      </c>
      <c r="E2753" s="3">
        <v>-556.769</v>
      </c>
      <c r="F2753" s="4" t="str">
        <f>HYPERLINK("http://141.218.60.56/~jnz1568/getInfo.php?workbook=14_04.xlsx&amp;sheet=A0&amp;row=2753&amp;col=6&amp;number=1.194&amp;sourceID=14","1.194")</f>
        <v>1.194</v>
      </c>
      <c r="G2753" s="4" t="str">
        <f>HYPERLINK("http://141.218.60.56/~jnz1568/getInfo.php?workbook=14_04.xlsx&amp;sheet=A0&amp;row=2753&amp;col=7&amp;number=0&amp;sourceID=14","0")</f>
        <v>0</v>
      </c>
    </row>
    <row r="2754" spans="1:7">
      <c r="A2754" s="3">
        <v>14</v>
      </c>
      <c r="B2754" s="3">
        <v>4</v>
      </c>
      <c r="C2754" s="3">
        <v>69</v>
      </c>
      <c r="D2754" s="3">
        <v>56</v>
      </c>
      <c r="E2754" s="3">
        <v>-554.265</v>
      </c>
      <c r="F2754" s="4" t="str">
        <f>HYPERLINK("http://141.218.60.56/~jnz1568/getInfo.php?workbook=14_04.xlsx&amp;sheet=A0&amp;row=2754&amp;col=6&amp;number=203000000&amp;sourceID=14","203000000")</f>
        <v>203000000</v>
      </c>
      <c r="G2754" s="4" t="str">
        <f>HYPERLINK("http://141.218.60.56/~jnz1568/getInfo.php?workbook=14_04.xlsx&amp;sheet=A0&amp;row=2754&amp;col=7&amp;number=0&amp;sourceID=14","0")</f>
        <v>0</v>
      </c>
    </row>
    <row r="2755" spans="1:7">
      <c r="A2755" s="3">
        <v>14</v>
      </c>
      <c r="B2755" s="3">
        <v>4</v>
      </c>
      <c r="C2755" s="3">
        <v>70</v>
      </c>
      <c r="D2755" s="3">
        <v>56</v>
      </c>
      <c r="E2755" s="3">
        <v>-543.915</v>
      </c>
      <c r="F2755" s="4" t="str">
        <f>HYPERLINK("http://141.218.60.56/~jnz1568/getInfo.php?workbook=14_04.xlsx&amp;sheet=A0&amp;row=2755&amp;col=6&amp;number=3850000&amp;sourceID=14","3850000")</f>
        <v>3850000</v>
      </c>
      <c r="G2755" s="4" t="str">
        <f>HYPERLINK("http://141.218.60.56/~jnz1568/getInfo.php?workbook=14_04.xlsx&amp;sheet=A0&amp;row=2755&amp;col=7&amp;number=0&amp;sourceID=14","0")</f>
        <v>0</v>
      </c>
    </row>
    <row r="2756" spans="1:7">
      <c r="A2756" s="3">
        <v>14</v>
      </c>
      <c r="B2756" s="3">
        <v>4</v>
      </c>
      <c r="C2756" s="3">
        <v>71</v>
      </c>
      <c r="D2756" s="3">
        <v>56</v>
      </c>
      <c r="E2756" s="3">
        <v>-539.771</v>
      </c>
      <c r="F2756" s="4" t="str">
        <f>HYPERLINK("http://141.218.60.56/~jnz1568/getInfo.php?workbook=14_04.xlsx&amp;sheet=A0&amp;row=2756&amp;col=6&amp;number=548200000&amp;sourceID=14","548200000")</f>
        <v>548200000</v>
      </c>
      <c r="G2756" s="4" t="str">
        <f>HYPERLINK("http://141.218.60.56/~jnz1568/getInfo.php?workbook=14_04.xlsx&amp;sheet=A0&amp;row=2756&amp;col=7&amp;number=0&amp;sourceID=14","0")</f>
        <v>0</v>
      </c>
    </row>
    <row r="2757" spans="1:7">
      <c r="A2757" s="3">
        <v>14</v>
      </c>
      <c r="B2757" s="3">
        <v>4</v>
      </c>
      <c r="C2757" s="3">
        <v>72</v>
      </c>
      <c r="D2757" s="3">
        <v>56</v>
      </c>
      <c r="E2757" s="3">
        <v>-533.5</v>
      </c>
      <c r="F2757" s="4" t="str">
        <f>HYPERLINK("http://141.218.60.56/~jnz1568/getInfo.php?workbook=14_04.xlsx&amp;sheet=A0&amp;row=2757&amp;col=6&amp;number=23.76&amp;sourceID=14","23.76")</f>
        <v>23.76</v>
      </c>
      <c r="G2757" s="4" t="str">
        <f>HYPERLINK("http://141.218.60.56/~jnz1568/getInfo.php?workbook=14_04.xlsx&amp;sheet=A0&amp;row=2757&amp;col=7&amp;number=0&amp;sourceID=14","0")</f>
        <v>0</v>
      </c>
    </row>
    <row r="2758" spans="1:7">
      <c r="A2758" s="3">
        <v>14</v>
      </c>
      <c r="B2758" s="3">
        <v>4</v>
      </c>
      <c r="C2758" s="3">
        <v>74</v>
      </c>
      <c r="D2758" s="3">
        <v>56</v>
      </c>
      <c r="E2758" s="3">
        <v>-525.572</v>
      </c>
      <c r="F2758" s="4" t="str">
        <f>HYPERLINK("http://141.218.60.56/~jnz1568/getInfo.php?workbook=14_04.xlsx&amp;sheet=A0&amp;row=2758&amp;col=6&amp;number=52670000&amp;sourceID=14","52670000")</f>
        <v>52670000</v>
      </c>
      <c r="G2758" s="4" t="str">
        <f>HYPERLINK("http://141.218.60.56/~jnz1568/getInfo.php?workbook=14_04.xlsx&amp;sheet=A0&amp;row=2758&amp;col=7&amp;number=0&amp;sourceID=14","0")</f>
        <v>0</v>
      </c>
    </row>
    <row r="2759" spans="1:7">
      <c r="A2759" s="3">
        <v>14</v>
      </c>
      <c r="B2759" s="3">
        <v>4</v>
      </c>
      <c r="C2759" s="3">
        <v>75</v>
      </c>
      <c r="D2759" s="3">
        <v>56</v>
      </c>
      <c r="E2759" s="3">
        <v>-520.327</v>
      </c>
      <c r="F2759" s="4" t="str">
        <f>HYPERLINK("http://141.218.60.56/~jnz1568/getInfo.php?workbook=14_04.xlsx&amp;sheet=A0&amp;row=2759&amp;col=6&amp;number=156100000&amp;sourceID=14","156100000")</f>
        <v>156100000</v>
      </c>
      <c r="G2759" s="4" t="str">
        <f>HYPERLINK("http://141.218.60.56/~jnz1568/getInfo.php?workbook=14_04.xlsx&amp;sheet=A0&amp;row=2759&amp;col=7&amp;number=0&amp;sourceID=14","0")</f>
        <v>0</v>
      </c>
    </row>
    <row r="2760" spans="1:7">
      <c r="A2760" s="3">
        <v>14</v>
      </c>
      <c r="B2760" s="3">
        <v>4</v>
      </c>
      <c r="C2760" s="3">
        <v>76</v>
      </c>
      <c r="D2760" s="3">
        <v>56</v>
      </c>
      <c r="E2760" s="3">
        <v>514.084</v>
      </c>
      <c r="F2760" s="4" t="str">
        <f>HYPERLINK("http://141.218.60.56/~jnz1568/getInfo.php?workbook=14_04.xlsx&amp;sheet=A0&amp;row=2760&amp;col=6&amp;number=1322000&amp;sourceID=14","1322000")</f>
        <v>1322000</v>
      </c>
      <c r="G2760" s="4" t="str">
        <f>HYPERLINK("http://141.218.60.56/~jnz1568/getInfo.php?workbook=14_04.xlsx&amp;sheet=A0&amp;row=2760&amp;col=7&amp;number=0&amp;sourceID=14","0")</f>
        <v>0</v>
      </c>
    </row>
    <row r="2761" spans="1:7">
      <c r="A2761" s="3">
        <v>14</v>
      </c>
      <c r="B2761" s="3">
        <v>4</v>
      </c>
      <c r="C2761" s="3">
        <v>77</v>
      </c>
      <c r="D2761" s="3">
        <v>56</v>
      </c>
      <c r="E2761" s="3">
        <v>511.69</v>
      </c>
      <c r="F2761" s="4" t="str">
        <f>HYPERLINK("http://141.218.60.56/~jnz1568/getInfo.php?workbook=14_04.xlsx&amp;sheet=A0&amp;row=2761&amp;col=6&amp;number=16650000&amp;sourceID=14","16650000")</f>
        <v>16650000</v>
      </c>
      <c r="G2761" s="4" t="str">
        <f>HYPERLINK("http://141.218.60.56/~jnz1568/getInfo.php?workbook=14_04.xlsx&amp;sheet=A0&amp;row=2761&amp;col=7&amp;number=0&amp;sourceID=14","0")</f>
        <v>0</v>
      </c>
    </row>
    <row r="2762" spans="1:7">
      <c r="A2762" s="3">
        <v>14</v>
      </c>
      <c r="B2762" s="3">
        <v>4</v>
      </c>
      <c r="C2762" s="3">
        <v>78</v>
      </c>
      <c r="D2762" s="3">
        <v>56</v>
      </c>
      <c r="E2762" s="3">
        <v>-504.798</v>
      </c>
      <c r="F2762" s="4" t="str">
        <f>HYPERLINK("http://141.218.60.56/~jnz1568/getInfo.php?workbook=14_04.xlsx&amp;sheet=A0&amp;row=2762&amp;col=6&amp;number=3856000&amp;sourceID=14","3856000")</f>
        <v>3856000</v>
      </c>
      <c r="G2762" s="4" t="str">
        <f>HYPERLINK("http://141.218.60.56/~jnz1568/getInfo.php?workbook=14_04.xlsx&amp;sheet=A0&amp;row=2762&amp;col=7&amp;number=0&amp;sourceID=14","0")</f>
        <v>0</v>
      </c>
    </row>
    <row r="2763" spans="1:7">
      <c r="A2763" s="3">
        <v>14</v>
      </c>
      <c r="B2763" s="3">
        <v>4</v>
      </c>
      <c r="C2763" s="3">
        <v>80</v>
      </c>
      <c r="D2763" s="3">
        <v>56</v>
      </c>
      <c r="E2763" s="3">
        <v>540.302</v>
      </c>
      <c r="F2763" s="4" t="str">
        <f>HYPERLINK("http://141.218.60.56/~jnz1568/getInfo.php?workbook=14_04.xlsx&amp;sheet=A0&amp;row=2763&amp;col=6&amp;number=9083&amp;sourceID=14","9083")</f>
        <v>9083</v>
      </c>
      <c r="G2763" s="4" t="str">
        <f>HYPERLINK("http://141.218.60.56/~jnz1568/getInfo.php?workbook=14_04.xlsx&amp;sheet=A0&amp;row=2763&amp;col=7&amp;number=0&amp;sourceID=14","0")</f>
        <v>0</v>
      </c>
    </row>
    <row r="2764" spans="1:7">
      <c r="A2764" s="3">
        <v>14</v>
      </c>
      <c r="B2764" s="3">
        <v>4</v>
      </c>
      <c r="C2764" s="3">
        <v>81</v>
      </c>
      <c r="D2764" s="3">
        <v>56</v>
      </c>
      <c r="E2764" s="3">
        <v>486.486</v>
      </c>
      <c r="F2764" s="4" t="str">
        <f>HYPERLINK("http://141.218.60.56/~jnz1568/getInfo.php?workbook=14_04.xlsx&amp;sheet=A0&amp;row=2764&amp;col=6&amp;number=184100000&amp;sourceID=14","184100000")</f>
        <v>184100000</v>
      </c>
      <c r="G2764" s="4" t="str">
        <f>HYPERLINK("http://141.218.60.56/~jnz1568/getInfo.php?workbook=14_04.xlsx&amp;sheet=A0&amp;row=2764&amp;col=7&amp;number=0&amp;sourceID=14","0")</f>
        <v>0</v>
      </c>
    </row>
    <row r="2765" spans="1:7">
      <c r="A2765" s="3">
        <v>14</v>
      </c>
      <c r="B2765" s="3">
        <v>4</v>
      </c>
      <c r="C2765" s="3">
        <v>82</v>
      </c>
      <c r="D2765" s="3">
        <v>56</v>
      </c>
      <c r="E2765" s="3">
        <v>-475.323</v>
      </c>
      <c r="F2765" s="4" t="str">
        <f>HYPERLINK("http://141.218.60.56/~jnz1568/getInfo.php?workbook=14_04.xlsx&amp;sheet=A0&amp;row=2765&amp;col=6&amp;number=1876000000&amp;sourceID=14","1876000000")</f>
        <v>1876000000</v>
      </c>
      <c r="G2765" s="4" t="str">
        <f>HYPERLINK("http://141.218.60.56/~jnz1568/getInfo.php?workbook=14_04.xlsx&amp;sheet=A0&amp;row=2765&amp;col=7&amp;number=0&amp;sourceID=14","0")</f>
        <v>0</v>
      </c>
    </row>
    <row r="2766" spans="1:7">
      <c r="A2766" s="3">
        <v>14</v>
      </c>
      <c r="B2766" s="3">
        <v>4</v>
      </c>
      <c r="C2766" s="3">
        <v>83</v>
      </c>
      <c r="D2766" s="3">
        <v>56</v>
      </c>
      <c r="E2766" s="3">
        <v>-368.594</v>
      </c>
      <c r="F2766" s="4" t="str">
        <f>HYPERLINK("http://141.218.60.56/~jnz1568/getInfo.php?workbook=14_04.xlsx&amp;sheet=A0&amp;row=2766&amp;col=6&amp;number=30.42&amp;sourceID=14","30.42")</f>
        <v>30.42</v>
      </c>
      <c r="G2766" s="4" t="str">
        <f>HYPERLINK("http://141.218.60.56/~jnz1568/getInfo.php?workbook=14_04.xlsx&amp;sheet=A0&amp;row=2766&amp;col=7&amp;number=0&amp;sourceID=14","0")</f>
        <v>0</v>
      </c>
    </row>
    <row r="2767" spans="1:7">
      <c r="A2767" s="3">
        <v>14</v>
      </c>
      <c r="B2767" s="3">
        <v>4</v>
      </c>
      <c r="C2767" s="3">
        <v>84</v>
      </c>
      <c r="D2767" s="3">
        <v>56</v>
      </c>
      <c r="E2767" s="3">
        <v>-359.078</v>
      </c>
      <c r="F2767" s="4" t="str">
        <f>HYPERLINK("http://141.218.60.56/~jnz1568/getInfo.php?workbook=14_04.xlsx&amp;sheet=A0&amp;row=2767&amp;col=6&amp;number=703600&amp;sourceID=14","703600")</f>
        <v>703600</v>
      </c>
      <c r="G2767" s="4" t="str">
        <f>HYPERLINK("http://141.218.60.56/~jnz1568/getInfo.php?workbook=14_04.xlsx&amp;sheet=A0&amp;row=2767&amp;col=7&amp;number=0&amp;sourceID=14","0")</f>
        <v>0</v>
      </c>
    </row>
    <row r="2768" spans="1:7">
      <c r="A2768" s="3">
        <v>14</v>
      </c>
      <c r="B2768" s="3">
        <v>4</v>
      </c>
      <c r="C2768" s="3">
        <v>86</v>
      </c>
      <c r="D2768" s="3">
        <v>56</v>
      </c>
      <c r="E2768" s="3">
        <v>-349.718</v>
      </c>
      <c r="F2768" s="4" t="str">
        <f>HYPERLINK("http://141.218.60.56/~jnz1568/getInfo.php?workbook=14_04.xlsx&amp;sheet=A0&amp;row=2768&amp;col=6&amp;number=18720000&amp;sourceID=14","18720000")</f>
        <v>18720000</v>
      </c>
      <c r="G2768" s="4" t="str">
        <f>HYPERLINK("http://141.218.60.56/~jnz1568/getInfo.php?workbook=14_04.xlsx&amp;sheet=A0&amp;row=2768&amp;col=7&amp;number=0&amp;sourceID=14","0")</f>
        <v>0</v>
      </c>
    </row>
    <row r="2769" spans="1:7">
      <c r="A2769" s="3">
        <v>14</v>
      </c>
      <c r="B2769" s="3">
        <v>4</v>
      </c>
      <c r="C2769" s="3">
        <v>87</v>
      </c>
      <c r="D2769" s="3">
        <v>56</v>
      </c>
      <c r="E2769" s="3">
        <v>344.938</v>
      </c>
      <c r="F2769" s="4" t="str">
        <f>HYPERLINK("http://141.218.60.56/~jnz1568/getInfo.php?workbook=14_04.xlsx&amp;sheet=A0&amp;row=2769&amp;col=6&amp;number=49130&amp;sourceID=14","49130")</f>
        <v>49130</v>
      </c>
      <c r="G2769" s="4" t="str">
        <f>HYPERLINK("http://141.218.60.56/~jnz1568/getInfo.php?workbook=14_04.xlsx&amp;sheet=A0&amp;row=2769&amp;col=7&amp;number=0&amp;sourceID=14","0")</f>
        <v>0</v>
      </c>
    </row>
    <row r="2770" spans="1:7">
      <c r="A2770" s="3">
        <v>14</v>
      </c>
      <c r="B2770" s="3">
        <v>4</v>
      </c>
      <c r="C2770" s="3">
        <v>88</v>
      </c>
      <c r="D2770" s="3">
        <v>56</v>
      </c>
      <c r="E2770" s="3">
        <v>-346.265</v>
      </c>
      <c r="F2770" s="4" t="str">
        <f>HYPERLINK("http://141.218.60.56/~jnz1568/getInfo.php?workbook=14_04.xlsx&amp;sheet=A0&amp;row=2770&amp;col=6&amp;number=4193000000&amp;sourceID=14","4193000000")</f>
        <v>4193000000</v>
      </c>
      <c r="G2770" s="4" t="str">
        <f>HYPERLINK("http://141.218.60.56/~jnz1568/getInfo.php?workbook=14_04.xlsx&amp;sheet=A0&amp;row=2770&amp;col=7&amp;number=0&amp;sourceID=14","0")</f>
        <v>0</v>
      </c>
    </row>
    <row r="2771" spans="1:7">
      <c r="A2771" s="3">
        <v>14</v>
      </c>
      <c r="B2771" s="3">
        <v>4</v>
      </c>
      <c r="C2771" s="3">
        <v>89</v>
      </c>
      <c r="D2771" s="3">
        <v>56</v>
      </c>
      <c r="E2771" s="3">
        <v>-339.671</v>
      </c>
      <c r="F2771" s="4" t="str">
        <f>HYPERLINK("http://141.218.60.56/~jnz1568/getInfo.php?workbook=14_04.xlsx&amp;sheet=A0&amp;row=2771&amp;col=6&amp;number=36.94&amp;sourceID=14","36.94")</f>
        <v>36.94</v>
      </c>
      <c r="G2771" s="4" t="str">
        <f>HYPERLINK("http://141.218.60.56/~jnz1568/getInfo.php?workbook=14_04.xlsx&amp;sheet=A0&amp;row=2771&amp;col=7&amp;number=0&amp;sourceID=14","0")</f>
        <v>0</v>
      </c>
    </row>
    <row r="2772" spans="1:7">
      <c r="A2772" s="3">
        <v>14</v>
      </c>
      <c r="B2772" s="3">
        <v>4</v>
      </c>
      <c r="C2772" s="3">
        <v>90</v>
      </c>
      <c r="D2772" s="3">
        <v>56</v>
      </c>
      <c r="E2772" s="3">
        <v>339.572</v>
      </c>
      <c r="F2772" s="4" t="str">
        <f>HYPERLINK("http://141.218.60.56/~jnz1568/getInfo.php?workbook=14_04.xlsx&amp;sheet=A0&amp;row=2772&amp;col=6&amp;number=23.52&amp;sourceID=14","23.52")</f>
        <v>23.52</v>
      </c>
      <c r="G2772" s="4" t="str">
        <f>HYPERLINK("http://141.218.60.56/~jnz1568/getInfo.php?workbook=14_04.xlsx&amp;sheet=A0&amp;row=2772&amp;col=7&amp;number=0&amp;sourceID=14","0")</f>
        <v>0</v>
      </c>
    </row>
    <row r="2773" spans="1:7">
      <c r="A2773" s="3">
        <v>14</v>
      </c>
      <c r="B2773" s="3">
        <v>4</v>
      </c>
      <c r="C2773" s="3">
        <v>91</v>
      </c>
      <c r="D2773" s="3">
        <v>56</v>
      </c>
      <c r="E2773" s="3">
        <v>339.668</v>
      </c>
      <c r="F2773" s="4" t="str">
        <f>HYPERLINK("http://141.218.60.56/~jnz1568/getInfo.php?workbook=14_04.xlsx&amp;sheet=A0&amp;row=2773&amp;col=6&amp;number=18.11&amp;sourceID=14","18.11")</f>
        <v>18.11</v>
      </c>
      <c r="G2773" s="4" t="str">
        <f>HYPERLINK("http://141.218.60.56/~jnz1568/getInfo.php?workbook=14_04.xlsx&amp;sheet=A0&amp;row=2773&amp;col=7&amp;number=0&amp;sourceID=14","0")</f>
        <v>0</v>
      </c>
    </row>
    <row r="2774" spans="1:7">
      <c r="A2774" s="3">
        <v>14</v>
      </c>
      <c r="B2774" s="3">
        <v>4</v>
      </c>
      <c r="C2774" s="3">
        <v>92</v>
      </c>
      <c r="D2774" s="3">
        <v>56</v>
      </c>
      <c r="E2774" s="3">
        <v>335.195</v>
      </c>
      <c r="F2774" s="4" t="str">
        <f>HYPERLINK("http://141.218.60.56/~jnz1568/getInfo.php?workbook=14_04.xlsx&amp;sheet=A0&amp;row=2774&amp;col=6&amp;number=485800&amp;sourceID=14","485800")</f>
        <v>485800</v>
      </c>
      <c r="G2774" s="4" t="str">
        <f>HYPERLINK("http://141.218.60.56/~jnz1568/getInfo.php?workbook=14_04.xlsx&amp;sheet=A0&amp;row=2774&amp;col=7&amp;number=0&amp;sourceID=14","0")</f>
        <v>0</v>
      </c>
    </row>
    <row r="2775" spans="1:7">
      <c r="A2775" s="3">
        <v>14</v>
      </c>
      <c r="B2775" s="3">
        <v>4</v>
      </c>
      <c r="C2775" s="3">
        <v>58</v>
      </c>
      <c r="D2775" s="3">
        <v>57</v>
      </c>
      <c r="E2775" s="3">
        <v>-68880.166</v>
      </c>
      <c r="F2775" s="4" t="str">
        <f>HYPERLINK("http://141.218.60.56/~jnz1568/getInfo.php?workbook=14_04.xlsx&amp;sheet=A0&amp;row=2775&amp;col=6&amp;number=0.04968&amp;sourceID=14","0.04968")</f>
        <v>0.04968</v>
      </c>
      <c r="G2775" s="4" t="str">
        <f>HYPERLINK("http://141.218.60.56/~jnz1568/getInfo.php?workbook=14_04.xlsx&amp;sheet=A0&amp;row=2775&amp;col=7&amp;number=0&amp;sourceID=14","0")</f>
        <v>0</v>
      </c>
    </row>
    <row r="2776" spans="1:7">
      <c r="A2776" s="3">
        <v>14</v>
      </c>
      <c r="B2776" s="3">
        <v>4</v>
      </c>
      <c r="C2776" s="3">
        <v>59</v>
      </c>
      <c r="D2776" s="3">
        <v>57</v>
      </c>
      <c r="E2776" s="3">
        <v>-12369.107</v>
      </c>
      <c r="F2776" s="4" t="str">
        <f>HYPERLINK("http://141.218.60.56/~jnz1568/getInfo.php?workbook=14_04.xlsx&amp;sheet=A0&amp;row=2776&amp;col=6&amp;number=3.228e-05&amp;sourceID=14","3.228e-05")</f>
        <v>3.228e-05</v>
      </c>
      <c r="G2776" s="4" t="str">
        <f>HYPERLINK("http://141.218.60.56/~jnz1568/getInfo.php?workbook=14_04.xlsx&amp;sheet=A0&amp;row=2776&amp;col=7&amp;number=0&amp;sourceID=14","0")</f>
        <v>0</v>
      </c>
    </row>
    <row r="2777" spans="1:7">
      <c r="A2777" s="3">
        <v>14</v>
      </c>
      <c r="B2777" s="3">
        <v>4</v>
      </c>
      <c r="C2777" s="3">
        <v>60</v>
      </c>
      <c r="D2777" s="3">
        <v>57</v>
      </c>
      <c r="E2777" s="3">
        <v>-6985.096</v>
      </c>
      <c r="F2777" s="4" t="str">
        <f>HYPERLINK("http://141.218.60.56/~jnz1568/getInfo.php?workbook=14_04.xlsx&amp;sheet=A0&amp;row=2777&amp;col=6&amp;number=5.12&amp;sourceID=14","5.12")</f>
        <v>5.12</v>
      </c>
      <c r="G2777" s="4" t="str">
        <f>HYPERLINK("http://141.218.60.56/~jnz1568/getInfo.php?workbook=14_04.xlsx&amp;sheet=A0&amp;row=2777&amp;col=7&amp;number=0&amp;sourceID=14","0")</f>
        <v>0</v>
      </c>
    </row>
    <row r="2778" spans="1:7">
      <c r="A2778" s="3">
        <v>14</v>
      </c>
      <c r="B2778" s="3">
        <v>4</v>
      </c>
      <c r="C2778" s="3">
        <v>61</v>
      </c>
      <c r="D2778" s="3">
        <v>57</v>
      </c>
      <c r="E2778" s="3">
        <v>-3809.422</v>
      </c>
      <c r="F2778" s="4" t="str">
        <f>HYPERLINK("http://141.218.60.56/~jnz1568/getInfo.php?workbook=14_04.xlsx&amp;sheet=A0&amp;row=2778&amp;col=6&amp;number=29840000&amp;sourceID=14","29840000")</f>
        <v>29840000</v>
      </c>
      <c r="G2778" s="4" t="str">
        <f>HYPERLINK("http://141.218.60.56/~jnz1568/getInfo.php?workbook=14_04.xlsx&amp;sheet=A0&amp;row=2778&amp;col=7&amp;number=0&amp;sourceID=14","0")</f>
        <v>0</v>
      </c>
    </row>
    <row r="2779" spans="1:7">
      <c r="A2779" s="3">
        <v>14</v>
      </c>
      <c r="B2779" s="3">
        <v>4</v>
      </c>
      <c r="C2779" s="3">
        <v>62</v>
      </c>
      <c r="D2779" s="3">
        <v>57</v>
      </c>
      <c r="E2779" s="3">
        <v>-4571.587</v>
      </c>
      <c r="F2779" s="4" t="str">
        <f>HYPERLINK("http://141.218.60.56/~jnz1568/getInfo.php?workbook=14_04.xlsx&amp;sheet=A0&amp;row=2779&amp;col=6&amp;number=6229000&amp;sourceID=14","6229000")</f>
        <v>6229000</v>
      </c>
      <c r="G2779" s="4" t="str">
        <f>HYPERLINK("http://141.218.60.56/~jnz1568/getInfo.php?workbook=14_04.xlsx&amp;sheet=A0&amp;row=2779&amp;col=7&amp;number=0&amp;sourceID=14","0")</f>
        <v>0</v>
      </c>
    </row>
    <row r="2780" spans="1:7">
      <c r="A2780" s="3">
        <v>14</v>
      </c>
      <c r="B2780" s="3">
        <v>4</v>
      </c>
      <c r="C2780" s="3">
        <v>65</v>
      </c>
      <c r="D2780" s="3">
        <v>57</v>
      </c>
      <c r="E2780" s="3">
        <v>-2966.678</v>
      </c>
      <c r="F2780" s="4" t="str">
        <f>HYPERLINK("http://141.218.60.56/~jnz1568/getInfo.php?workbook=14_04.xlsx&amp;sheet=A0&amp;row=2780&amp;col=6&amp;number=16540000&amp;sourceID=14","16540000")</f>
        <v>16540000</v>
      </c>
      <c r="G2780" s="4" t="str">
        <f>HYPERLINK("http://141.218.60.56/~jnz1568/getInfo.php?workbook=14_04.xlsx&amp;sheet=A0&amp;row=2780&amp;col=7&amp;number=0&amp;sourceID=14","0")</f>
        <v>0</v>
      </c>
    </row>
    <row r="2781" spans="1:7">
      <c r="A2781" s="3">
        <v>14</v>
      </c>
      <c r="B2781" s="3">
        <v>4</v>
      </c>
      <c r="C2781" s="3">
        <v>67</v>
      </c>
      <c r="D2781" s="3">
        <v>57</v>
      </c>
      <c r="E2781" s="3">
        <v>-2625.973</v>
      </c>
      <c r="F2781" s="4" t="str">
        <f>HYPERLINK("http://141.218.60.56/~jnz1568/getInfo.php?workbook=14_04.xlsx&amp;sheet=A0&amp;row=2781&amp;col=6&amp;number=7584000&amp;sourceID=14","7584000")</f>
        <v>7584000</v>
      </c>
      <c r="G2781" s="4" t="str">
        <f>HYPERLINK("http://141.218.60.56/~jnz1568/getInfo.php?workbook=14_04.xlsx&amp;sheet=A0&amp;row=2781&amp;col=7&amp;number=0&amp;sourceID=14","0")</f>
        <v>0</v>
      </c>
    </row>
    <row r="2782" spans="1:7">
      <c r="A2782" s="3">
        <v>14</v>
      </c>
      <c r="B2782" s="3">
        <v>4</v>
      </c>
      <c r="C2782" s="3">
        <v>69</v>
      </c>
      <c r="D2782" s="3">
        <v>57</v>
      </c>
      <c r="E2782" s="3">
        <v>-2519.925</v>
      </c>
      <c r="F2782" s="4" t="str">
        <f>HYPERLINK("http://141.218.60.56/~jnz1568/getInfo.php?workbook=14_04.xlsx&amp;sheet=A0&amp;row=2782&amp;col=6&amp;number=14.33&amp;sourceID=14","14.33")</f>
        <v>14.33</v>
      </c>
      <c r="G2782" s="4" t="str">
        <f>HYPERLINK("http://141.218.60.56/~jnz1568/getInfo.php?workbook=14_04.xlsx&amp;sheet=A0&amp;row=2782&amp;col=7&amp;number=0&amp;sourceID=14","0")</f>
        <v>0</v>
      </c>
    </row>
    <row r="2783" spans="1:7">
      <c r="A2783" s="3">
        <v>14</v>
      </c>
      <c r="B2783" s="3">
        <v>4</v>
      </c>
      <c r="C2783" s="3">
        <v>71</v>
      </c>
      <c r="D2783" s="3">
        <v>57</v>
      </c>
      <c r="E2783" s="3">
        <v>-2245.753</v>
      </c>
      <c r="F2783" s="4" t="str">
        <f>HYPERLINK("http://141.218.60.56/~jnz1568/getInfo.php?workbook=14_04.xlsx&amp;sheet=A0&amp;row=2783&amp;col=6&amp;number=28.66&amp;sourceID=14","28.66")</f>
        <v>28.66</v>
      </c>
      <c r="G2783" s="4" t="str">
        <f>HYPERLINK("http://141.218.60.56/~jnz1568/getInfo.php?workbook=14_04.xlsx&amp;sheet=A0&amp;row=2783&amp;col=7&amp;number=0&amp;sourceID=14","0")</f>
        <v>0</v>
      </c>
    </row>
    <row r="2784" spans="1:7">
      <c r="A2784" s="3">
        <v>14</v>
      </c>
      <c r="B2784" s="3">
        <v>4</v>
      </c>
      <c r="C2784" s="3">
        <v>74</v>
      </c>
      <c r="D2784" s="3">
        <v>57</v>
      </c>
      <c r="E2784" s="3">
        <v>-2018.827</v>
      </c>
      <c r="F2784" s="4" t="str">
        <f>HYPERLINK("http://141.218.60.56/~jnz1568/getInfo.php?workbook=14_04.xlsx&amp;sheet=A0&amp;row=2784&amp;col=6&amp;number=0.06982&amp;sourceID=14","0.06982")</f>
        <v>0.06982</v>
      </c>
      <c r="G2784" s="4" t="str">
        <f>HYPERLINK("http://141.218.60.56/~jnz1568/getInfo.php?workbook=14_04.xlsx&amp;sheet=A0&amp;row=2784&amp;col=7&amp;number=0&amp;sourceID=14","0")</f>
        <v>0</v>
      </c>
    </row>
    <row r="2785" spans="1:7">
      <c r="A2785" s="3">
        <v>14</v>
      </c>
      <c r="B2785" s="3">
        <v>4</v>
      </c>
      <c r="C2785" s="3">
        <v>75</v>
      </c>
      <c r="D2785" s="3">
        <v>57</v>
      </c>
      <c r="E2785" s="3">
        <v>-1943.571</v>
      </c>
      <c r="F2785" s="4" t="str">
        <f>HYPERLINK("http://141.218.60.56/~jnz1568/getInfo.php?workbook=14_04.xlsx&amp;sheet=A0&amp;row=2785&amp;col=6&amp;number=33.97&amp;sourceID=14","33.97")</f>
        <v>33.97</v>
      </c>
      <c r="G2785" s="4" t="str">
        <f>HYPERLINK("http://141.218.60.56/~jnz1568/getInfo.php?workbook=14_04.xlsx&amp;sheet=A0&amp;row=2785&amp;col=7&amp;number=0&amp;sourceID=14","0")</f>
        <v>0</v>
      </c>
    </row>
    <row r="2786" spans="1:7">
      <c r="A2786" s="3">
        <v>14</v>
      </c>
      <c r="B2786" s="3">
        <v>4</v>
      </c>
      <c r="C2786" s="3">
        <v>77</v>
      </c>
      <c r="D2786" s="3">
        <v>57</v>
      </c>
      <c r="E2786" s="3">
        <v>-1767.019</v>
      </c>
      <c r="F2786" s="4" t="str">
        <f>HYPERLINK("http://141.218.60.56/~jnz1568/getInfo.php?workbook=14_04.xlsx&amp;sheet=A0&amp;row=2786&amp;col=6&amp;number=0.3274&amp;sourceID=14","0.3274")</f>
        <v>0.3274</v>
      </c>
      <c r="G2786" s="4" t="str">
        <f>HYPERLINK("http://141.218.60.56/~jnz1568/getInfo.php?workbook=14_04.xlsx&amp;sheet=A0&amp;row=2786&amp;col=7&amp;number=0&amp;sourceID=14","0")</f>
        <v>0</v>
      </c>
    </row>
    <row r="2787" spans="1:7">
      <c r="A2787" s="3">
        <v>14</v>
      </c>
      <c r="B2787" s="3">
        <v>4</v>
      </c>
      <c r="C2787" s="3">
        <v>78</v>
      </c>
      <c r="D2787" s="3">
        <v>57</v>
      </c>
      <c r="E2787" s="3">
        <v>-1743.267</v>
      </c>
      <c r="F2787" s="4" t="str">
        <f>HYPERLINK("http://141.218.60.56/~jnz1568/getInfo.php?workbook=14_04.xlsx&amp;sheet=A0&amp;row=2787&amp;col=6&amp;number=0.06345&amp;sourceID=14","0.06345")</f>
        <v>0.06345</v>
      </c>
      <c r="G2787" s="4" t="str">
        <f>HYPERLINK("http://141.218.60.56/~jnz1568/getInfo.php?workbook=14_04.xlsx&amp;sheet=A0&amp;row=2787&amp;col=7&amp;number=0&amp;sourceID=14","0")</f>
        <v>0</v>
      </c>
    </row>
    <row r="2788" spans="1:7">
      <c r="A2788" s="3">
        <v>14</v>
      </c>
      <c r="B2788" s="3">
        <v>4</v>
      </c>
      <c r="C2788" s="3">
        <v>82</v>
      </c>
      <c r="D2788" s="3">
        <v>57</v>
      </c>
      <c r="E2788" s="3">
        <v>-1435.795</v>
      </c>
      <c r="F2788" s="4" t="str">
        <f>HYPERLINK("http://141.218.60.56/~jnz1568/getInfo.php?workbook=14_04.xlsx&amp;sheet=A0&amp;row=2788&amp;col=6&amp;number=0.01701&amp;sourceID=14","0.01701")</f>
        <v>0.01701</v>
      </c>
      <c r="G2788" s="4" t="str">
        <f>HYPERLINK("http://141.218.60.56/~jnz1568/getInfo.php?workbook=14_04.xlsx&amp;sheet=A0&amp;row=2788&amp;col=7&amp;number=0&amp;sourceID=14","0")</f>
        <v>0</v>
      </c>
    </row>
    <row r="2789" spans="1:7">
      <c r="A2789" s="3">
        <v>14</v>
      </c>
      <c r="B2789" s="3">
        <v>4</v>
      </c>
      <c r="C2789" s="3">
        <v>83</v>
      </c>
      <c r="D2789" s="3">
        <v>57</v>
      </c>
      <c r="E2789" s="3">
        <v>-765.897</v>
      </c>
      <c r="F2789" s="4" t="str">
        <f>HYPERLINK("http://141.218.60.56/~jnz1568/getInfo.php?workbook=14_04.xlsx&amp;sheet=A0&amp;row=2789&amp;col=6&amp;number=1561000&amp;sourceID=14","1561000")</f>
        <v>1561000</v>
      </c>
      <c r="G2789" s="4" t="str">
        <f>HYPERLINK("http://141.218.60.56/~jnz1568/getInfo.php?workbook=14_04.xlsx&amp;sheet=A0&amp;row=2789&amp;col=7&amp;number=0&amp;sourceID=14","0")</f>
        <v>0</v>
      </c>
    </row>
    <row r="2790" spans="1:7">
      <c r="A2790" s="3">
        <v>14</v>
      </c>
      <c r="B2790" s="3">
        <v>4</v>
      </c>
      <c r="C2790" s="3">
        <v>86</v>
      </c>
      <c r="D2790" s="3">
        <v>57</v>
      </c>
      <c r="E2790" s="3">
        <v>-688.661</v>
      </c>
      <c r="F2790" s="4" t="str">
        <f>HYPERLINK("http://141.218.60.56/~jnz1568/getInfo.php?workbook=14_04.xlsx&amp;sheet=A0&amp;row=2790&amp;col=6&amp;number=0.0129&amp;sourceID=14","0.0129")</f>
        <v>0.0129</v>
      </c>
      <c r="G2790" s="4" t="str">
        <f>HYPERLINK("http://141.218.60.56/~jnz1568/getInfo.php?workbook=14_04.xlsx&amp;sheet=A0&amp;row=2790&amp;col=7&amp;number=0&amp;sourceID=14","0")</f>
        <v>0</v>
      </c>
    </row>
    <row r="2791" spans="1:7">
      <c r="A2791" s="3">
        <v>14</v>
      </c>
      <c r="B2791" s="3">
        <v>4</v>
      </c>
      <c r="C2791" s="3">
        <v>87</v>
      </c>
      <c r="D2791" s="3">
        <v>57</v>
      </c>
      <c r="E2791" s="3">
        <v>-687.297</v>
      </c>
      <c r="F2791" s="4" t="str">
        <f>HYPERLINK("http://141.218.60.56/~jnz1568/getInfo.php?workbook=14_04.xlsx&amp;sheet=A0&amp;row=2791&amp;col=6&amp;number=0.9796&amp;sourceID=14","0.9796")</f>
        <v>0.9796</v>
      </c>
      <c r="G2791" s="4" t="str">
        <f>HYPERLINK("http://141.218.60.56/~jnz1568/getInfo.php?workbook=14_04.xlsx&amp;sheet=A0&amp;row=2791&amp;col=7&amp;number=0&amp;sourceID=14","0")</f>
        <v>0</v>
      </c>
    </row>
    <row r="2792" spans="1:7">
      <c r="A2792" s="3">
        <v>14</v>
      </c>
      <c r="B2792" s="3">
        <v>4</v>
      </c>
      <c r="C2792" s="3">
        <v>88</v>
      </c>
      <c r="D2792" s="3">
        <v>57</v>
      </c>
      <c r="E2792" s="3">
        <v>-675.398</v>
      </c>
      <c r="F2792" s="4" t="str">
        <f>HYPERLINK("http://141.218.60.56/~jnz1568/getInfo.php?workbook=14_04.xlsx&amp;sheet=A0&amp;row=2792&amp;col=6&amp;number=0.2302&amp;sourceID=14","0.2302")</f>
        <v>0.2302</v>
      </c>
      <c r="G2792" s="4" t="str">
        <f>HYPERLINK("http://141.218.60.56/~jnz1568/getInfo.php?workbook=14_04.xlsx&amp;sheet=A0&amp;row=2792&amp;col=7&amp;number=0&amp;sourceID=14","0")</f>
        <v>0</v>
      </c>
    </row>
    <row r="2793" spans="1:7">
      <c r="A2793" s="3">
        <v>14</v>
      </c>
      <c r="B2793" s="3">
        <v>4</v>
      </c>
      <c r="C2793" s="3">
        <v>89</v>
      </c>
      <c r="D2793" s="3">
        <v>57</v>
      </c>
      <c r="E2793" s="3">
        <v>-650.757</v>
      </c>
      <c r="F2793" s="4" t="str">
        <f>HYPERLINK("http://141.218.60.56/~jnz1568/getInfo.php?workbook=14_04.xlsx&amp;sheet=A0&amp;row=2793&amp;col=6&amp;number=1619000&amp;sourceID=14","1619000")</f>
        <v>1619000</v>
      </c>
      <c r="G2793" s="4" t="str">
        <f>HYPERLINK("http://141.218.60.56/~jnz1568/getInfo.php?workbook=14_04.xlsx&amp;sheet=A0&amp;row=2793&amp;col=7&amp;number=0&amp;sourceID=14","0")</f>
        <v>0</v>
      </c>
    </row>
    <row r="2794" spans="1:7">
      <c r="A2794" s="3">
        <v>14</v>
      </c>
      <c r="B2794" s="3">
        <v>4</v>
      </c>
      <c r="C2794" s="3">
        <v>59</v>
      </c>
      <c r="D2794" s="3">
        <v>58</v>
      </c>
      <c r="E2794" s="3">
        <v>-15076.45</v>
      </c>
      <c r="F2794" s="4" t="str">
        <f>HYPERLINK("http://141.218.60.56/~jnz1568/getInfo.php?workbook=14_04.xlsx&amp;sheet=A0&amp;row=2794&amp;col=6&amp;number=3.552&amp;sourceID=14","3.552")</f>
        <v>3.552</v>
      </c>
      <c r="G2794" s="4" t="str">
        <f>HYPERLINK("http://141.218.60.56/~jnz1568/getInfo.php?workbook=14_04.xlsx&amp;sheet=A0&amp;row=2794&amp;col=7&amp;number=0&amp;sourceID=14","0")</f>
        <v>0</v>
      </c>
    </row>
    <row r="2795" spans="1:7">
      <c r="A2795" s="3">
        <v>14</v>
      </c>
      <c r="B2795" s="3">
        <v>4</v>
      </c>
      <c r="C2795" s="3">
        <v>60</v>
      </c>
      <c r="D2795" s="3">
        <v>58</v>
      </c>
      <c r="E2795" s="3">
        <v>-7773.391</v>
      </c>
      <c r="F2795" s="4" t="str">
        <f>HYPERLINK("http://141.218.60.56/~jnz1568/getInfo.php?workbook=14_04.xlsx&amp;sheet=A0&amp;row=2795&amp;col=6&amp;number=2.516&amp;sourceID=14","2.516")</f>
        <v>2.516</v>
      </c>
      <c r="G2795" s="4" t="str">
        <f>HYPERLINK("http://141.218.60.56/~jnz1568/getInfo.php?workbook=14_04.xlsx&amp;sheet=A0&amp;row=2795&amp;col=7&amp;number=0&amp;sourceID=14","0")</f>
        <v>0</v>
      </c>
    </row>
    <row r="2796" spans="1:7">
      <c r="A2796" s="3">
        <v>14</v>
      </c>
      <c r="B2796" s="3">
        <v>4</v>
      </c>
      <c r="C2796" s="3">
        <v>61</v>
      </c>
      <c r="D2796" s="3">
        <v>58</v>
      </c>
      <c r="E2796" s="3">
        <v>-4032.437</v>
      </c>
      <c r="F2796" s="4" t="str">
        <f>HYPERLINK("http://141.218.60.56/~jnz1568/getInfo.php?workbook=14_04.xlsx&amp;sheet=A0&amp;row=2796&amp;col=6&amp;number=224500&amp;sourceID=14","224500")</f>
        <v>224500</v>
      </c>
      <c r="G2796" s="4" t="str">
        <f>HYPERLINK("http://141.218.60.56/~jnz1568/getInfo.php?workbook=14_04.xlsx&amp;sheet=A0&amp;row=2796&amp;col=7&amp;number=0&amp;sourceID=14","0")</f>
        <v>0</v>
      </c>
    </row>
    <row r="2797" spans="1:7">
      <c r="A2797" s="3">
        <v>14</v>
      </c>
      <c r="B2797" s="3">
        <v>4</v>
      </c>
      <c r="C2797" s="3">
        <v>62</v>
      </c>
      <c r="D2797" s="3">
        <v>58</v>
      </c>
      <c r="E2797" s="3">
        <v>-4896.573</v>
      </c>
      <c r="F2797" s="4" t="str">
        <f>HYPERLINK("http://141.218.60.56/~jnz1568/getInfo.php?workbook=14_04.xlsx&amp;sheet=A0&amp;row=2797&amp;col=6&amp;number=12360000&amp;sourceID=14","12360000")</f>
        <v>12360000</v>
      </c>
      <c r="G2797" s="4" t="str">
        <f>HYPERLINK("http://141.218.60.56/~jnz1568/getInfo.php?workbook=14_04.xlsx&amp;sheet=A0&amp;row=2797&amp;col=7&amp;number=0&amp;sourceID=14","0")</f>
        <v>0</v>
      </c>
    </row>
    <row r="2798" spans="1:7">
      <c r="A2798" s="3">
        <v>14</v>
      </c>
      <c r="B2798" s="3">
        <v>4</v>
      </c>
      <c r="C2798" s="3">
        <v>63</v>
      </c>
      <c r="D2798" s="3">
        <v>58</v>
      </c>
      <c r="E2798" s="3">
        <v>-3991.355</v>
      </c>
      <c r="F2798" s="4" t="str">
        <f>HYPERLINK("http://141.218.60.56/~jnz1568/getInfo.php?workbook=14_04.xlsx&amp;sheet=A0&amp;row=2798&amp;col=6&amp;number=38870000&amp;sourceID=14","38870000")</f>
        <v>38870000</v>
      </c>
      <c r="G2798" s="4" t="str">
        <f>HYPERLINK("http://141.218.60.56/~jnz1568/getInfo.php?workbook=14_04.xlsx&amp;sheet=A0&amp;row=2798&amp;col=7&amp;number=0&amp;sourceID=14","0")</f>
        <v>0</v>
      </c>
    </row>
    <row r="2799" spans="1:7">
      <c r="A2799" s="3">
        <v>14</v>
      </c>
      <c r="B2799" s="3">
        <v>4</v>
      </c>
      <c r="C2799" s="3">
        <v>65</v>
      </c>
      <c r="D2799" s="3">
        <v>58</v>
      </c>
      <c r="E2799" s="3">
        <v>-3100.204</v>
      </c>
      <c r="F2799" s="4" t="str">
        <f>HYPERLINK("http://141.218.60.56/~jnz1568/getInfo.php?workbook=14_04.xlsx&amp;sheet=A0&amp;row=2799&amp;col=6&amp;number=38750000&amp;sourceID=14","38750000")</f>
        <v>38750000</v>
      </c>
      <c r="G2799" s="4" t="str">
        <f>HYPERLINK("http://141.218.60.56/~jnz1568/getInfo.php?workbook=14_04.xlsx&amp;sheet=A0&amp;row=2799&amp;col=7&amp;number=0&amp;sourceID=14","0")</f>
        <v>0</v>
      </c>
    </row>
    <row r="2800" spans="1:7">
      <c r="A2800" s="3">
        <v>14</v>
      </c>
      <c r="B2800" s="3">
        <v>4</v>
      </c>
      <c r="C2800" s="3">
        <v>66</v>
      </c>
      <c r="D2800" s="3">
        <v>58</v>
      </c>
      <c r="E2800" s="3">
        <v>-3114.853</v>
      </c>
      <c r="F2800" s="4" t="str">
        <f>HYPERLINK("http://141.218.60.56/~jnz1568/getInfo.php?workbook=14_04.xlsx&amp;sheet=A0&amp;row=2800&amp;col=6&amp;number=100300000&amp;sourceID=14","100300000")</f>
        <v>100300000</v>
      </c>
      <c r="G2800" s="4" t="str">
        <f>HYPERLINK("http://141.218.60.56/~jnz1568/getInfo.php?workbook=14_04.xlsx&amp;sheet=A0&amp;row=2800&amp;col=7&amp;number=0&amp;sourceID=14","0")</f>
        <v>0</v>
      </c>
    </row>
    <row r="2801" spans="1:7">
      <c r="A2801" s="3">
        <v>14</v>
      </c>
      <c r="B2801" s="3">
        <v>4</v>
      </c>
      <c r="C2801" s="3">
        <v>67</v>
      </c>
      <c r="D2801" s="3">
        <v>58</v>
      </c>
      <c r="E2801" s="3">
        <v>-2730.053</v>
      </c>
      <c r="F2801" s="4" t="str">
        <f>HYPERLINK("http://141.218.60.56/~jnz1568/getInfo.php?workbook=14_04.xlsx&amp;sheet=A0&amp;row=2801&amp;col=6&amp;number=2727000&amp;sourceID=14","2727000")</f>
        <v>2727000</v>
      </c>
      <c r="G2801" s="4" t="str">
        <f>HYPERLINK("http://141.218.60.56/~jnz1568/getInfo.php?workbook=14_04.xlsx&amp;sheet=A0&amp;row=2801&amp;col=7&amp;number=0&amp;sourceID=14","0")</f>
        <v>0</v>
      </c>
    </row>
    <row r="2802" spans="1:7">
      <c r="A2802" s="3">
        <v>14</v>
      </c>
      <c r="B2802" s="3">
        <v>4</v>
      </c>
      <c r="C2802" s="3">
        <v>68</v>
      </c>
      <c r="D2802" s="3">
        <v>58</v>
      </c>
      <c r="E2802" s="3">
        <v>-2672.34</v>
      </c>
      <c r="F2802" s="4" t="str">
        <f>HYPERLINK("http://141.218.60.56/~jnz1568/getInfo.php?workbook=14_04.xlsx&amp;sheet=A0&amp;row=2802&amp;col=6&amp;number=17990000&amp;sourceID=14","17990000")</f>
        <v>17990000</v>
      </c>
      <c r="G2802" s="4" t="str">
        <f>HYPERLINK("http://141.218.60.56/~jnz1568/getInfo.php?workbook=14_04.xlsx&amp;sheet=A0&amp;row=2802&amp;col=7&amp;number=0&amp;sourceID=14","0")</f>
        <v>0</v>
      </c>
    </row>
    <row r="2803" spans="1:7">
      <c r="A2803" s="3">
        <v>14</v>
      </c>
      <c r="B2803" s="3">
        <v>4</v>
      </c>
      <c r="C2803" s="3">
        <v>69</v>
      </c>
      <c r="D2803" s="3">
        <v>58</v>
      </c>
      <c r="E2803" s="3">
        <v>-2615.615</v>
      </c>
      <c r="F2803" s="4" t="str">
        <f>HYPERLINK("http://141.218.60.56/~jnz1568/getInfo.php?workbook=14_04.xlsx&amp;sheet=A0&amp;row=2803&amp;col=6&amp;number=16.55&amp;sourceID=14","16.55")</f>
        <v>16.55</v>
      </c>
      <c r="G2803" s="4" t="str">
        <f>HYPERLINK("http://141.218.60.56/~jnz1568/getInfo.php?workbook=14_04.xlsx&amp;sheet=A0&amp;row=2803&amp;col=7&amp;number=0&amp;sourceID=14","0")</f>
        <v>0</v>
      </c>
    </row>
    <row r="2804" spans="1:7">
      <c r="A2804" s="3">
        <v>14</v>
      </c>
      <c r="B2804" s="3">
        <v>4</v>
      </c>
      <c r="C2804" s="3">
        <v>70</v>
      </c>
      <c r="D2804" s="3">
        <v>58</v>
      </c>
      <c r="E2804" s="3">
        <v>-2400.082</v>
      </c>
      <c r="F2804" s="4" t="str">
        <f>HYPERLINK("http://141.218.60.56/~jnz1568/getInfo.php?workbook=14_04.xlsx&amp;sheet=A0&amp;row=2804&amp;col=6&amp;number=42.81&amp;sourceID=14","42.81")</f>
        <v>42.81</v>
      </c>
      <c r="G2804" s="4" t="str">
        <f>HYPERLINK("http://141.218.60.56/~jnz1568/getInfo.php?workbook=14_04.xlsx&amp;sheet=A0&amp;row=2804&amp;col=7&amp;number=0&amp;sourceID=14","0")</f>
        <v>0</v>
      </c>
    </row>
    <row r="2805" spans="1:7">
      <c r="A2805" s="3">
        <v>14</v>
      </c>
      <c r="B2805" s="3">
        <v>4</v>
      </c>
      <c r="C2805" s="3">
        <v>71</v>
      </c>
      <c r="D2805" s="3">
        <v>58</v>
      </c>
      <c r="E2805" s="3">
        <v>-2321.441</v>
      </c>
      <c r="F2805" s="4" t="str">
        <f>HYPERLINK("http://141.218.60.56/~jnz1568/getInfo.php?workbook=14_04.xlsx&amp;sheet=A0&amp;row=2805&amp;col=6&amp;number=4.122&amp;sourceID=14","4.122")</f>
        <v>4.122</v>
      </c>
      <c r="G2805" s="4" t="str">
        <f>HYPERLINK("http://141.218.60.56/~jnz1568/getInfo.php?workbook=14_04.xlsx&amp;sheet=A0&amp;row=2805&amp;col=7&amp;number=0&amp;sourceID=14","0")</f>
        <v>0</v>
      </c>
    </row>
    <row r="2806" spans="1:7">
      <c r="A2806" s="3">
        <v>14</v>
      </c>
      <c r="B2806" s="3">
        <v>4</v>
      </c>
      <c r="C2806" s="3">
        <v>72</v>
      </c>
      <c r="D2806" s="3">
        <v>58</v>
      </c>
      <c r="E2806" s="3">
        <v>-2209.745</v>
      </c>
      <c r="F2806" s="4" t="str">
        <f>HYPERLINK("http://141.218.60.56/~jnz1568/getInfo.php?workbook=14_04.xlsx&amp;sheet=A0&amp;row=2806&amp;col=6&amp;number=2530000&amp;sourceID=14","2530000")</f>
        <v>2530000</v>
      </c>
      <c r="G2806" s="4" t="str">
        <f>HYPERLINK("http://141.218.60.56/~jnz1568/getInfo.php?workbook=14_04.xlsx&amp;sheet=A0&amp;row=2806&amp;col=7&amp;number=0&amp;sourceID=14","0")</f>
        <v>0</v>
      </c>
    </row>
    <row r="2807" spans="1:7">
      <c r="A2807" s="3">
        <v>14</v>
      </c>
      <c r="B2807" s="3">
        <v>4</v>
      </c>
      <c r="C2807" s="3">
        <v>74</v>
      </c>
      <c r="D2807" s="3">
        <v>58</v>
      </c>
      <c r="E2807" s="3">
        <v>-2079.784</v>
      </c>
      <c r="F2807" s="4" t="str">
        <f>HYPERLINK("http://141.218.60.56/~jnz1568/getInfo.php?workbook=14_04.xlsx&amp;sheet=A0&amp;row=2807&amp;col=6&amp;number=109.8&amp;sourceID=14","109.8")</f>
        <v>109.8</v>
      </c>
      <c r="G2807" s="4" t="str">
        <f>HYPERLINK("http://141.218.60.56/~jnz1568/getInfo.php?workbook=14_04.xlsx&amp;sheet=A0&amp;row=2807&amp;col=7&amp;number=0&amp;sourceID=14","0")</f>
        <v>0</v>
      </c>
    </row>
    <row r="2808" spans="1:7">
      <c r="A2808" s="3">
        <v>14</v>
      </c>
      <c r="B2808" s="3">
        <v>4</v>
      </c>
      <c r="C2808" s="3">
        <v>75</v>
      </c>
      <c r="D2808" s="3">
        <v>58</v>
      </c>
      <c r="E2808" s="3">
        <v>-2000.005</v>
      </c>
      <c r="F2808" s="4" t="str">
        <f>HYPERLINK("http://141.218.60.56/~jnz1568/getInfo.php?workbook=14_04.xlsx&amp;sheet=A0&amp;row=2808&amp;col=6&amp;number=38.31&amp;sourceID=14","38.31")</f>
        <v>38.31</v>
      </c>
      <c r="G2808" s="4" t="str">
        <f>HYPERLINK("http://141.218.60.56/~jnz1568/getInfo.php?workbook=14_04.xlsx&amp;sheet=A0&amp;row=2808&amp;col=7&amp;number=0&amp;sourceID=14","0")</f>
        <v>0</v>
      </c>
    </row>
    <row r="2809" spans="1:7">
      <c r="A2809" s="3">
        <v>14</v>
      </c>
      <c r="B2809" s="3">
        <v>4</v>
      </c>
      <c r="C2809" s="3">
        <v>76</v>
      </c>
      <c r="D2809" s="3">
        <v>58</v>
      </c>
      <c r="E2809" s="3">
        <v>-1897.63</v>
      </c>
      <c r="F2809" s="4" t="str">
        <f>HYPERLINK("http://141.218.60.56/~jnz1568/getInfo.php?workbook=14_04.xlsx&amp;sheet=A0&amp;row=2809&amp;col=6&amp;number=23.88&amp;sourceID=14","23.88")</f>
        <v>23.88</v>
      </c>
      <c r="G2809" s="4" t="str">
        <f>HYPERLINK("http://141.218.60.56/~jnz1568/getInfo.php?workbook=14_04.xlsx&amp;sheet=A0&amp;row=2809&amp;col=7&amp;number=0&amp;sourceID=14","0")</f>
        <v>0</v>
      </c>
    </row>
    <row r="2810" spans="1:7">
      <c r="A2810" s="3">
        <v>14</v>
      </c>
      <c r="B2810" s="3">
        <v>4</v>
      </c>
      <c r="C2810" s="3">
        <v>77</v>
      </c>
      <c r="D2810" s="3">
        <v>58</v>
      </c>
      <c r="E2810" s="3">
        <v>-1813.543</v>
      </c>
      <c r="F2810" s="4" t="str">
        <f>HYPERLINK("http://141.218.60.56/~jnz1568/getInfo.php?workbook=14_04.xlsx&amp;sheet=A0&amp;row=2810&amp;col=6&amp;number=13.61&amp;sourceID=14","13.61")</f>
        <v>13.61</v>
      </c>
      <c r="G2810" s="4" t="str">
        <f>HYPERLINK("http://141.218.60.56/~jnz1568/getInfo.php?workbook=14_04.xlsx&amp;sheet=A0&amp;row=2810&amp;col=7&amp;number=0&amp;sourceID=14","0")</f>
        <v>0</v>
      </c>
    </row>
    <row r="2811" spans="1:7">
      <c r="A2811" s="3">
        <v>14</v>
      </c>
      <c r="B2811" s="3">
        <v>4</v>
      </c>
      <c r="C2811" s="3">
        <v>78</v>
      </c>
      <c r="D2811" s="3">
        <v>58</v>
      </c>
      <c r="E2811" s="3">
        <v>-1788.533</v>
      </c>
      <c r="F2811" s="4" t="str">
        <f>HYPERLINK("http://141.218.60.56/~jnz1568/getInfo.php?workbook=14_04.xlsx&amp;sheet=A0&amp;row=2811&amp;col=6&amp;number=2.722&amp;sourceID=14","2.722")</f>
        <v>2.722</v>
      </c>
      <c r="G2811" s="4" t="str">
        <f>HYPERLINK("http://141.218.60.56/~jnz1568/getInfo.php?workbook=14_04.xlsx&amp;sheet=A0&amp;row=2811&amp;col=7&amp;number=0&amp;sourceID=14","0")</f>
        <v>0</v>
      </c>
    </row>
    <row r="2812" spans="1:7">
      <c r="A2812" s="3">
        <v>14</v>
      </c>
      <c r="B2812" s="3">
        <v>4</v>
      </c>
      <c r="C2812" s="3">
        <v>79</v>
      </c>
      <c r="D2812" s="3">
        <v>58</v>
      </c>
      <c r="E2812" s="3">
        <v>-1774.608</v>
      </c>
      <c r="F2812" s="4" t="str">
        <f>HYPERLINK("http://141.218.60.56/~jnz1568/getInfo.php?workbook=14_04.xlsx&amp;sheet=A0&amp;row=2812&amp;col=6&amp;number=0.1812&amp;sourceID=14","0.1812")</f>
        <v>0.1812</v>
      </c>
      <c r="G2812" s="4" t="str">
        <f>HYPERLINK("http://141.218.60.56/~jnz1568/getInfo.php?workbook=14_04.xlsx&amp;sheet=A0&amp;row=2812&amp;col=7&amp;number=0&amp;sourceID=14","0")</f>
        <v>0</v>
      </c>
    </row>
    <row r="2813" spans="1:7">
      <c r="A2813" s="3">
        <v>14</v>
      </c>
      <c r="B2813" s="3">
        <v>4</v>
      </c>
      <c r="C2813" s="3">
        <v>80</v>
      </c>
      <c r="D2813" s="3">
        <v>58</v>
      </c>
      <c r="E2813" s="3">
        <v>-1702.149</v>
      </c>
      <c r="F2813" s="4" t="str">
        <f>HYPERLINK("http://141.218.60.56/~jnz1568/getInfo.php?workbook=14_04.xlsx&amp;sheet=A0&amp;row=2813&amp;col=6&amp;number=21910000&amp;sourceID=14","21910000")</f>
        <v>21910000</v>
      </c>
      <c r="G2813" s="4" t="str">
        <f>HYPERLINK("http://141.218.60.56/~jnz1568/getInfo.php?workbook=14_04.xlsx&amp;sheet=A0&amp;row=2813&amp;col=7&amp;number=0&amp;sourceID=14","0")</f>
        <v>0</v>
      </c>
    </row>
    <row r="2814" spans="1:7">
      <c r="A2814" s="3">
        <v>14</v>
      </c>
      <c r="B2814" s="3">
        <v>4</v>
      </c>
      <c r="C2814" s="3">
        <v>81</v>
      </c>
      <c r="D2814" s="3">
        <v>58</v>
      </c>
      <c r="E2814" s="3">
        <v>-1504.554</v>
      </c>
      <c r="F2814" s="4" t="str">
        <f>HYPERLINK("http://141.218.60.56/~jnz1568/getInfo.php?workbook=14_04.xlsx&amp;sheet=A0&amp;row=2814&amp;col=6&amp;number=10.56&amp;sourceID=14","10.56")</f>
        <v>10.56</v>
      </c>
      <c r="G2814" s="4" t="str">
        <f>HYPERLINK("http://141.218.60.56/~jnz1568/getInfo.php?workbook=14_04.xlsx&amp;sheet=A0&amp;row=2814&amp;col=7&amp;number=0&amp;sourceID=14","0")</f>
        <v>0</v>
      </c>
    </row>
    <row r="2815" spans="1:7">
      <c r="A2815" s="3">
        <v>14</v>
      </c>
      <c r="B2815" s="3">
        <v>4</v>
      </c>
      <c r="C2815" s="3">
        <v>82</v>
      </c>
      <c r="D2815" s="3">
        <v>58</v>
      </c>
      <c r="E2815" s="3">
        <v>-1466.361</v>
      </c>
      <c r="F2815" s="4" t="str">
        <f>HYPERLINK("http://141.218.60.56/~jnz1568/getInfo.php?workbook=14_04.xlsx&amp;sheet=A0&amp;row=2815&amp;col=6&amp;number=9.849&amp;sourceID=14","9.849")</f>
        <v>9.849</v>
      </c>
      <c r="G2815" s="4" t="str">
        <f>HYPERLINK("http://141.218.60.56/~jnz1568/getInfo.php?workbook=14_04.xlsx&amp;sheet=A0&amp;row=2815&amp;col=7&amp;number=0&amp;sourceID=14","0")</f>
        <v>0</v>
      </c>
    </row>
    <row r="2816" spans="1:7">
      <c r="A2816" s="3">
        <v>14</v>
      </c>
      <c r="B2816" s="3">
        <v>4</v>
      </c>
      <c r="C2816" s="3">
        <v>83</v>
      </c>
      <c r="D2816" s="3">
        <v>58</v>
      </c>
      <c r="E2816" s="3">
        <v>-774.509</v>
      </c>
      <c r="F2816" s="4" t="str">
        <f>HYPERLINK("http://141.218.60.56/~jnz1568/getInfo.php?workbook=14_04.xlsx&amp;sheet=A0&amp;row=2816&amp;col=6&amp;number=4246000&amp;sourceID=14","4246000")</f>
        <v>4246000</v>
      </c>
      <c r="G2816" s="4" t="str">
        <f>HYPERLINK("http://141.218.60.56/~jnz1568/getInfo.php?workbook=14_04.xlsx&amp;sheet=A0&amp;row=2816&amp;col=7&amp;number=0&amp;sourceID=14","0")</f>
        <v>0</v>
      </c>
    </row>
    <row r="2817" spans="1:7">
      <c r="A2817" s="3">
        <v>14</v>
      </c>
      <c r="B2817" s="3">
        <v>4</v>
      </c>
      <c r="C2817" s="3">
        <v>84</v>
      </c>
      <c r="D2817" s="3">
        <v>58</v>
      </c>
      <c r="E2817" s="3">
        <v>-733.654</v>
      </c>
      <c r="F2817" s="4" t="str">
        <f>HYPERLINK("http://141.218.60.56/~jnz1568/getInfo.php?workbook=14_04.xlsx&amp;sheet=A0&amp;row=2817&amp;col=6&amp;number=2182000&amp;sourceID=14","2182000")</f>
        <v>2182000</v>
      </c>
      <c r="G2817" s="4" t="str">
        <f>HYPERLINK("http://141.218.60.56/~jnz1568/getInfo.php?workbook=14_04.xlsx&amp;sheet=A0&amp;row=2817&amp;col=7&amp;number=0&amp;sourceID=14","0")</f>
        <v>0</v>
      </c>
    </row>
    <row r="2818" spans="1:7">
      <c r="A2818" s="3">
        <v>14</v>
      </c>
      <c r="B2818" s="3">
        <v>4</v>
      </c>
      <c r="C2818" s="3">
        <v>85</v>
      </c>
      <c r="D2818" s="3">
        <v>58</v>
      </c>
      <c r="E2818" s="3">
        <v>-696.203</v>
      </c>
      <c r="F2818" s="4" t="str">
        <f>HYPERLINK("http://141.218.60.56/~jnz1568/getInfo.php?workbook=14_04.xlsx&amp;sheet=A0&amp;row=2818&amp;col=6&amp;number=0.01482&amp;sourceID=14","0.01482")</f>
        <v>0.01482</v>
      </c>
      <c r="G2818" s="4" t="str">
        <f>HYPERLINK("http://141.218.60.56/~jnz1568/getInfo.php?workbook=14_04.xlsx&amp;sheet=A0&amp;row=2818&amp;col=7&amp;number=0&amp;sourceID=14","0")</f>
        <v>0</v>
      </c>
    </row>
    <row r="2819" spans="1:7">
      <c r="A2819" s="3">
        <v>14</v>
      </c>
      <c r="B2819" s="3">
        <v>4</v>
      </c>
      <c r="C2819" s="3">
        <v>86</v>
      </c>
      <c r="D2819" s="3">
        <v>58</v>
      </c>
      <c r="E2819" s="3">
        <v>-695.615</v>
      </c>
      <c r="F2819" s="4" t="str">
        <f>HYPERLINK("http://141.218.60.56/~jnz1568/getInfo.php?workbook=14_04.xlsx&amp;sheet=A0&amp;row=2819&amp;col=6&amp;number=0.0009298&amp;sourceID=14","0.0009298")</f>
        <v>0.0009298</v>
      </c>
      <c r="G2819" s="4" t="str">
        <f>HYPERLINK("http://141.218.60.56/~jnz1568/getInfo.php?workbook=14_04.xlsx&amp;sheet=A0&amp;row=2819&amp;col=7&amp;number=0&amp;sourceID=14","0")</f>
        <v>0</v>
      </c>
    </row>
    <row r="2820" spans="1:7">
      <c r="A2820" s="3">
        <v>14</v>
      </c>
      <c r="B2820" s="3">
        <v>4</v>
      </c>
      <c r="C2820" s="3">
        <v>87</v>
      </c>
      <c r="D2820" s="3">
        <v>58</v>
      </c>
      <c r="E2820" s="3">
        <v>-694.224</v>
      </c>
      <c r="F2820" s="4" t="str">
        <f>HYPERLINK("http://141.218.60.56/~jnz1568/getInfo.php?workbook=14_04.xlsx&amp;sheet=A0&amp;row=2820&amp;col=6&amp;number=2.155&amp;sourceID=14","2.155")</f>
        <v>2.155</v>
      </c>
      <c r="G2820" s="4" t="str">
        <f>HYPERLINK("http://141.218.60.56/~jnz1568/getInfo.php?workbook=14_04.xlsx&amp;sheet=A0&amp;row=2820&amp;col=7&amp;number=0&amp;sourceID=14","0")</f>
        <v>0</v>
      </c>
    </row>
    <row r="2821" spans="1:7">
      <c r="A2821" s="3">
        <v>14</v>
      </c>
      <c r="B2821" s="3">
        <v>4</v>
      </c>
      <c r="C2821" s="3">
        <v>88</v>
      </c>
      <c r="D2821" s="3">
        <v>58</v>
      </c>
      <c r="E2821" s="3">
        <v>-682.086</v>
      </c>
      <c r="F2821" s="4" t="str">
        <f>HYPERLINK("http://141.218.60.56/~jnz1568/getInfo.php?workbook=14_04.xlsx&amp;sheet=A0&amp;row=2821&amp;col=6&amp;number=235.9&amp;sourceID=14","235.9")</f>
        <v>235.9</v>
      </c>
      <c r="G2821" s="4" t="str">
        <f>HYPERLINK("http://141.218.60.56/~jnz1568/getInfo.php?workbook=14_04.xlsx&amp;sheet=A0&amp;row=2821&amp;col=7&amp;number=0&amp;sourceID=14","0")</f>
        <v>0</v>
      </c>
    </row>
    <row r="2822" spans="1:7">
      <c r="A2822" s="3">
        <v>14</v>
      </c>
      <c r="B2822" s="3">
        <v>4</v>
      </c>
      <c r="C2822" s="3">
        <v>89</v>
      </c>
      <c r="D2822" s="3">
        <v>58</v>
      </c>
      <c r="E2822" s="3">
        <v>-656.963</v>
      </c>
      <c r="F2822" s="4" t="str">
        <f>HYPERLINK("http://141.218.60.56/~jnz1568/getInfo.php?workbook=14_04.xlsx&amp;sheet=A0&amp;row=2822&amp;col=6&amp;number=1032000&amp;sourceID=14","1032000")</f>
        <v>1032000</v>
      </c>
      <c r="G2822" s="4" t="str">
        <f>HYPERLINK("http://141.218.60.56/~jnz1568/getInfo.php?workbook=14_04.xlsx&amp;sheet=A0&amp;row=2822&amp;col=7&amp;number=0&amp;sourceID=14","0")</f>
        <v>0</v>
      </c>
    </row>
    <row r="2823" spans="1:7">
      <c r="A2823" s="3">
        <v>14</v>
      </c>
      <c r="B2823" s="3">
        <v>4</v>
      </c>
      <c r="C2823" s="3">
        <v>90</v>
      </c>
      <c r="D2823" s="3">
        <v>58</v>
      </c>
      <c r="E2823" s="3">
        <v>-656.743</v>
      </c>
      <c r="F2823" s="4" t="str">
        <f>HYPERLINK("http://141.218.60.56/~jnz1568/getInfo.php?workbook=14_04.xlsx&amp;sheet=A0&amp;row=2823&amp;col=6&amp;number=1718000&amp;sourceID=14","1718000")</f>
        <v>1718000</v>
      </c>
      <c r="G2823" s="4" t="str">
        <f>HYPERLINK("http://141.218.60.56/~jnz1568/getInfo.php?workbook=14_04.xlsx&amp;sheet=A0&amp;row=2823&amp;col=7&amp;number=0&amp;sourceID=14","0")</f>
        <v>0</v>
      </c>
    </row>
    <row r="2824" spans="1:7">
      <c r="A2824" s="3">
        <v>14</v>
      </c>
      <c r="B2824" s="3">
        <v>4</v>
      </c>
      <c r="C2824" s="3">
        <v>92</v>
      </c>
      <c r="D2824" s="3">
        <v>58</v>
      </c>
      <c r="E2824" s="3">
        <v>-636.114</v>
      </c>
      <c r="F2824" s="4" t="str">
        <f>HYPERLINK("http://141.218.60.56/~jnz1568/getInfo.php?workbook=14_04.xlsx&amp;sheet=A0&amp;row=2824&amp;col=6&amp;number=27110000&amp;sourceID=14","27110000")</f>
        <v>27110000</v>
      </c>
      <c r="G2824" s="4" t="str">
        <f>HYPERLINK("http://141.218.60.56/~jnz1568/getInfo.php?workbook=14_04.xlsx&amp;sheet=A0&amp;row=2824&amp;col=7&amp;number=0&amp;sourceID=14","0")</f>
        <v>0</v>
      </c>
    </row>
    <row r="2825" spans="1:7">
      <c r="A2825" s="3">
        <v>14</v>
      </c>
      <c r="B2825" s="3">
        <v>4</v>
      </c>
      <c r="C2825" s="3">
        <v>60</v>
      </c>
      <c r="D2825" s="3">
        <v>59</v>
      </c>
      <c r="E2825" s="3">
        <v>-16047.403</v>
      </c>
      <c r="F2825" s="4" t="str">
        <f>HYPERLINK("http://141.218.60.56/~jnz1568/getInfo.php?workbook=14_04.xlsx&amp;sheet=A0&amp;row=2825&amp;col=6&amp;number=0.528&amp;sourceID=14","0.528")</f>
        <v>0.528</v>
      </c>
      <c r="G2825" s="4" t="str">
        <f>HYPERLINK("http://141.218.60.56/~jnz1568/getInfo.php?workbook=14_04.xlsx&amp;sheet=A0&amp;row=2825&amp;col=7&amp;number=0&amp;sourceID=14","0")</f>
        <v>0</v>
      </c>
    </row>
    <row r="2826" spans="1:7">
      <c r="A2826" s="3">
        <v>14</v>
      </c>
      <c r="B2826" s="3">
        <v>4</v>
      </c>
      <c r="C2826" s="3">
        <v>61</v>
      </c>
      <c r="D2826" s="3">
        <v>59</v>
      </c>
      <c r="E2826" s="3">
        <v>-5504.777</v>
      </c>
      <c r="F2826" s="4" t="str">
        <f>HYPERLINK("http://141.218.60.56/~jnz1568/getInfo.php?workbook=14_04.xlsx&amp;sheet=A0&amp;row=2826&amp;col=6&amp;number=130700&amp;sourceID=14","130700")</f>
        <v>130700</v>
      </c>
      <c r="G2826" s="4" t="str">
        <f>HYPERLINK("http://141.218.60.56/~jnz1568/getInfo.php?workbook=14_04.xlsx&amp;sheet=A0&amp;row=2826&amp;col=7&amp;number=0&amp;sourceID=14","0")</f>
        <v>0</v>
      </c>
    </row>
    <row r="2827" spans="1:7">
      <c r="A2827" s="3">
        <v>14</v>
      </c>
      <c r="B2827" s="3">
        <v>4</v>
      </c>
      <c r="C2827" s="3">
        <v>62</v>
      </c>
      <c r="D2827" s="3">
        <v>59</v>
      </c>
      <c r="E2827" s="3">
        <v>-7251.849</v>
      </c>
      <c r="F2827" s="4" t="str">
        <f>HYPERLINK("http://141.218.60.56/~jnz1568/getInfo.php?workbook=14_04.xlsx&amp;sheet=A0&amp;row=2827&amp;col=6&amp;number=17560&amp;sourceID=14","17560")</f>
        <v>17560</v>
      </c>
      <c r="G2827" s="4" t="str">
        <f>HYPERLINK("http://141.218.60.56/~jnz1568/getInfo.php?workbook=14_04.xlsx&amp;sheet=A0&amp;row=2827&amp;col=7&amp;number=0&amp;sourceID=14","0")</f>
        <v>0</v>
      </c>
    </row>
    <row r="2828" spans="1:7">
      <c r="A2828" s="3">
        <v>14</v>
      </c>
      <c r="B2828" s="3">
        <v>4</v>
      </c>
      <c r="C2828" s="3">
        <v>63</v>
      </c>
      <c r="D2828" s="3">
        <v>59</v>
      </c>
      <c r="E2828" s="3">
        <v>-5428.502</v>
      </c>
      <c r="F2828" s="4" t="str">
        <f>HYPERLINK("http://141.218.60.56/~jnz1568/getInfo.php?workbook=14_04.xlsx&amp;sheet=A0&amp;row=2828&amp;col=6&amp;number=1535000&amp;sourceID=14","1535000")</f>
        <v>1535000</v>
      </c>
      <c r="G2828" s="4" t="str">
        <f>HYPERLINK("http://141.218.60.56/~jnz1568/getInfo.php?workbook=14_04.xlsx&amp;sheet=A0&amp;row=2828&amp;col=7&amp;number=0&amp;sourceID=14","0")</f>
        <v>0</v>
      </c>
    </row>
    <row r="2829" spans="1:7">
      <c r="A2829" s="3">
        <v>14</v>
      </c>
      <c r="B2829" s="3">
        <v>4</v>
      </c>
      <c r="C2829" s="3">
        <v>64</v>
      </c>
      <c r="D2829" s="3">
        <v>59</v>
      </c>
      <c r="E2829" s="3">
        <v>-4193.069</v>
      </c>
      <c r="F2829" s="4" t="str">
        <f>HYPERLINK("http://141.218.60.56/~jnz1568/getInfo.php?workbook=14_04.xlsx&amp;sheet=A0&amp;row=2829&amp;col=6&amp;number=37010000&amp;sourceID=14","37010000")</f>
        <v>37010000</v>
      </c>
      <c r="G2829" s="4" t="str">
        <f>HYPERLINK("http://141.218.60.56/~jnz1568/getInfo.php?workbook=14_04.xlsx&amp;sheet=A0&amp;row=2829&amp;col=7&amp;number=0&amp;sourceID=14","0")</f>
        <v>0</v>
      </c>
    </row>
    <row r="2830" spans="1:7">
      <c r="A2830" s="3">
        <v>14</v>
      </c>
      <c r="B2830" s="3">
        <v>4</v>
      </c>
      <c r="C2830" s="3">
        <v>65</v>
      </c>
      <c r="D2830" s="3">
        <v>59</v>
      </c>
      <c r="E2830" s="3">
        <v>-3902.732</v>
      </c>
      <c r="F2830" s="4" t="str">
        <f>HYPERLINK("http://141.218.60.56/~jnz1568/getInfo.php?workbook=14_04.xlsx&amp;sheet=A0&amp;row=2830&amp;col=6&amp;number=567600&amp;sourceID=14","567600")</f>
        <v>567600</v>
      </c>
      <c r="G2830" s="4" t="str">
        <f>HYPERLINK("http://141.218.60.56/~jnz1568/getInfo.php?workbook=14_04.xlsx&amp;sheet=A0&amp;row=2830&amp;col=7&amp;number=0&amp;sourceID=14","0")</f>
        <v>0</v>
      </c>
    </row>
    <row r="2831" spans="1:7">
      <c r="A2831" s="3">
        <v>14</v>
      </c>
      <c r="B2831" s="3">
        <v>4</v>
      </c>
      <c r="C2831" s="3">
        <v>67</v>
      </c>
      <c r="D2831" s="3">
        <v>59</v>
      </c>
      <c r="E2831" s="3">
        <v>-3333.727</v>
      </c>
      <c r="F2831" s="4" t="str">
        <f>HYPERLINK("http://141.218.60.56/~jnz1568/getInfo.php?workbook=14_04.xlsx&amp;sheet=A0&amp;row=2831&amp;col=6&amp;number=70330000&amp;sourceID=14","70330000")</f>
        <v>70330000</v>
      </c>
      <c r="G2831" s="4" t="str">
        <f>HYPERLINK("http://141.218.60.56/~jnz1568/getInfo.php?workbook=14_04.xlsx&amp;sheet=A0&amp;row=2831&amp;col=7&amp;number=0&amp;sourceID=14","0")</f>
        <v>0</v>
      </c>
    </row>
    <row r="2832" spans="1:7">
      <c r="A2832" s="3">
        <v>14</v>
      </c>
      <c r="B2832" s="3">
        <v>4</v>
      </c>
      <c r="C2832" s="3">
        <v>68</v>
      </c>
      <c r="D2832" s="3">
        <v>59</v>
      </c>
      <c r="E2832" s="3">
        <v>-3248.069</v>
      </c>
      <c r="F2832" s="4" t="str">
        <f>HYPERLINK("http://141.218.60.56/~jnz1568/getInfo.php?workbook=14_04.xlsx&amp;sheet=A0&amp;row=2832&amp;col=6&amp;number=78080000&amp;sourceID=14","78080000")</f>
        <v>78080000</v>
      </c>
      <c r="G2832" s="4" t="str">
        <f>HYPERLINK("http://141.218.60.56/~jnz1568/getInfo.php?workbook=14_04.xlsx&amp;sheet=A0&amp;row=2832&amp;col=7&amp;number=0&amp;sourceID=14","0")</f>
        <v>0</v>
      </c>
    </row>
    <row r="2833" spans="1:7">
      <c r="A2833" s="3">
        <v>14</v>
      </c>
      <c r="B2833" s="3">
        <v>4</v>
      </c>
      <c r="C2833" s="3">
        <v>69</v>
      </c>
      <c r="D2833" s="3">
        <v>59</v>
      </c>
      <c r="E2833" s="3">
        <v>-3164.65</v>
      </c>
      <c r="F2833" s="4" t="str">
        <f>HYPERLINK("http://141.218.60.56/~jnz1568/getInfo.php?workbook=14_04.xlsx&amp;sheet=A0&amp;row=2833&amp;col=6&amp;number=0.1535&amp;sourceID=14","0.1535")</f>
        <v>0.1535</v>
      </c>
      <c r="G2833" s="4" t="str">
        <f>HYPERLINK("http://141.218.60.56/~jnz1568/getInfo.php?workbook=14_04.xlsx&amp;sheet=A0&amp;row=2833&amp;col=7&amp;number=0&amp;sourceID=14","0")</f>
        <v>0</v>
      </c>
    </row>
    <row r="2834" spans="1:7">
      <c r="A2834" s="3">
        <v>14</v>
      </c>
      <c r="B2834" s="3">
        <v>4</v>
      </c>
      <c r="C2834" s="3">
        <v>70</v>
      </c>
      <c r="D2834" s="3">
        <v>59</v>
      </c>
      <c r="E2834" s="3">
        <v>-2854.503</v>
      </c>
      <c r="F2834" s="4" t="str">
        <f>HYPERLINK("http://141.218.60.56/~jnz1568/getInfo.php?workbook=14_04.xlsx&amp;sheet=A0&amp;row=2834&amp;col=6&amp;number=1.975&amp;sourceID=14","1.975")</f>
        <v>1.975</v>
      </c>
      <c r="G2834" s="4" t="str">
        <f>HYPERLINK("http://141.218.60.56/~jnz1568/getInfo.php?workbook=14_04.xlsx&amp;sheet=A0&amp;row=2834&amp;col=7&amp;number=0&amp;sourceID=14","0")</f>
        <v>0</v>
      </c>
    </row>
    <row r="2835" spans="1:7">
      <c r="A2835" s="3">
        <v>14</v>
      </c>
      <c r="B2835" s="3">
        <v>4</v>
      </c>
      <c r="C2835" s="3">
        <v>71</v>
      </c>
      <c r="D2835" s="3">
        <v>59</v>
      </c>
      <c r="E2835" s="3">
        <v>-2743.948</v>
      </c>
      <c r="F2835" s="4" t="str">
        <f>HYPERLINK("http://141.218.60.56/~jnz1568/getInfo.php?workbook=14_04.xlsx&amp;sheet=A0&amp;row=2835&amp;col=6&amp;number=0.105&amp;sourceID=14","0.105")</f>
        <v>0.105</v>
      </c>
      <c r="G2835" s="4" t="str">
        <f>HYPERLINK("http://141.218.60.56/~jnz1568/getInfo.php?workbook=14_04.xlsx&amp;sheet=A0&amp;row=2835&amp;col=7&amp;number=0&amp;sourceID=14","0")</f>
        <v>0</v>
      </c>
    </row>
    <row r="2836" spans="1:7">
      <c r="A2836" s="3">
        <v>14</v>
      </c>
      <c r="B2836" s="3">
        <v>4</v>
      </c>
      <c r="C2836" s="3">
        <v>72</v>
      </c>
      <c r="D2836" s="3">
        <v>59</v>
      </c>
      <c r="E2836" s="3">
        <v>-2589.249</v>
      </c>
      <c r="F2836" s="4" t="str">
        <f>HYPERLINK("http://141.218.60.56/~jnz1568/getInfo.php?workbook=14_04.xlsx&amp;sheet=A0&amp;row=2836&amp;col=6&amp;number=3418000&amp;sourceID=14","3418000")</f>
        <v>3418000</v>
      </c>
      <c r="G2836" s="4" t="str">
        <f>HYPERLINK("http://141.218.60.56/~jnz1568/getInfo.php?workbook=14_04.xlsx&amp;sheet=A0&amp;row=2836&amp;col=7&amp;number=0&amp;sourceID=14","0")</f>
        <v>0</v>
      </c>
    </row>
    <row r="2837" spans="1:7">
      <c r="A2837" s="3">
        <v>14</v>
      </c>
      <c r="B2837" s="3">
        <v>4</v>
      </c>
      <c r="C2837" s="3">
        <v>73</v>
      </c>
      <c r="D2837" s="3">
        <v>59</v>
      </c>
      <c r="E2837" s="3">
        <v>-2503.872</v>
      </c>
      <c r="F2837" s="4" t="str">
        <f>HYPERLINK("http://141.218.60.56/~jnz1568/getInfo.php?workbook=14_04.xlsx&amp;sheet=A0&amp;row=2837&amp;col=6&amp;number=38.67&amp;sourceID=14","38.67")</f>
        <v>38.67</v>
      </c>
      <c r="G2837" s="4" t="str">
        <f>HYPERLINK("http://141.218.60.56/~jnz1568/getInfo.php?workbook=14_04.xlsx&amp;sheet=A0&amp;row=2837&amp;col=7&amp;number=0&amp;sourceID=14","0")</f>
        <v>0</v>
      </c>
    </row>
    <row r="2838" spans="1:7">
      <c r="A2838" s="3">
        <v>14</v>
      </c>
      <c r="B2838" s="3">
        <v>4</v>
      </c>
      <c r="C2838" s="3">
        <v>74</v>
      </c>
      <c r="D2838" s="3">
        <v>59</v>
      </c>
      <c r="E2838" s="3">
        <v>-2412.6</v>
      </c>
      <c r="F2838" s="4" t="str">
        <f>HYPERLINK("http://141.218.60.56/~jnz1568/getInfo.php?workbook=14_04.xlsx&amp;sheet=A0&amp;row=2838&amp;col=6&amp;number=2.241&amp;sourceID=14","2.241")</f>
        <v>2.241</v>
      </c>
      <c r="G2838" s="4" t="str">
        <f>HYPERLINK("http://141.218.60.56/~jnz1568/getInfo.php?workbook=14_04.xlsx&amp;sheet=A0&amp;row=2838&amp;col=7&amp;number=0&amp;sourceID=14","0")</f>
        <v>0</v>
      </c>
    </row>
    <row r="2839" spans="1:7">
      <c r="A2839" s="3">
        <v>14</v>
      </c>
      <c r="B2839" s="3">
        <v>4</v>
      </c>
      <c r="C2839" s="3">
        <v>75</v>
      </c>
      <c r="D2839" s="3">
        <v>59</v>
      </c>
      <c r="E2839" s="3">
        <v>-2305.9</v>
      </c>
      <c r="F2839" s="4" t="str">
        <f>HYPERLINK("http://141.218.60.56/~jnz1568/getInfo.php?workbook=14_04.xlsx&amp;sheet=A0&amp;row=2839&amp;col=6&amp;number=10.26&amp;sourceID=14","10.26")</f>
        <v>10.26</v>
      </c>
      <c r="G2839" s="4" t="str">
        <f>HYPERLINK("http://141.218.60.56/~jnz1568/getInfo.php?workbook=14_04.xlsx&amp;sheet=A0&amp;row=2839&amp;col=7&amp;number=0&amp;sourceID=14","0")</f>
        <v>0</v>
      </c>
    </row>
    <row r="2840" spans="1:7">
      <c r="A2840" s="3">
        <v>14</v>
      </c>
      <c r="B2840" s="3">
        <v>4</v>
      </c>
      <c r="C2840" s="3">
        <v>76</v>
      </c>
      <c r="D2840" s="3">
        <v>59</v>
      </c>
      <c r="E2840" s="3">
        <v>1812.681</v>
      </c>
      <c r="F2840" s="4" t="str">
        <f>HYPERLINK("http://141.218.60.56/~jnz1568/getInfo.php?workbook=14_04.xlsx&amp;sheet=A0&amp;row=2840&amp;col=6&amp;number=202.1&amp;sourceID=14","202.1")</f>
        <v>202.1</v>
      </c>
      <c r="G2840" s="4" t="str">
        <f>HYPERLINK("http://141.218.60.56/~jnz1568/getInfo.php?workbook=14_04.xlsx&amp;sheet=A0&amp;row=2840&amp;col=7&amp;number=0&amp;sourceID=14","0")</f>
        <v>0</v>
      </c>
    </row>
    <row r="2841" spans="1:7">
      <c r="A2841" s="3">
        <v>14</v>
      </c>
      <c r="B2841" s="3">
        <v>4</v>
      </c>
      <c r="C2841" s="3">
        <v>77</v>
      </c>
      <c r="D2841" s="3">
        <v>59</v>
      </c>
      <c r="E2841" s="3">
        <v>1783.266</v>
      </c>
      <c r="F2841" s="4" t="str">
        <f>HYPERLINK("http://141.218.60.56/~jnz1568/getInfo.php?workbook=14_04.xlsx&amp;sheet=A0&amp;row=2841&amp;col=6&amp;number=193.2&amp;sourceID=14","193.2")</f>
        <v>193.2</v>
      </c>
      <c r="G2841" s="4" t="str">
        <f>HYPERLINK("http://141.218.60.56/~jnz1568/getInfo.php?workbook=14_04.xlsx&amp;sheet=A0&amp;row=2841&amp;col=7&amp;number=0&amp;sourceID=14","0")</f>
        <v>0</v>
      </c>
    </row>
    <row r="2842" spans="1:7">
      <c r="A2842" s="3">
        <v>14</v>
      </c>
      <c r="B2842" s="3">
        <v>4</v>
      </c>
      <c r="C2842" s="3">
        <v>78</v>
      </c>
      <c r="D2842" s="3">
        <v>59</v>
      </c>
      <c r="E2842" s="3">
        <v>-2029.267</v>
      </c>
      <c r="F2842" s="4" t="str">
        <f>HYPERLINK("http://141.218.60.56/~jnz1568/getInfo.php?workbook=14_04.xlsx&amp;sheet=A0&amp;row=2842&amp;col=6&amp;number=107.1&amp;sourceID=14","107.1")</f>
        <v>107.1</v>
      </c>
      <c r="G2842" s="4" t="str">
        <f>HYPERLINK("http://141.218.60.56/~jnz1568/getInfo.php?workbook=14_04.xlsx&amp;sheet=A0&amp;row=2842&amp;col=7&amp;number=0&amp;sourceID=14","0")</f>
        <v>0</v>
      </c>
    </row>
    <row r="2843" spans="1:7">
      <c r="A2843" s="3">
        <v>14</v>
      </c>
      <c r="B2843" s="3">
        <v>4</v>
      </c>
      <c r="C2843" s="3">
        <v>79</v>
      </c>
      <c r="D2843" s="3">
        <v>59</v>
      </c>
      <c r="E2843" s="3">
        <v>-2011.359</v>
      </c>
      <c r="F2843" s="4" t="str">
        <f>HYPERLINK("http://141.218.60.56/~jnz1568/getInfo.php?workbook=14_04.xlsx&amp;sheet=A0&amp;row=2843&amp;col=6&amp;number=108.9&amp;sourceID=14","108.9")</f>
        <v>108.9</v>
      </c>
      <c r="G2843" s="4" t="str">
        <f>HYPERLINK("http://141.218.60.56/~jnz1568/getInfo.php?workbook=14_04.xlsx&amp;sheet=A0&amp;row=2843&amp;col=7&amp;number=0&amp;sourceID=14","0")</f>
        <v>0</v>
      </c>
    </row>
    <row r="2844" spans="1:7">
      <c r="A2844" s="3">
        <v>14</v>
      </c>
      <c r="B2844" s="3">
        <v>4</v>
      </c>
      <c r="C2844" s="3">
        <v>81</v>
      </c>
      <c r="D2844" s="3">
        <v>59</v>
      </c>
      <c r="E2844" s="3">
        <v>1510.531</v>
      </c>
      <c r="F2844" s="4" t="str">
        <f>HYPERLINK("http://141.218.60.56/~jnz1568/getInfo.php?workbook=14_04.xlsx&amp;sheet=A0&amp;row=2844&amp;col=6&amp;number=1.505&amp;sourceID=14","1.505")</f>
        <v>1.505</v>
      </c>
      <c r="G2844" s="4" t="str">
        <f>HYPERLINK("http://141.218.60.56/~jnz1568/getInfo.php?workbook=14_04.xlsx&amp;sheet=A0&amp;row=2844&amp;col=7&amp;number=0&amp;sourceID=14","0")</f>
        <v>0</v>
      </c>
    </row>
    <row r="2845" spans="1:7">
      <c r="A2845" s="3">
        <v>14</v>
      </c>
      <c r="B2845" s="3">
        <v>4</v>
      </c>
      <c r="C2845" s="3">
        <v>82</v>
      </c>
      <c r="D2845" s="3">
        <v>59</v>
      </c>
      <c r="E2845" s="3">
        <v>-1624.348</v>
      </c>
      <c r="F2845" s="4" t="str">
        <f>HYPERLINK("http://141.218.60.56/~jnz1568/getInfo.php?workbook=14_04.xlsx&amp;sheet=A0&amp;row=2845&amp;col=6&amp;number=0.1543&amp;sourceID=14","0.1543")</f>
        <v>0.1543</v>
      </c>
      <c r="G2845" s="4" t="str">
        <f>HYPERLINK("http://141.218.60.56/~jnz1568/getInfo.php?workbook=14_04.xlsx&amp;sheet=A0&amp;row=2845&amp;col=7&amp;number=0&amp;sourceID=14","0")</f>
        <v>0</v>
      </c>
    </row>
    <row r="2846" spans="1:7">
      <c r="A2846" s="3">
        <v>14</v>
      </c>
      <c r="B2846" s="3">
        <v>4</v>
      </c>
      <c r="C2846" s="3">
        <v>83</v>
      </c>
      <c r="D2846" s="3">
        <v>59</v>
      </c>
      <c r="E2846" s="3">
        <v>-816.452</v>
      </c>
      <c r="F2846" s="4" t="str">
        <f>HYPERLINK("http://141.218.60.56/~jnz1568/getInfo.php?workbook=14_04.xlsx&amp;sheet=A0&amp;row=2846&amp;col=6&amp;number=8281000&amp;sourceID=14","8281000")</f>
        <v>8281000</v>
      </c>
      <c r="G2846" s="4" t="str">
        <f>HYPERLINK("http://141.218.60.56/~jnz1568/getInfo.php?workbook=14_04.xlsx&amp;sheet=A0&amp;row=2846&amp;col=7&amp;number=0&amp;sourceID=14","0")</f>
        <v>0</v>
      </c>
    </row>
    <row r="2847" spans="1:7">
      <c r="A2847" s="3">
        <v>14</v>
      </c>
      <c r="B2847" s="3">
        <v>4</v>
      </c>
      <c r="C2847" s="3">
        <v>85</v>
      </c>
      <c r="D2847" s="3">
        <v>59</v>
      </c>
      <c r="E2847" s="3">
        <v>-729.909</v>
      </c>
      <c r="F2847" s="4" t="str">
        <f>HYPERLINK("http://141.218.60.56/~jnz1568/getInfo.php?workbook=14_04.xlsx&amp;sheet=A0&amp;row=2847&amp;col=6&amp;number=8.009&amp;sourceID=14","8.009")</f>
        <v>8.009</v>
      </c>
      <c r="G2847" s="4" t="str">
        <f>HYPERLINK("http://141.218.60.56/~jnz1568/getInfo.php?workbook=14_04.xlsx&amp;sheet=A0&amp;row=2847&amp;col=7&amp;number=0&amp;sourceID=14","0")</f>
        <v>0</v>
      </c>
    </row>
    <row r="2848" spans="1:7">
      <c r="A2848" s="3">
        <v>14</v>
      </c>
      <c r="B2848" s="3">
        <v>4</v>
      </c>
      <c r="C2848" s="3">
        <v>86</v>
      </c>
      <c r="D2848" s="3">
        <v>59</v>
      </c>
      <c r="E2848" s="3">
        <v>-729.263</v>
      </c>
      <c r="F2848" s="4" t="str">
        <f>HYPERLINK("http://141.218.60.56/~jnz1568/getInfo.php?workbook=14_04.xlsx&amp;sheet=A0&amp;row=2848&amp;col=6&amp;number=5.988&amp;sourceID=14","5.988")</f>
        <v>5.988</v>
      </c>
      <c r="G2848" s="4" t="str">
        <f>HYPERLINK("http://141.218.60.56/~jnz1568/getInfo.php?workbook=14_04.xlsx&amp;sheet=A0&amp;row=2848&amp;col=7&amp;number=0&amp;sourceID=14","0")</f>
        <v>0</v>
      </c>
    </row>
    <row r="2849" spans="1:7">
      <c r="A2849" s="3">
        <v>14</v>
      </c>
      <c r="B2849" s="3">
        <v>4</v>
      </c>
      <c r="C2849" s="3">
        <v>87</v>
      </c>
      <c r="D2849" s="3">
        <v>59</v>
      </c>
      <c r="E2849" s="3">
        <v>664.215</v>
      </c>
      <c r="F2849" s="4" t="str">
        <f>HYPERLINK("http://141.218.60.56/~jnz1568/getInfo.php?workbook=14_04.xlsx&amp;sheet=A0&amp;row=2849&amp;col=6&amp;number=4.403&amp;sourceID=14","4.403")</f>
        <v>4.403</v>
      </c>
      <c r="G2849" s="4" t="str">
        <f>HYPERLINK("http://141.218.60.56/~jnz1568/getInfo.php?workbook=14_04.xlsx&amp;sheet=A0&amp;row=2849&amp;col=7&amp;number=0&amp;sourceID=14","0")</f>
        <v>0</v>
      </c>
    </row>
    <row r="2850" spans="1:7">
      <c r="A2850" s="3">
        <v>14</v>
      </c>
      <c r="B2850" s="3">
        <v>4</v>
      </c>
      <c r="C2850" s="3">
        <v>88</v>
      </c>
      <c r="D2850" s="3">
        <v>59</v>
      </c>
      <c r="E2850" s="3">
        <v>-714.407</v>
      </c>
      <c r="F2850" s="4" t="str">
        <f>HYPERLINK("http://141.218.60.56/~jnz1568/getInfo.php?workbook=14_04.xlsx&amp;sheet=A0&amp;row=2850&amp;col=6&amp;number=0.2885&amp;sourceID=14","0.2885")</f>
        <v>0.2885</v>
      </c>
      <c r="G2850" s="4" t="str">
        <f>HYPERLINK("http://141.218.60.56/~jnz1568/getInfo.php?workbook=14_04.xlsx&amp;sheet=A0&amp;row=2850&amp;col=7&amp;number=0&amp;sourceID=14","0")</f>
        <v>0</v>
      </c>
    </row>
    <row r="2851" spans="1:7">
      <c r="A2851" s="3">
        <v>14</v>
      </c>
      <c r="B2851" s="3">
        <v>4</v>
      </c>
      <c r="C2851" s="3">
        <v>89</v>
      </c>
      <c r="D2851" s="3">
        <v>59</v>
      </c>
      <c r="E2851" s="3">
        <v>-686.895</v>
      </c>
      <c r="F2851" s="4" t="str">
        <f>HYPERLINK("http://141.218.60.56/~jnz1568/getInfo.php?workbook=14_04.xlsx&amp;sheet=A0&amp;row=2851&amp;col=6&amp;number=52870&amp;sourceID=14","52870")</f>
        <v>52870</v>
      </c>
      <c r="G2851" s="4" t="str">
        <f>HYPERLINK("http://141.218.60.56/~jnz1568/getInfo.php?workbook=14_04.xlsx&amp;sheet=A0&amp;row=2851&amp;col=7&amp;number=0&amp;sourceID=14","0")</f>
        <v>0</v>
      </c>
    </row>
    <row r="2852" spans="1:7">
      <c r="A2852" s="3">
        <v>14</v>
      </c>
      <c r="B2852" s="3">
        <v>4</v>
      </c>
      <c r="C2852" s="3">
        <v>90</v>
      </c>
      <c r="D2852" s="3">
        <v>59</v>
      </c>
      <c r="E2852" s="3">
        <v>644.601</v>
      </c>
      <c r="F2852" s="4" t="str">
        <f>HYPERLINK("http://141.218.60.56/~jnz1568/getInfo.php?workbook=14_04.xlsx&amp;sheet=A0&amp;row=2852&amp;col=6&amp;number=584300&amp;sourceID=14","584300")</f>
        <v>584300</v>
      </c>
      <c r="G2852" s="4" t="str">
        <f>HYPERLINK("http://141.218.60.56/~jnz1568/getInfo.php?workbook=14_04.xlsx&amp;sheet=A0&amp;row=2852&amp;col=7&amp;number=0&amp;sourceID=14","0")</f>
        <v>0</v>
      </c>
    </row>
    <row r="2853" spans="1:7">
      <c r="A2853" s="3">
        <v>14</v>
      </c>
      <c r="B2853" s="3">
        <v>4</v>
      </c>
      <c r="C2853" s="3">
        <v>91</v>
      </c>
      <c r="D2853" s="3">
        <v>59</v>
      </c>
      <c r="E2853" s="3">
        <v>644.946</v>
      </c>
      <c r="F2853" s="4" t="str">
        <f>HYPERLINK("http://141.218.60.56/~jnz1568/getInfo.php?workbook=14_04.xlsx&amp;sheet=A0&amp;row=2853&amp;col=6&amp;number=2359000&amp;sourceID=14","2359000")</f>
        <v>2359000</v>
      </c>
      <c r="G2853" s="4" t="str">
        <f>HYPERLINK("http://141.218.60.56/~jnz1568/getInfo.php?workbook=14_04.xlsx&amp;sheet=A0&amp;row=2853&amp;col=7&amp;number=0&amp;sourceID=14","0")</f>
        <v>0</v>
      </c>
    </row>
    <row r="2854" spans="1:7">
      <c r="A2854" s="3">
        <v>14</v>
      </c>
      <c r="B2854" s="3">
        <v>4</v>
      </c>
      <c r="C2854" s="3">
        <v>92</v>
      </c>
      <c r="D2854" s="3">
        <v>59</v>
      </c>
      <c r="E2854" s="3">
        <v>629.011</v>
      </c>
      <c r="F2854" s="4" t="str">
        <f>HYPERLINK("http://141.218.60.56/~jnz1568/getInfo.php?workbook=14_04.xlsx&amp;sheet=A0&amp;row=2854&amp;col=6&amp;number=833.1&amp;sourceID=14","833.1")</f>
        <v>833.1</v>
      </c>
      <c r="G2854" s="4" t="str">
        <f>HYPERLINK("http://141.218.60.56/~jnz1568/getInfo.php?workbook=14_04.xlsx&amp;sheet=A0&amp;row=2854&amp;col=7&amp;number=0&amp;sourceID=14","0")</f>
        <v>0</v>
      </c>
    </row>
    <row r="2855" spans="1:7">
      <c r="A2855" s="3">
        <v>14</v>
      </c>
      <c r="B2855" s="3">
        <v>4</v>
      </c>
      <c r="C2855" s="3">
        <v>61</v>
      </c>
      <c r="D2855" s="3">
        <v>60</v>
      </c>
      <c r="E2855" s="3">
        <v>-8379.067</v>
      </c>
      <c r="F2855" s="4" t="str">
        <f>HYPERLINK("http://141.218.60.56/~jnz1568/getInfo.php?workbook=14_04.xlsx&amp;sheet=A0&amp;row=2855&amp;col=6&amp;number=1619000&amp;sourceID=14","1619000")</f>
        <v>1619000</v>
      </c>
      <c r="G2855" s="4" t="str">
        <f>HYPERLINK("http://141.218.60.56/~jnz1568/getInfo.php?workbook=14_04.xlsx&amp;sheet=A0&amp;row=2855&amp;col=7&amp;number=0&amp;sourceID=14","0")</f>
        <v>0</v>
      </c>
    </row>
    <row r="2856" spans="1:7">
      <c r="A2856" s="3">
        <v>14</v>
      </c>
      <c r="B2856" s="3">
        <v>4</v>
      </c>
      <c r="C2856" s="3">
        <v>62</v>
      </c>
      <c r="D2856" s="3">
        <v>60</v>
      </c>
      <c r="E2856" s="3">
        <v>-13230.929</v>
      </c>
      <c r="F2856" s="4" t="str">
        <f>HYPERLINK("http://141.218.60.56/~jnz1568/getInfo.php?workbook=14_04.xlsx&amp;sheet=A0&amp;row=2856&amp;col=6&amp;number=238300&amp;sourceID=14","238300")</f>
        <v>238300</v>
      </c>
      <c r="G2856" s="4" t="str">
        <f>HYPERLINK("http://141.218.60.56/~jnz1568/getInfo.php?workbook=14_04.xlsx&amp;sheet=A0&amp;row=2856&amp;col=7&amp;number=0&amp;sourceID=14","0")</f>
        <v>0</v>
      </c>
    </row>
    <row r="2857" spans="1:7">
      <c r="A2857" s="3">
        <v>14</v>
      </c>
      <c r="B2857" s="3">
        <v>4</v>
      </c>
      <c r="C2857" s="3">
        <v>63</v>
      </c>
      <c r="D2857" s="3">
        <v>60</v>
      </c>
      <c r="E2857" s="3">
        <v>-8203.614</v>
      </c>
      <c r="F2857" s="4" t="str">
        <f>HYPERLINK("http://141.218.60.56/~jnz1568/getInfo.php?workbook=14_04.xlsx&amp;sheet=A0&amp;row=2857&amp;col=6&amp;number=77940&amp;sourceID=14","77940")</f>
        <v>77940</v>
      </c>
      <c r="G2857" s="4" t="str">
        <f>HYPERLINK("http://141.218.60.56/~jnz1568/getInfo.php?workbook=14_04.xlsx&amp;sheet=A0&amp;row=2857&amp;col=7&amp;number=0&amp;sourceID=14","0")</f>
        <v>0</v>
      </c>
    </row>
    <row r="2858" spans="1:7">
      <c r="A2858" s="3">
        <v>14</v>
      </c>
      <c r="B2858" s="3">
        <v>4</v>
      </c>
      <c r="C2858" s="3">
        <v>65</v>
      </c>
      <c r="D2858" s="3">
        <v>60</v>
      </c>
      <c r="E2858" s="3">
        <v>-5156.888</v>
      </c>
      <c r="F2858" s="4" t="str">
        <f>HYPERLINK("http://141.218.60.56/~jnz1568/getInfo.php?workbook=14_04.xlsx&amp;sheet=A0&amp;row=2858&amp;col=6&amp;number=7063000&amp;sourceID=14","7063000")</f>
        <v>7063000</v>
      </c>
      <c r="G2858" s="4" t="str">
        <f>HYPERLINK("http://141.218.60.56/~jnz1568/getInfo.php?workbook=14_04.xlsx&amp;sheet=A0&amp;row=2858&amp;col=7&amp;number=0&amp;sourceID=14","0")</f>
        <v>0</v>
      </c>
    </row>
    <row r="2859" spans="1:7">
      <c r="A2859" s="3">
        <v>14</v>
      </c>
      <c r="B2859" s="3">
        <v>4</v>
      </c>
      <c r="C2859" s="3">
        <v>66</v>
      </c>
      <c r="D2859" s="3">
        <v>60</v>
      </c>
      <c r="E2859" s="3">
        <v>-5197.547</v>
      </c>
      <c r="F2859" s="4" t="str">
        <f>HYPERLINK("http://141.218.60.56/~jnz1568/getInfo.php?workbook=14_04.xlsx&amp;sheet=A0&amp;row=2859&amp;col=6&amp;number=418200&amp;sourceID=14","418200")</f>
        <v>418200</v>
      </c>
      <c r="G2859" s="4" t="str">
        <f>HYPERLINK("http://141.218.60.56/~jnz1568/getInfo.php?workbook=14_04.xlsx&amp;sheet=A0&amp;row=2859&amp;col=7&amp;number=0&amp;sourceID=14","0")</f>
        <v>0</v>
      </c>
    </row>
    <row r="2860" spans="1:7">
      <c r="A2860" s="3">
        <v>14</v>
      </c>
      <c r="B2860" s="3">
        <v>4</v>
      </c>
      <c r="C2860" s="3">
        <v>67</v>
      </c>
      <c r="D2860" s="3">
        <v>60</v>
      </c>
      <c r="E2860" s="3">
        <v>-4207.883</v>
      </c>
      <c r="F2860" s="4" t="str">
        <f>HYPERLINK("http://141.218.60.56/~jnz1568/getInfo.php?workbook=14_04.xlsx&amp;sheet=A0&amp;row=2860&amp;col=6&amp;number=160600&amp;sourceID=14","160600")</f>
        <v>160600</v>
      </c>
      <c r="G2860" s="4" t="str">
        <f>HYPERLINK("http://141.218.60.56/~jnz1568/getInfo.php?workbook=14_04.xlsx&amp;sheet=A0&amp;row=2860&amp;col=7&amp;number=0&amp;sourceID=14","0")</f>
        <v>0</v>
      </c>
    </row>
    <row r="2861" spans="1:7">
      <c r="A2861" s="3">
        <v>14</v>
      </c>
      <c r="B2861" s="3">
        <v>4</v>
      </c>
      <c r="C2861" s="3">
        <v>68</v>
      </c>
      <c r="D2861" s="3">
        <v>60</v>
      </c>
      <c r="E2861" s="3">
        <v>-4072.327</v>
      </c>
      <c r="F2861" s="4" t="str">
        <f>HYPERLINK("http://141.218.60.56/~jnz1568/getInfo.php?workbook=14_04.xlsx&amp;sheet=A0&amp;row=2861&amp;col=6&amp;number=373800&amp;sourceID=14","373800")</f>
        <v>373800</v>
      </c>
      <c r="G2861" s="4" t="str">
        <f>HYPERLINK("http://141.218.60.56/~jnz1568/getInfo.php?workbook=14_04.xlsx&amp;sheet=A0&amp;row=2861&amp;col=7&amp;number=0&amp;sourceID=14","0")</f>
        <v>0</v>
      </c>
    </row>
    <row r="2862" spans="1:7">
      <c r="A2862" s="3">
        <v>14</v>
      </c>
      <c r="B2862" s="3">
        <v>4</v>
      </c>
      <c r="C2862" s="3">
        <v>69</v>
      </c>
      <c r="D2862" s="3">
        <v>60</v>
      </c>
      <c r="E2862" s="3">
        <v>-3942.047</v>
      </c>
      <c r="F2862" s="4" t="str">
        <f>HYPERLINK("http://141.218.60.56/~jnz1568/getInfo.php?workbook=14_04.xlsx&amp;sheet=A0&amp;row=2862&amp;col=6&amp;number=0.2983&amp;sourceID=14","0.2983")</f>
        <v>0.2983</v>
      </c>
      <c r="G2862" s="4" t="str">
        <f>HYPERLINK("http://141.218.60.56/~jnz1568/getInfo.php?workbook=14_04.xlsx&amp;sheet=A0&amp;row=2862&amp;col=7&amp;number=0&amp;sourceID=14","0")</f>
        <v>0</v>
      </c>
    </row>
    <row r="2863" spans="1:7">
      <c r="A2863" s="3">
        <v>14</v>
      </c>
      <c r="B2863" s="3">
        <v>4</v>
      </c>
      <c r="C2863" s="3">
        <v>70</v>
      </c>
      <c r="D2863" s="3">
        <v>60</v>
      </c>
      <c r="E2863" s="3">
        <v>-3472.121</v>
      </c>
      <c r="F2863" s="4" t="str">
        <f>HYPERLINK("http://141.218.60.56/~jnz1568/getInfo.php?workbook=14_04.xlsx&amp;sheet=A0&amp;row=2863&amp;col=6&amp;number=0.1776&amp;sourceID=14","0.1776")</f>
        <v>0.1776</v>
      </c>
      <c r="G2863" s="4" t="str">
        <f>HYPERLINK("http://141.218.60.56/~jnz1568/getInfo.php?workbook=14_04.xlsx&amp;sheet=A0&amp;row=2863&amp;col=7&amp;number=0&amp;sourceID=14","0")</f>
        <v>0</v>
      </c>
    </row>
    <row r="2864" spans="1:7">
      <c r="A2864" s="3">
        <v>14</v>
      </c>
      <c r="B2864" s="3">
        <v>4</v>
      </c>
      <c r="C2864" s="3">
        <v>71</v>
      </c>
      <c r="D2864" s="3">
        <v>60</v>
      </c>
      <c r="E2864" s="3">
        <v>-3309.911</v>
      </c>
      <c r="F2864" s="4" t="str">
        <f>HYPERLINK("http://141.218.60.56/~jnz1568/getInfo.php?workbook=14_04.xlsx&amp;sheet=A0&amp;row=2864&amp;col=6&amp;number=4.897&amp;sourceID=14","4.897")</f>
        <v>4.897</v>
      </c>
      <c r="G2864" s="4" t="str">
        <f>HYPERLINK("http://141.218.60.56/~jnz1568/getInfo.php?workbook=14_04.xlsx&amp;sheet=A0&amp;row=2864&amp;col=7&amp;number=0&amp;sourceID=14","0")</f>
        <v>0</v>
      </c>
    </row>
    <row r="2865" spans="1:7">
      <c r="A2865" s="3">
        <v>14</v>
      </c>
      <c r="B2865" s="3">
        <v>4</v>
      </c>
      <c r="C2865" s="3">
        <v>72</v>
      </c>
      <c r="D2865" s="3">
        <v>60</v>
      </c>
      <c r="E2865" s="3">
        <v>-3087.402</v>
      </c>
      <c r="F2865" s="4" t="str">
        <f>HYPERLINK("http://141.218.60.56/~jnz1568/getInfo.php?workbook=14_04.xlsx&amp;sheet=A0&amp;row=2865&amp;col=6&amp;number=95830000&amp;sourceID=14","95830000")</f>
        <v>95830000</v>
      </c>
      <c r="G2865" s="4" t="str">
        <f>HYPERLINK("http://141.218.60.56/~jnz1568/getInfo.php?workbook=14_04.xlsx&amp;sheet=A0&amp;row=2865&amp;col=7&amp;number=0&amp;sourceID=14","0")</f>
        <v>0</v>
      </c>
    </row>
    <row r="2866" spans="1:7">
      <c r="A2866" s="3">
        <v>14</v>
      </c>
      <c r="B2866" s="3">
        <v>4</v>
      </c>
      <c r="C2866" s="3">
        <v>74</v>
      </c>
      <c r="D2866" s="3">
        <v>60</v>
      </c>
      <c r="E2866" s="3">
        <v>-2839.496</v>
      </c>
      <c r="F2866" s="4" t="str">
        <f>HYPERLINK("http://141.218.60.56/~jnz1568/getInfo.php?workbook=14_04.xlsx&amp;sheet=A0&amp;row=2866&amp;col=6&amp;number=0.2878&amp;sourceID=14","0.2878")</f>
        <v>0.2878</v>
      </c>
      <c r="G2866" s="4" t="str">
        <f>HYPERLINK("http://141.218.60.56/~jnz1568/getInfo.php?workbook=14_04.xlsx&amp;sheet=A0&amp;row=2866&amp;col=7&amp;number=0&amp;sourceID=14","0")</f>
        <v>0</v>
      </c>
    </row>
    <row r="2867" spans="1:7">
      <c r="A2867" s="3">
        <v>14</v>
      </c>
      <c r="B2867" s="3">
        <v>4</v>
      </c>
      <c r="C2867" s="3">
        <v>75</v>
      </c>
      <c r="D2867" s="3">
        <v>60</v>
      </c>
      <c r="E2867" s="3">
        <v>-2692.842</v>
      </c>
      <c r="F2867" s="4" t="str">
        <f>HYPERLINK("http://141.218.60.56/~jnz1568/getInfo.php?workbook=14_04.xlsx&amp;sheet=A0&amp;row=2867&amp;col=6&amp;number=9.599&amp;sourceID=14","9.599")</f>
        <v>9.599</v>
      </c>
      <c r="G2867" s="4" t="str">
        <f>HYPERLINK("http://141.218.60.56/~jnz1568/getInfo.php?workbook=14_04.xlsx&amp;sheet=A0&amp;row=2867&amp;col=7&amp;number=0&amp;sourceID=14","0")</f>
        <v>0</v>
      </c>
    </row>
    <row r="2868" spans="1:7">
      <c r="A2868" s="3">
        <v>14</v>
      </c>
      <c r="B2868" s="3">
        <v>4</v>
      </c>
      <c r="C2868" s="3">
        <v>76</v>
      </c>
      <c r="D2868" s="3">
        <v>60</v>
      </c>
      <c r="E2868" s="3">
        <v>-2510.486</v>
      </c>
      <c r="F2868" s="4" t="str">
        <f>HYPERLINK("http://141.218.60.56/~jnz1568/getInfo.php?workbook=14_04.xlsx&amp;sheet=A0&amp;row=2868&amp;col=6&amp;number=0.01753&amp;sourceID=14","0.01753")</f>
        <v>0.01753</v>
      </c>
      <c r="G2868" s="4" t="str">
        <f>HYPERLINK("http://141.218.60.56/~jnz1568/getInfo.php?workbook=14_04.xlsx&amp;sheet=A0&amp;row=2868&amp;col=7&amp;number=0&amp;sourceID=14","0")</f>
        <v>0</v>
      </c>
    </row>
    <row r="2869" spans="1:7">
      <c r="A2869" s="3">
        <v>14</v>
      </c>
      <c r="B2869" s="3">
        <v>4</v>
      </c>
      <c r="C2869" s="3">
        <v>77</v>
      </c>
      <c r="D2869" s="3">
        <v>60</v>
      </c>
      <c r="E2869" s="3">
        <v>-2365.392</v>
      </c>
      <c r="F2869" s="4" t="str">
        <f>HYPERLINK("http://141.218.60.56/~jnz1568/getInfo.php?workbook=14_04.xlsx&amp;sheet=A0&amp;row=2869&amp;col=6&amp;number=2.152&amp;sourceID=14","2.152")</f>
        <v>2.152</v>
      </c>
      <c r="G2869" s="4" t="str">
        <f>HYPERLINK("http://141.218.60.56/~jnz1568/getInfo.php?workbook=14_04.xlsx&amp;sheet=A0&amp;row=2869&amp;col=7&amp;number=0&amp;sourceID=14","0")</f>
        <v>0</v>
      </c>
    </row>
    <row r="2870" spans="1:7">
      <c r="A2870" s="3">
        <v>14</v>
      </c>
      <c r="B2870" s="3">
        <v>4</v>
      </c>
      <c r="C2870" s="3">
        <v>78</v>
      </c>
      <c r="D2870" s="3">
        <v>60</v>
      </c>
      <c r="E2870" s="3">
        <v>-2323.024</v>
      </c>
      <c r="F2870" s="4" t="str">
        <f>HYPERLINK("http://141.218.60.56/~jnz1568/getInfo.php?workbook=14_04.xlsx&amp;sheet=A0&amp;row=2870&amp;col=6&amp;number=0.07323&amp;sourceID=14","0.07323")</f>
        <v>0.07323</v>
      </c>
      <c r="G2870" s="4" t="str">
        <f>HYPERLINK("http://141.218.60.56/~jnz1568/getInfo.php?workbook=14_04.xlsx&amp;sheet=A0&amp;row=2870&amp;col=7&amp;number=0&amp;sourceID=14","0")</f>
        <v>0</v>
      </c>
    </row>
    <row r="2871" spans="1:7">
      <c r="A2871" s="3">
        <v>14</v>
      </c>
      <c r="B2871" s="3">
        <v>4</v>
      </c>
      <c r="C2871" s="3">
        <v>79</v>
      </c>
      <c r="D2871" s="3">
        <v>60</v>
      </c>
      <c r="E2871" s="3">
        <v>-2299.586</v>
      </c>
      <c r="F2871" s="4" t="str">
        <f>HYPERLINK("http://141.218.60.56/~jnz1568/getInfo.php?workbook=14_04.xlsx&amp;sheet=A0&amp;row=2871&amp;col=6&amp;number=0.203&amp;sourceID=14","0.203")</f>
        <v>0.203</v>
      </c>
      <c r="G2871" s="4" t="str">
        <f>HYPERLINK("http://141.218.60.56/~jnz1568/getInfo.php?workbook=14_04.xlsx&amp;sheet=A0&amp;row=2871&amp;col=7&amp;number=0&amp;sourceID=14","0")</f>
        <v>0</v>
      </c>
    </row>
    <row r="2872" spans="1:7">
      <c r="A2872" s="3">
        <v>14</v>
      </c>
      <c r="B2872" s="3">
        <v>4</v>
      </c>
      <c r="C2872" s="3">
        <v>80</v>
      </c>
      <c r="D2872" s="3">
        <v>60</v>
      </c>
      <c r="E2872" s="3">
        <v>-2179.368</v>
      </c>
      <c r="F2872" s="4" t="str">
        <f>HYPERLINK("http://141.218.60.56/~jnz1568/getInfo.php?workbook=14_04.xlsx&amp;sheet=A0&amp;row=2872&amp;col=6&amp;number=351100000&amp;sourceID=14","351100000")</f>
        <v>351100000</v>
      </c>
      <c r="G2872" s="4" t="str">
        <f>HYPERLINK("http://141.218.60.56/~jnz1568/getInfo.php?workbook=14_04.xlsx&amp;sheet=A0&amp;row=2872&amp;col=7&amp;number=0&amp;sourceID=14","0")</f>
        <v>0</v>
      </c>
    </row>
    <row r="2873" spans="1:7">
      <c r="A2873" s="3">
        <v>14</v>
      </c>
      <c r="B2873" s="3">
        <v>4</v>
      </c>
      <c r="C2873" s="3">
        <v>81</v>
      </c>
      <c r="D2873" s="3">
        <v>60</v>
      </c>
      <c r="E2873" s="3">
        <v>-1865.655</v>
      </c>
      <c r="F2873" s="4" t="str">
        <f>HYPERLINK("http://141.218.60.56/~jnz1568/getInfo.php?workbook=14_04.xlsx&amp;sheet=A0&amp;row=2873&amp;col=6&amp;number=172.7&amp;sourceID=14","172.7")</f>
        <v>172.7</v>
      </c>
      <c r="G2873" s="4" t="str">
        <f>HYPERLINK("http://141.218.60.56/~jnz1568/getInfo.php?workbook=14_04.xlsx&amp;sheet=A0&amp;row=2873&amp;col=7&amp;number=0&amp;sourceID=14","0")</f>
        <v>0</v>
      </c>
    </row>
    <row r="2874" spans="1:7">
      <c r="A2874" s="3">
        <v>14</v>
      </c>
      <c r="B2874" s="3">
        <v>4</v>
      </c>
      <c r="C2874" s="3">
        <v>82</v>
      </c>
      <c r="D2874" s="3">
        <v>60</v>
      </c>
      <c r="E2874" s="3">
        <v>-1807.285</v>
      </c>
      <c r="F2874" s="4" t="str">
        <f>HYPERLINK("http://141.218.60.56/~jnz1568/getInfo.php?workbook=14_04.xlsx&amp;sheet=A0&amp;row=2874&amp;col=6&amp;number=238.8&amp;sourceID=14","238.8")</f>
        <v>238.8</v>
      </c>
      <c r="G2874" s="4" t="str">
        <f>HYPERLINK("http://141.218.60.56/~jnz1568/getInfo.php?workbook=14_04.xlsx&amp;sheet=A0&amp;row=2874&amp;col=7&amp;number=0&amp;sourceID=14","0")</f>
        <v>0</v>
      </c>
    </row>
    <row r="2875" spans="1:7">
      <c r="A2875" s="3">
        <v>14</v>
      </c>
      <c r="B2875" s="3">
        <v>4</v>
      </c>
      <c r="C2875" s="3">
        <v>83</v>
      </c>
      <c r="D2875" s="3">
        <v>60</v>
      </c>
      <c r="E2875" s="3">
        <v>-860.218</v>
      </c>
      <c r="F2875" s="4" t="str">
        <f>HYPERLINK("http://141.218.60.56/~jnz1568/getInfo.php?workbook=14_04.xlsx&amp;sheet=A0&amp;row=2875&amp;col=6&amp;number=523700&amp;sourceID=14","523700")</f>
        <v>523700</v>
      </c>
      <c r="G2875" s="4" t="str">
        <f>HYPERLINK("http://141.218.60.56/~jnz1568/getInfo.php?workbook=14_04.xlsx&amp;sheet=A0&amp;row=2875&amp;col=7&amp;number=0&amp;sourceID=14","0")</f>
        <v>0</v>
      </c>
    </row>
    <row r="2876" spans="1:7">
      <c r="A2876" s="3">
        <v>14</v>
      </c>
      <c r="B2876" s="3">
        <v>4</v>
      </c>
      <c r="C2876" s="3">
        <v>84</v>
      </c>
      <c r="D2876" s="3">
        <v>60</v>
      </c>
      <c r="E2876" s="3">
        <v>-810.113</v>
      </c>
      <c r="F2876" s="4" t="str">
        <f>HYPERLINK("http://141.218.60.56/~jnz1568/getInfo.php?workbook=14_04.xlsx&amp;sheet=A0&amp;row=2876&amp;col=6&amp;number=9787000&amp;sourceID=14","9787000")</f>
        <v>9787000</v>
      </c>
      <c r="G2876" s="4" t="str">
        <f>HYPERLINK("http://141.218.60.56/~jnz1568/getInfo.php?workbook=14_04.xlsx&amp;sheet=A0&amp;row=2876&amp;col=7&amp;number=0&amp;sourceID=14","0")</f>
        <v>0</v>
      </c>
    </row>
    <row r="2877" spans="1:7">
      <c r="A2877" s="3">
        <v>14</v>
      </c>
      <c r="B2877" s="3">
        <v>4</v>
      </c>
      <c r="C2877" s="3">
        <v>85</v>
      </c>
      <c r="D2877" s="3">
        <v>60</v>
      </c>
      <c r="E2877" s="3">
        <v>-764.691</v>
      </c>
      <c r="F2877" s="4" t="str">
        <f>HYPERLINK("http://141.218.60.56/~jnz1568/getInfo.php?workbook=14_04.xlsx&amp;sheet=A0&amp;row=2877&amp;col=6&amp;number=0.004726&amp;sourceID=14","0.004726")</f>
        <v>0.004726</v>
      </c>
      <c r="G2877" s="4" t="str">
        <f>HYPERLINK("http://141.218.60.56/~jnz1568/getInfo.php?workbook=14_04.xlsx&amp;sheet=A0&amp;row=2877&amp;col=7&amp;number=0&amp;sourceID=14","0")</f>
        <v>0</v>
      </c>
    </row>
    <row r="2878" spans="1:7">
      <c r="A2878" s="3">
        <v>14</v>
      </c>
      <c r="B2878" s="3">
        <v>4</v>
      </c>
      <c r="C2878" s="3">
        <v>86</v>
      </c>
      <c r="D2878" s="3">
        <v>60</v>
      </c>
      <c r="E2878" s="3">
        <v>-763.982</v>
      </c>
      <c r="F2878" s="4" t="str">
        <f>HYPERLINK("http://141.218.60.56/~jnz1568/getInfo.php?workbook=14_04.xlsx&amp;sheet=A0&amp;row=2878&amp;col=6&amp;number=10.37&amp;sourceID=14","10.37")</f>
        <v>10.37</v>
      </c>
      <c r="G2878" s="4" t="str">
        <f>HYPERLINK("http://141.218.60.56/~jnz1568/getInfo.php?workbook=14_04.xlsx&amp;sheet=A0&amp;row=2878&amp;col=7&amp;number=0&amp;sourceID=14","0")</f>
        <v>0</v>
      </c>
    </row>
    <row r="2879" spans="1:7">
      <c r="A2879" s="3">
        <v>14</v>
      </c>
      <c r="B2879" s="3">
        <v>4</v>
      </c>
      <c r="C2879" s="3">
        <v>87</v>
      </c>
      <c r="D2879" s="3">
        <v>60</v>
      </c>
      <c r="E2879" s="3">
        <v>-762.304</v>
      </c>
      <c r="F2879" s="4" t="str">
        <f>HYPERLINK("http://141.218.60.56/~jnz1568/getInfo.php?workbook=14_04.xlsx&amp;sheet=A0&amp;row=2879&amp;col=6&amp;number=0.4773&amp;sourceID=14","0.4773")</f>
        <v>0.4773</v>
      </c>
      <c r="G2879" s="4" t="str">
        <f>HYPERLINK("http://141.218.60.56/~jnz1568/getInfo.php?workbook=14_04.xlsx&amp;sheet=A0&amp;row=2879&amp;col=7&amp;number=0&amp;sourceID=14","0")</f>
        <v>0</v>
      </c>
    </row>
    <row r="2880" spans="1:7">
      <c r="A2880" s="3">
        <v>14</v>
      </c>
      <c r="B2880" s="3">
        <v>4</v>
      </c>
      <c r="C2880" s="3">
        <v>88</v>
      </c>
      <c r="D2880" s="3">
        <v>60</v>
      </c>
      <c r="E2880" s="3">
        <v>-747.693</v>
      </c>
      <c r="F2880" s="4" t="str">
        <f>HYPERLINK("http://141.218.60.56/~jnz1568/getInfo.php?workbook=14_04.xlsx&amp;sheet=A0&amp;row=2880&amp;col=6&amp;number=1467&amp;sourceID=14","1467")</f>
        <v>1467</v>
      </c>
      <c r="G2880" s="4" t="str">
        <f>HYPERLINK("http://141.218.60.56/~jnz1568/getInfo.php?workbook=14_04.xlsx&amp;sheet=A0&amp;row=2880&amp;col=7&amp;number=0&amp;sourceID=14","0")</f>
        <v>0</v>
      </c>
    </row>
    <row r="2881" spans="1:7">
      <c r="A2881" s="3">
        <v>14</v>
      </c>
      <c r="B2881" s="3">
        <v>4</v>
      </c>
      <c r="C2881" s="3">
        <v>89</v>
      </c>
      <c r="D2881" s="3">
        <v>60</v>
      </c>
      <c r="E2881" s="3">
        <v>-717.612</v>
      </c>
      <c r="F2881" s="4" t="str">
        <f>HYPERLINK("http://141.218.60.56/~jnz1568/getInfo.php?workbook=14_04.xlsx&amp;sheet=A0&amp;row=2881&amp;col=6&amp;number=53860&amp;sourceID=14","53860")</f>
        <v>53860</v>
      </c>
      <c r="G2881" s="4" t="str">
        <f>HYPERLINK("http://141.218.60.56/~jnz1568/getInfo.php?workbook=14_04.xlsx&amp;sheet=A0&amp;row=2881&amp;col=7&amp;number=0&amp;sourceID=14","0")</f>
        <v>0</v>
      </c>
    </row>
    <row r="2882" spans="1:7">
      <c r="A2882" s="3">
        <v>14</v>
      </c>
      <c r="B2882" s="3">
        <v>4</v>
      </c>
      <c r="C2882" s="3">
        <v>90</v>
      </c>
      <c r="D2882" s="3">
        <v>60</v>
      </c>
      <c r="E2882" s="3">
        <v>-717.349</v>
      </c>
      <c r="F2882" s="4" t="str">
        <f>HYPERLINK("http://141.218.60.56/~jnz1568/getInfo.php?workbook=14_04.xlsx&amp;sheet=A0&amp;row=2882&amp;col=6&amp;number=225000&amp;sourceID=14","225000")</f>
        <v>225000</v>
      </c>
      <c r="G2882" s="4" t="str">
        <f>HYPERLINK("http://141.218.60.56/~jnz1568/getInfo.php?workbook=14_04.xlsx&amp;sheet=A0&amp;row=2882&amp;col=7&amp;number=0&amp;sourceID=14","0")</f>
        <v>0</v>
      </c>
    </row>
    <row r="2883" spans="1:7">
      <c r="A2883" s="3">
        <v>14</v>
      </c>
      <c r="B2883" s="3">
        <v>4</v>
      </c>
      <c r="C2883" s="3">
        <v>92</v>
      </c>
      <c r="D2883" s="3">
        <v>60</v>
      </c>
      <c r="E2883" s="3">
        <v>-692.808</v>
      </c>
      <c r="F2883" s="4" t="str">
        <f>HYPERLINK("http://141.218.60.56/~jnz1568/getInfo.php?workbook=14_04.xlsx&amp;sheet=A0&amp;row=2883&amp;col=6&amp;number=209200000&amp;sourceID=14","209200000")</f>
        <v>209200000</v>
      </c>
      <c r="G2883" s="4" t="str">
        <f>HYPERLINK("http://141.218.60.56/~jnz1568/getInfo.php?workbook=14_04.xlsx&amp;sheet=A0&amp;row=2883&amp;col=7&amp;number=0&amp;sourceID=14","0")</f>
        <v>0</v>
      </c>
    </row>
    <row r="2884" spans="1:7">
      <c r="A2884" s="3">
        <v>14</v>
      </c>
      <c r="B2884" s="3">
        <v>4</v>
      </c>
      <c r="C2884" s="3">
        <v>63</v>
      </c>
      <c r="D2884" s="3">
        <v>61</v>
      </c>
      <c r="E2884" s="3">
        <v>-391777.483</v>
      </c>
      <c r="F2884" s="4" t="str">
        <f>HYPERLINK("http://141.218.60.56/~jnz1568/getInfo.php?workbook=14_04.xlsx&amp;sheet=A0&amp;row=2884&amp;col=6&amp;number=0.000192&amp;sourceID=14","0.000192")</f>
        <v>0.000192</v>
      </c>
      <c r="G2884" s="4" t="str">
        <f>HYPERLINK("http://141.218.60.56/~jnz1568/getInfo.php?workbook=14_04.xlsx&amp;sheet=A0&amp;row=2884&amp;col=7&amp;number=0&amp;sourceID=14","0")</f>
        <v>0</v>
      </c>
    </row>
    <row r="2885" spans="1:7">
      <c r="A2885" s="3">
        <v>14</v>
      </c>
      <c r="B2885" s="3">
        <v>4</v>
      </c>
      <c r="C2885" s="3">
        <v>64</v>
      </c>
      <c r="D2885" s="3">
        <v>61</v>
      </c>
      <c r="E2885" s="3">
        <v>-17596.842</v>
      </c>
      <c r="F2885" s="4" t="str">
        <f>HYPERLINK("http://141.218.60.56/~jnz1568/getInfo.php?workbook=14_04.xlsx&amp;sheet=A0&amp;row=2885&amp;col=6&amp;number=5.197e-05&amp;sourceID=14","5.197e-05")</f>
        <v>5.197e-05</v>
      </c>
      <c r="G2885" s="4" t="str">
        <f>HYPERLINK("http://141.218.60.56/~jnz1568/getInfo.php?workbook=14_04.xlsx&amp;sheet=A0&amp;row=2885&amp;col=7&amp;number=0&amp;sourceID=14","0")</f>
        <v>0</v>
      </c>
    </row>
    <row r="2886" spans="1:7">
      <c r="A2886" s="3">
        <v>14</v>
      </c>
      <c r="B2886" s="3">
        <v>4</v>
      </c>
      <c r="C2886" s="3">
        <v>65</v>
      </c>
      <c r="D2886" s="3">
        <v>61</v>
      </c>
      <c r="E2886" s="3">
        <v>-13410.151</v>
      </c>
      <c r="F2886" s="4" t="str">
        <f>HYPERLINK("http://141.218.60.56/~jnz1568/getInfo.php?workbook=14_04.xlsx&amp;sheet=A0&amp;row=2886&amp;col=6&amp;number=2.884&amp;sourceID=14","2.884")</f>
        <v>2.884</v>
      </c>
      <c r="G2886" s="4" t="str">
        <f>HYPERLINK("http://141.218.60.56/~jnz1568/getInfo.php?workbook=14_04.xlsx&amp;sheet=A0&amp;row=2886&amp;col=7&amp;number=0&amp;sourceID=14","0")</f>
        <v>0</v>
      </c>
    </row>
    <row r="2887" spans="1:7">
      <c r="A2887" s="3">
        <v>14</v>
      </c>
      <c r="B2887" s="3">
        <v>4</v>
      </c>
      <c r="C2887" s="3">
        <v>66</v>
      </c>
      <c r="D2887" s="3">
        <v>61</v>
      </c>
      <c r="E2887" s="3">
        <v>-13688.61</v>
      </c>
      <c r="F2887" s="4" t="str">
        <f>HYPERLINK("http://141.218.60.56/~jnz1568/getInfo.php?workbook=14_04.xlsx&amp;sheet=A0&amp;row=2887&amp;col=6&amp;number=1.922&amp;sourceID=14","1.922")</f>
        <v>1.922</v>
      </c>
      <c r="G2887" s="4" t="str">
        <f>HYPERLINK("http://141.218.60.56/~jnz1568/getInfo.php?workbook=14_04.xlsx&amp;sheet=A0&amp;row=2887&amp;col=7&amp;number=0&amp;sourceID=14","0")</f>
        <v>0</v>
      </c>
    </row>
    <row r="2888" spans="1:7">
      <c r="A2888" s="3">
        <v>14</v>
      </c>
      <c r="B2888" s="3">
        <v>4</v>
      </c>
      <c r="C2888" s="3">
        <v>67</v>
      </c>
      <c r="D2888" s="3">
        <v>61</v>
      </c>
      <c r="E2888" s="3">
        <v>-8452.787</v>
      </c>
      <c r="F2888" s="4" t="str">
        <f>HYPERLINK("http://141.218.60.56/~jnz1568/getInfo.php?workbook=14_04.xlsx&amp;sheet=A0&amp;row=2888&amp;col=6&amp;number=0.03375&amp;sourceID=14","0.03375")</f>
        <v>0.03375</v>
      </c>
      <c r="G2888" s="4" t="str">
        <f>HYPERLINK("http://141.218.60.56/~jnz1568/getInfo.php?workbook=14_04.xlsx&amp;sheet=A0&amp;row=2888&amp;col=7&amp;number=0&amp;sourceID=14","0")</f>
        <v>0</v>
      </c>
    </row>
    <row r="2889" spans="1:7">
      <c r="A2889" s="3">
        <v>14</v>
      </c>
      <c r="B2889" s="3">
        <v>4</v>
      </c>
      <c r="C2889" s="3">
        <v>68</v>
      </c>
      <c r="D2889" s="3">
        <v>61</v>
      </c>
      <c r="E2889" s="3">
        <v>-7923</v>
      </c>
      <c r="F2889" s="4" t="str">
        <f>HYPERLINK("http://141.218.60.56/~jnz1568/getInfo.php?workbook=14_04.xlsx&amp;sheet=A0&amp;row=2889&amp;col=6&amp;number=0.2154&amp;sourceID=14","0.2154")</f>
        <v>0.2154</v>
      </c>
      <c r="G2889" s="4" t="str">
        <f>HYPERLINK("http://141.218.60.56/~jnz1568/getInfo.php?workbook=14_04.xlsx&amp;sheet=A0&amp;row=2889&amp;col=7&amp;number=0&amp;sourceID=14","0")</f>
        <v>0</v>
      </c>
    </row>
    <row r="2890" spans="1:7">
      <c r="A2890" s="3">
        <v>14</v>
      </c>
      <c r="B2890" s="3">
        <v>4</v>
      </c>
      <c r="C2890" s="3">
        <v>69</v>
      </c>
      <c r="D2890" s="3">
        <v>61</v>
      </c>
      <c r="E2890" s="3">
        <v>-7444.338</v>
      </c>
      <c r="F2890" s="4" t="str">
        <f>HYPERLINK("http://141.218.60.56/~jnz1568/getInfo.php?workbook=14_04.xlsx&amp;sheet=A0&amp;row=2890&amp;col=6&amp;number=540200&amp;sourceID=14","540200")</f>
        <v>540200</v>
      </c>
      <c r="G2890" s="4" t="str">
        <f>HYPERLINK("http://141.218.60.56/~jnz1568/getInfo.php?workbook=14_04.xlsx&amp;sheet=A0&amp;row=2890&amp;col=7&amp;number=0&amp;sourceID=14","0")</f>
        <v>0</v>
      </c>
    </row>
    <row r="2891" spans="1:7">
      <c r="A2891" s="3">
        <v>14</v>
      </c>
      <c r="B2891" s="3">
        <v>4</v>
      </c>
      <c r="C2891" s="3">
        <v>71</v>
      </c>
      <c r="D2891" s="3">
        <v>61</v>
      </c>
      <c r="E2891" s="3">
        <v>-5471.12</v>
      </c>
      <c r="F2891" s="4" t="str">
        <f>HYPERLINK("http://141.218.60.56/~jnz1568/getInfo.php?workbook=14_04.xlsx&amp;sheet=A0&amp;row=2891&amp;col=6&amp;number=14420000&amp;sourceID=14","14420000")</f>
        <v>14420000</v>
      </c>
      <c r="G2891" s="4" t="str">
        <f>HYPERLINK("http://141.218.60.56/~jnz1568/getInfo.php?workbook=14_04.xlsx&amp;sheet=A0&amp;row=2891&amp;col=7&amp;number=0&amp;sourceID=14","0")</f>
        <v>0</v>
      </c>
    </row>
    <row r="2892" spans="1:7">
      <c r="A2892" s="3">
        <v>14</v>
      </c>
      <c r="B2892" s="3">
        <v>4</v>
      </c>
      <c r="C2892" s="3">
        <v>72</v>
      </c>
      <c r="D2892" s="3">
        <v>61</v>
      </c>
      <c r="E2892" s="3">
        <v>-4888.734</v>
      </c>
      <c r="F2892" s="4" t="str">
        <f>HYPERLINK("http://141.218.60.56/~jnz1568/getInfo.php?workbook=14_04.xlsx&amp;sheet=A0&amp;row=2892&amp;col=6&amp;number=4.124&amp;sourceID=14","4.124")</f>
        <v>4.124</v>
      </c>
      <c r="G2892" s="4" t="str">
        <f>HYPERLINK("http://141.218.60.56/~jnz1568/getInfo.php?workbook=14_04.xlsx&amp;sheet=A0&amp;row=2892&amp;col=7&amp;number=0&amp;sourceID=14","0")</f>
        <v>0</v>
      </c>
    </row>
    <row r="2893" spans="1:7">
      <c r="A2893" s="3">
        <v>14</v>
      </c>
      <c r="B2893" s="3">
        <v>4</v>
      </c>
      <c r="C2893" s="3">
        <v>74</v>
      </c>
      <c r="D2893" s="3">
        <v>61</v>
      </c>
      <c r="E2893" s="3">
        <v>-4294.976</v>
      </c>
      <c r="F2893" s="4" t="str">
        <f>HYPERLINK("http://141.218.60.56/~jnz1568/getInfo.php?workbook=14_04.xlsx&amp;sheet=A0&amp;row=2893&amp;col=6&amp;number=0.001466&amp;sourceID=14","0.001466")</f>
        <v>0.001466</v>
      </c>
      <c r="G2893" s="4" t="str">
        <f>HYPERLINK("http://141.218.60.56/~jnz1568/getInfo.php?workbook=14_04.xlsx&amp;sheet=A0&amp;row=2893&amp;col=7&amp;number=0&amp;sourceID=14","0")</f>
        <v>0</v>
      </c>
    </row>
    <row r="2894" spans="1:7">
      <c r="A2894" s="3">
        <v>14</v>
      </c>
      <c r="B2894" s="3">
        <v>4</v>
      </c>
      <c r="C2894" s="3">
        <v>75</v>
      </c>
      <c r="D2894" s="3">
        <v>61</v>
      </c>
      <c r="E2894" s="3">
        <v>-3968.1</v>
      </c>
      <c r="F2894" s="4" t="str">
        <f>HYPERLINK("http://141.218.60.56/~jnz1568/getInfo.php?workbook=14_04.xlsx&amp;sheet=A0&amp;row=2894&amp;col=6&amp;number=146800&amp;sourceID=14","146800")</f>
        <v>146800</v>
      </c>
      <c r="G2894" s="4" t="str">
        <f>HYPERLINK("http://141.218.60.56/~jnz1568/getInfo.php?workbook=14_04.xlsx&amp;sheet=A0&amp;row=2894&amp;col=7&amp;number=0&amp;sourceID=14","0")</f>
        <v>0</v>
      </c>
    </row>
    <row r="2895" spans="1:7">
      <c r="A2895" s="3">
        <v>14</v>
      </c>
      <c r="B2895" s="3">
        <v>4</v>
      </c>
      <c r="C2895" s="3">
        <v>77</v>
      </c>
      <c r="D2895" s="3">
        <v>61</v>
      </c>
      <c r="E2895" s="3">
        <v>-3295.786</v>
      </c>
      <c r="F2895" s="4" t="str">
        <f>HYPERLINK("http://141.218.60.56/~jnz1568/getInfo.php?workbook=14_04.xlsx&amp;sheet=A0&amp;row=2895&amp;col=6&amp;number=200600&amp;sourceID=14","200600")</f>
        <v>200600</v>
      </c>
      <c r="G2895" s="4" t="str">
        <f>HYPERLINK("http://141.218.60.56/~jnz1568/getInfo.php?workbook=14_04.xlsx&amp;sheet=A0&amp;row=2895&amp;col=7&amp;number=0&amp;sourceID=14","0")</f>
        <v>0</v>
      </c>
    </row>
    <row r="2896" spans="1:7">
      <c r="A2896" s="3">
        <v>14</v>
      </c>
      <c r="B2896" s="3">
        <v>4</v>
      </c>
      <c r="C2896" s="3">
        <v>78</v>
      </c>
      <c r="D2896" s="3">
        <v>61</v>
      </c>
      <c r="E2896" s="3">
        <v>-3214.107</v>
      </c>
      <c r="F2896" s="4" t="str">
        <f>HYPERLINK("http://141.218.60.56/~jnz1568/getInfo.php?workbook=14_04.xlsx&amp;sheet=A0&amp;row=2896&amp;col=6&amp;number=854900&amp;sourceID=14","854900")</f>
        <v>854900</v>
      </c>
      <c r="G2896" s="4" t="str">
        <f>HYPERLINK("http://141.218.60.56/~jnz1568/getInfo.php?workbook=14_04.xlsx&amp;sheet=A0&amp;row=2896&amp;col=7&amp;number=0&amp;sourceID=14","0")</f>
        <v>0</v>
      </c>
    </row>
    <row r="2897" spans="1:7">
      <c r="A2897" s="3">
        <v>14</v>
      </c>
      <c r="B2897" s="3">
        <v>4</v>
      </c>
      <c r="C2897" s="3">
        <v>79</v>
      </c>
      <c r="D2897" s="3">
        <v>61</v>
      </c>
      <c r="E2897" s="3">
        <v>-3169.413</v>
      </c>
      <c r="F2897" s="4" t="str">
        <f>HYPERLINK("http://141.218.60.56/~jnz1568/getInfo.php?workbook=14_04.xlsx&amp;sheet=A0&amp;row=2897&amp;col=6&amp;number=6123000&amp;sourceID=14","6123000")</f>
        <v>6123000</v>
      </c>
      <c r="G2897" s="4" t="str">
        <f>HYPERLINK("http://141.218.60.56/~jnz1568/getInfo.php?workbook=14_04.xlsx&amp;sheet=A0&amp;row=2897&amp;col=7&amp;number=0&amp;sourceID=14","0")</f>
        <v>0</v>
      </c>
    </row>
    <row r="2898" spans="1:7">
      <c r="A2898" s="3">
        <v>14</v>
      </c>
      <c r="B2898" s="3">
        <v>4</v>
      </c>
      <c r="C2898" s="3">
        <v>80</v>
      </c>
      <c r="D2898" s="3">
        <v>61</v>
      </c>
      <c r="E2898" s="3">
        <v>-2945.476</v>
      </c>
      <c r="F2898" s="4" t="str">
        <f>HYPERLINK("http://141.218.60.56/~jnz1568/getInfo.php?workbook=14_04.xlsx&amp;sheet=A0&amp;row=2898&amp;col=6&amp;number=5.092&amp;sourceID=14","5.092")</f>
        <v>5.092</v>
      </c>
      <c r="G2898" s="4" t="str">
        <f>HYPERLINK("http://141.218.60.56/~jnz1568/getInfo.php?workbook=14_04.xlsx&amp;sheet=A0&amp;row=2898&amp;col=7&amp;number=0&amp;sourceID=14","0")</f>
        <v>0</v>
      </c>
    </row>
    <row r="2899" spans="1:7">
      <c r="A2899" s="3">
        <v>14</v>
      </c>
      <c r="B2899" s="3">
        <v>4</v>
      </c>
      <c r="C2899" s="3">
        <v>82</v>
      </c>
      <c r="D2899" s="3">
        <v>61</v>
      </c>
      <c r="E2899" s="3">
        <v>-2304.301</v>
      </c>
      <c r="F2899" s="4" t="str">
        <f>HYPERLINK("http://141.218.60.56/~jnz1568/getInfo.php?workbook=14_04.xlsx&amp;sheet=A0&amp;row=2899&amp;col=6&amp;number=45770000&amp;sourceID=14","45770000")</f>
        <v>45770000</v>
      </c>
      <c r="G2899" s="4" t="str">
        <f>HYPERLINK("http://141.218.60.56/~jnz1568/getInfo.php?workbook=14_04.xlsx&amp;sheet=A0&amp;row=2899&amp;col=7&amp;number=0&amp;sourceID=14","0")</f>
        <v>0</v>
      </c>
    </row>
    <row r="2900" spans="1:7">
      <c r="A2900" s="3">
        <v>14</v>
      </c>
      <c r="B2900" s="3">
        <v>4</v>
      </c>
      <c r="C2900" s="3">
        <v>83</v>
      </c>
      <c r="D2900" s="3">
        <v>61</v>
      </c>
      <c r="E2900" s="3">
        <v>-958.634</v>
      </c>
      <c r="F2900" s="4" t="str">
        <f>HYPERLINK("http://141.218.60.56/~jnz1568/getInfo.php?workbook=14_04.xlsx&amp;sheet=A0&amp;row=2900&amp;col=6&amp;number=2.683&amp;sourceID=14","2.683")</f>
        <v>2.683</v>
      </c>
      <c r="G2900" s="4" t="str">
        <f>HYPERLINK("http://141.218.60.56/~jnz1568/getInfo.php?workbook=14_04.xlsx&amp;sheet=A0&amp;row=2900&amp;col=7&amp;number=0&amp;sourceID=14","0")</f>
        <v>0</v>
      </c>
    </row>
    <row r="2901" spans="1:7">
      <c r="A2901" s="3">
        <v>14</v>
      </c>
      <c r="B2901" s="3">
        <v>4</v>
      </c>
      <c r="C2901" s="3">
        <v>84</v>
      </c>
      <c r="D2901" s="3">
        <v>61</v>
      </c>
      <c r="E2901" s="3">
        <v>-896.82</v>
      </c>
      <c r="F2901" s="4" t="str">
        <f>HYPERLINK("http://141.218.60.56/~jnz1568/getInfo.php?workbook=14_04.xlsx&amp;sheet=A0&amp;row=2901&amp;col=6&amp;number=0.4111&amp;sourceID=14","0.4111")</f>
        <v>0.4111</v>
      </c>
      <c r="G2901" s="4" t="str">
        <f>HYPERLINK("http://141.218.60.56/~jnz1568/getInfo.php?workbook=14_04.xlsx&amp;sheet=A0&amp;row=2901&amp;col=7&amp;number=0&amp;sourceID=14","0")</f>
        <v>0</v>
      </c>
    </row>
    <row r="2902" spans="1:7">
      <c r="A2902" s="3">
        <v>14</v>
      </c>
      <c r="B2902" s="3">
        <v>4</v>
      </c>
      <c r="C2902" s="3">
        <v>85</v>
      </c>
      <c r="D2902" s="3">
        <v>61</v>
      </c>
      <c r="E2902" s="3">
        <v>-841.486</v>
      </c>
      <c r="F2902" s="4" t="str">
        <f>HYPERLINK("http://141.218.60.56/~jnz1568/getInfo.php?workbook=14_04.xlsx&amp;sheet=A0&amp;row=2902&amp;col=6&amp;number=3570000&amp;sourceID=14","3570000")</f>
        <v>3570000</v>
      </c>
      <c r="G2902" s="4" t="str">
        <f>HYPERLINK("http://141.218.60.56/~jnz1568/getInfo.php?workbook=14_04.xlsx&amp;sheet=A0&amp;row=2902&amp;col=7&amp;number=0&amp;sourceID=14","0")</f>
        <v>0</v>
      </c>
    </row>
    <row r="2903" spans="1:7">
      <c r="A2903" s="3">
        <v>14</v>
      </c>
      <c r="B2903" s="3">
        <v>4</v>
      </c>
      <c r="C2903" s="3">
        <v>86</v>
      </c>
      <c r="D2903" s="3">
        <v>61</v>
      </c>
      <c r="E2903" s="3">
        <v>-840.628</v>
      </c>
      <c r="F2903" s="4" t="str">
        <f>HYPERLINK("http://141.218.60.56/~jnz1568/getInfo.php?workbook=14_04.xlsx&amp;sheet=A0&amp;row=2903&amp;col=6&amp;number=5442000&amp;sourceID=14","5442000")</f>
        <v>5442000</v>
      </c>
      <c r="G2903" s="4" t="str">
        <f>HYPERLINK("http://141.218.60.56/~jnz1568/getInfo.php?workbook=14_04.xlsx&amp;sheet=A0&amp;row=2903&amp;col=7&amp;number=0&amp;sourceID=14","0")</f>
        <v>0</v>
      </c>
    </row>
    <row r="2904" spans="1:7">
      <c r="A2904" s="3">
        <v>14</v>
      </c>
      <c r="B2904" s="3">
        <v>4</v>
      </c>
      <c r="C2904" s="3">
        <v>87</v>
      </c>
      <c r="D2904" s="3">
        <v>61</v>
      </c>
      <c r="E2904" s="3">
        <v>-838.597</v>
      </c>
      <c r="F2904" s="4" t="str">
        <f>HYPERLINK("http://141.218.60.56/~jnz1568/getInfo.php?workbook=14_04.xlsx&amp;sheet=A0&amp;row=2904&amp;col=6&amp;number=2330000&amp;sourceID=14","2330000")</f>
        <v>2330000</v>
      </c>
      <c r="G2904" s="4" t="str">
        <f>HYPERLINK("http://141.218.60.56/~jnz1568/getInfo.php?workbook=14_04.xlsx&amp;sheet=A0&amp;row=2904&amp;col=7&amp;number=0&amp;sourceID=14","0")</f>
        <v>0</v>
      </c>
    </row>
    <row r="2905" spans="1:7">
      <c r="A2905" s="3">
        <v>14</v>
      </c>
      <c r="B2905" s="3">
        <v>4</v>
      </c>
      <c r="C2905" s="3">
        <v>88</v>
      </c>
      <c r="D2905" s="3">
        <v>61</v>
      </c>
      <c r="E2905" s="3">
        <v>-820.949</v>
      </c>
      <c r="F2905" s="4" t="str">
        <f>HYPERLINK("http://141.218.60.56/~jnz1568/getInfo.php?workbook=14_04.xlsx&amp;sheet=A0&amp;row=2905&amp;col=6&amp;number=737200&amp;sourceID=14","737200")</f>
        <v>737200</v>
      </c>
      <c r="G2905" s="4" t="str">
        <f>HYPERLINK("http://141.218.60.56/~jnz1568/getInfo.php?workbook=14_04.xlsx&amp;sheet=A0&amp;row=2905&amp;col=7&amp;number=0&amp;sourceID=14","0")</f>
        <v>0</v>
      </c>
    </row>
    <row r="2906" spans="1:7">
      <c r="A2906" s="3">
        <v>14</v>
      </c>
      <c r="B2906" s="3">
        <v>4</v>
      </c>
      <c r="C2906" s="3">
        <v>89</v>
      </c>
      <c r="D2906" s="3">
        <v>61</v>
      </c>
      <c r="E2906" s="3">
        <v>-784.827</v>
      </c>
      <c r="F2906" s="4" t="str">
        <f>HYPERLINK("http://141.218.60.56/~jnz1568/getInfo.php?workbook=14_04.xlsx&amp;sheet=A0&amp;row=2906&amp;col=6&amp;number=99.11&amp;sourceID=14","99.11")</f>
        <v>99.11</v>
      </c>
      <c r="G2906" s="4" t="str">
        <f>HYPERLINK("http://141.218.60.56/~jnz1568/getInfo.php?workbook=14_04.xlsx&amp;sheet=A0&amp;row=2906&amp;col=7&amp;number=0&amp;sourceID=14","0")</f>
        <v>0</v>
      </c>
    </row>
    <row r="2907" spans="1:7">
      <c r="A2907" s="3">
        <v>14</v>
      </c>
      <c r="B2907" s="3">
        <v>4</v>
      </c>
      <c r="C2907" s="3">
        <v>90</v>
      </c>
      <c r="D2907" s="3">
        <v>61</v>
      </c>
      <c r="E2907" s="3">
        <v>-784.513</v>
      </c>
      <c r="F2907" s="4" t="str">
        <f>HYPERLINK("http://141.218.60.56/~jnz1568/getInfo.php?workbook=14_04.xlsx&amp;sheet=A0&amp;row=2907&amp;col=6&amp;number=47.66&amp;sourceID=14","47.66")</f>
        <v>47.66</v>
      </c>
      <c r="G2907" s="4" t="str">
        <f>HYPERLINK("http://141.218.60.56/~jnz1568/getInfo.php?workbook=14_04.xlsx&amp;sheet=A0&amp;row=2907&amp;col=7&amp;number=0&amp;sourceID=14","0")</f>
        <v>0</v>
      </c>
    </row>
    <row r="2908" spans="1:7">
      <c r="A2908" s="3">
        <v>14</v>
      </c>
      <c r="B2908" s="3">
        <v>4</v>
      </c>
      <c r="C2908" s="3">
        <v>91</v>
      </c>
      <c r="D2908" s="3">
        <v>61</v>
      </c>
      <c r="E2908" s="3">
        <v>-784.029</v>
      </c>
      <c r="F2908" s="4" t="str">
        <f>HYPERLINK("http://141.218.60.56/~jnz1568/getInfo.php?workbook=14_04.xlsx&amp;sheet=A0&amp;row=2908&amp;col=6&amp;number=84.78&amp;sourceID=14","84.78")</f>
        <v>84.78</v>
      </c>
      <c r="G2908" s="4" t="str">
        <f>HYPERLINK("http://141.218.60.56/~jnz1568/getInfo.php?workbook=14_04.xlsx&amp;sheet=A0&amp;row=2908&amp;col=7&amp;number=0&amp;sourceID=14","0")</f>
        <v>0</v>
      </c>
    </row>
    <row r="2909" spans="1:7">
      <c r="A2909" s="3">
        <v>14</v>
      </c>
      <c r="B2909" s="3">
        <v>4</v>
      </c>
      <c r="C2909" s="3">
        <v>92</v>
      </c>
      <c r="D2909" s="3">
        <v>61</v>
      </c>
      <c r="E2909" s="3">
        <v>-755.255</v>
      </c>
      <c r="F2909" s="4" t="str">
        <f>HYPERLINK("http://141.218.60.56/~jnz1568/getInfo.php?workbook=14_04.xlsx&amp;sheet=A0&amp;row=2909&amp;col=6&amp;number=7.15&amp;sourceID=14","7.15")</f>
        <v>7.15</v>
      </c>
      <c r="G2909" s="4" t="str">
        <f>HYPERLINK("http://141.218.60.56/~jnz1568/getInfo.php?workbook=14_04.xlsx&amp;sheet=A0&amp;row=2909&amp;col=7&amp;number=0&amp;sourceID=14","0")</f>
        <v>0</v>
      </c>
    </row>
    <row r="2910" spans="1:7">
      <c r="A2910" s="3">
        <v>14</v>
      </c>
      <c r="B2910" s="3">
        <v>4</v>
      </c>
      <c r="C2910" s="3">
        <v>63</v>
      </c>
      <c r="D2910" s="3">
        <v>62</v>
      </c>
      <c r="E2910" s="3">
        <v>-21590.336</v>
      </c>
      <c r="F2910" s="4" t="str">
        <f>HYPERLINK("http://141.218.60.56/~jnz1568/getInfo.php?workbook=14_04.xlsx&amp;sheet=A0&amp;row=2910&amp;col=6&amp;number=1.12&amp;sourceID=14","1.12")</f>
        <v>1.12</v>
      </c>
      <c r="G2910" s="4" t="str">
        <f>HYPERLINK("http://141.218.60.56/~jnz1568/getInfo.php?workbook=14_04.xlsx&amp;sheet=A0&amp;row=2910&amp;col=7&amp;number=0&amp;sourceID=14","0")</f>
        <v>0</v>
      </c>
    </row>
    <row r="2911" spans="1:7">
      <c r="A2911" s="3">
        <v>14</v>
      </c>
      <c r="B2911" s="3">
        <v>4</v>
      </c>
      <c r="C2911" s="3">
        <v>64</v>
      </c>
      <c r="D2911" s="3">
        <v>62</v>
      </c>
      <c r="E2911" s="3">
        <v>-9941.057</v>
      </c>
      <c r="F2911" s="4" t="str">
        <f>HYPERLINK("http://141.218.60.56/~jnz1568/getInfo.php?workbook=14_04.xlsx&amp;sheet=A0&amp;row=2911&amp;col=6&amp;number=3.71e-05&amp;sourceID=14","3.71e-05")</f>
        <v>3.71e-05</v>
      </c>
      <c r="G2911" s="4" t="str">
        <f>HYPERLINK("http://141.218.60.56/~jnz1568/getInfo.php?workbook=14_04.xlsx&amp;sheet=A0&amp;row=2911&amp;col=7&amp;number=0&amp;sourceID=14","0")</f>
        <v>0</v>
      </c>
    </row>
    <row r="2912" spans="1:7">
      <c r="A2912" s="3">
        <v>14</v>
      </c>
      <c r="B2912" s="3">
        <v>4</v>
      </c>
      <c r="C2912" s="3">
        <v>65</v>
      </c>
      <c r="D2912" s="3">
        <v>62</v>
      </c>
      <c r="E2912" s="3">
        <v>-8450.591</v>
      </c>
      <c r="F2912" s="4" t="str">
        <f>HYPERLINK("http://141.218.60.56/~jnz1568/getInfo.php?workbook=14_04.xlsx&amp;sheet=A0&amp;row=2912&amp;col=6&amp;number=0.1646&amp;sourceID=14","0.1646")</f>
        <v>0.1646</v>
      </c>
      <c r="G2912" s="4" t="str">
        <f>HYPERLINK("http://141.218.60.56/~jnz1568/getInfo.php?workbook=14_04.xlsx&amp;sheet=A0&amp;row=2912&amp;col=7&amp;number=0&amp;sourceID=14","0")</f>
        <v>0</v>
      </c>
    </row>
    <row r="2913" spans="1:7">
      <c r="A2913" s="3">
        <v>14</v>
      </c>
      <c r="B2913" s="3">
        <v>4</v>
      </c>
      <c r="C2913" s="3">
        <v>66</v>
      </c>
      <c r="D2913" s="3">
        <v>62</v>
      </c>
      <c r="E2913" s="3">
        <v>-8560.326</v>
      </c>
      <c r="F2913" s="4" t="str">
        <f>HYPERLINK("http://141.218.60.56/~jnz1568/getInfo.php?workbook=14_04.xlsx&amp;sheet=A0&amp;row=2913&amp;col=6&amp;number=0.09422&amp;sourceID=14","0.09422")</f>
        <v>0.09422</v>
      </c>
      <c r="G2913" s="4" t="str">
        <f>HYPERLINK("http://141.218.60.56/~jnz1568/getInfo.php?workbook=14_04.xlsx&amp;sheet=A0&amp;row=2913&amp;col=7&amp;number=0&amp;sourceID=14","0")</f>
        <v>0</v>
      </c>
    </row>
    <row r="2914" spans="1:7">
      <c r="A2914" s="3">
        <v>14</v>
      </c>
      <c r="B2914" s="3">
        <v>4</v>
      </c>
      <c r="C2914" s="3">
        <v>67</v>
      </c>
      <c r="D2914" s="3">
        <v>62</v>
      </c>
      <c r="E2914" s="3">
        <v>-6170.222</v>
      </c>
      <c r="F2914" s="4" t="str">
        <f>HYPERLINK("http://141.218.60.56/~jnz1568/getInfo.php?workbook=14_04.xlsx&amp;sheet=A0&amp;row=2914&amp;col=6&amp;number=2.519&amp;sourceID=14","2.519")</f>
        <v>2.519</v>
      </c>
      <c r="G2914" s="4" t="str">
        <f>HYPERLINK("http://141.218.60.56/~jnz1568/getInfo.php?workbook=14_04.xlsx&amp;sheet=A0&amp;row=2914&amp;col=7&amp;number=0&amp;sourceID=14","0")</f>
        <v>0</v>
      </c>
    </row>
    <row r="2915" spans="1:7">
      <c r="A2915" s="3">
        <v>14</v>
      </c>
      <c r="B2915" s="3">
        <v>4</v>
      </c>
      <c r="C2915" s="3">
        <v>68</v>
      </c>
      <c r="D2915" s="3">
        <v>62</v>
      </c>
      <c r="E2915" s="3">
        <v>-5883.067</v>
      </c>
      <c r="F2915" s="4" t="str">
        <f>HYPERLINK("http://141.218.60.56/~jnz1568/getInfo.php?workbook=14_04.xlsx&amp;sheet=A0&amp;row=2915&amp;col=6&amp;number=4.121&amp;sourceID=14","4.121")</f>
        <v>4.121</v>
      </c>
      <c r="G2915" s="4" t="str">
        <f>HYPERLINK("http://141.218.60.56/~jnz1568/getInfo.php?workbook=14_04.xlsx&amp;sheet=A0&amp;row=2915&amp;col=7&amp;number=0&amp;sourceID=14","0")</f>
        <v>0</v>
      </c>
    </row>
    <row r="2916" spans="1:7">
      <c r="A2916" s="3">
        <v>14</v>
      </c>
      <c r="B2916" s="3">
        <v>4</v>
      </c>
      <c r="C2916" s="3">
        <v>69</v>
      </c>
      <c r="D2916" s="3">
        <v>62</v>
      </c>
      <c r="E2916" s="3">
        <v>-5614.986</v>
      </c>
      <c r="F2916" s="4" t="str">
        <f>HYPERLINK("http://141.218.60.56/~jnz1568/getInfo.php?workbook=14_04.xlsx&amp;sheet=A0&amp;row=2916&amp;col=6&amp;number=12420000&amp;sourceID=14","12420000")</f>
        <v>12420000</v>
      </c>
      <c r="G2916" s="4" t="str">
        <f>HYPERLINK("http://141.218.60.56/~jnz1568/getInfo.php?workbook=14_04.xlsx&amp;sheet=A0&amp;row=2916&amp;col=7&amp;number=0&amp;sourceID=14","0")</f>
        <v>0</v>
      </c>
    </row>
    <row r="2917" spans="1:7">
      <c r="A2917" s="3">
        <v>14</v>
      </c>
      <c r="B2917" s="3">
        <v>4</v>
      </c>
      <c r="C2917" s="3">
        <v>71</v>
      </c>
      <c r="D2917" s="3">
        <v>62</v>
      </c>
      <c r="E2917" s="3">
        <v>-4414.183</v>
      </c>
      <c r="F2917" s="4" t="str">
        <f>HYPERLINK("http://141.218.60.56/~jnz1568/getInfo.php?workbook=14_04.xlsx&amp;sheet=A0&amp;row=2917&amp;col=6&amp;number=990800&amp;sourceID=14","990800")</f>
        <v>990800</v>
      </c>
      <c r="G2917" s="4" t="str">
        <f>HYPERLINK("http://141.218.60.56/~jnz1568/getInfo.php?workbook=14_04.xlsx&amp;sheet=A0&amp;row=2917&amp;col=7&amp;number=0&amp;sourceID=14","0")</f>
        <v>0</v>
      </c>
    </row>
    <row r="2918" spans="1:7">
      <c r="A2918" s="3">
        <v>14</v>
      </c>
      <c r="B2918" s="3">
        <v>4</v>
      </c>
      <c r="C2918" s="3">
        <v>72</v>
      </c>
      <c r="D2918" s="3">
        <v>62</v>
      </c>
      <c r="E2918" s="3">
        <v>-4027.119</v>
      </c>
      <c r="F2918" s="4" t="str">
        <f>HYPERLINK("http://141.218.60.56/~jnz1568/getInfo.php?workbook=14_04.xlsx&amp;sheet=A0&amp;row=2918&amp;col=6&amp;number=3.145&amp;sourceID=14","3.145")</f>
        <v>3.145</v>
      </c>
      <c r="G2918" s="4" t="str">
        <f>HYPERLINK("http://141.218.60.56/~jnz1568/getInfo.php?workbook=14_04.xlsx&amp;sheet=A0&amp;row=2918&amp;col=7&amp;number=0&amp;sourceID=14","0")</f>
        <v>0</v>
      </c>
    </row>
    <row r="2919" spans="1:7">
      <c r="A2919" s="3">
        <v>14</v>
      </c>
      <c r="B2919" s="3">
        <v>4</v>
      </c>
      <c r="C2919" s="3">
        <v>74</v>
      </c>
      <c r="D2919" s="3">
        <v>62</v>
      </c>
      <c r="E2919" s="3">
        <v>-3615.398</v>
      </c>
      <c r="F2919" s="4" t="str">
        <f>HYPERLINK("http://141.218.60.56/~jnz1568/getInfo.php?workbook=14_04.xlsx&amp;sheet=A0&amp;row=2919&amp;col=6&amp;number=13290000&amp;sourceID=14","13290000")</f>
        <v>13290000</v>
      </c>
      <c r="G2919" s="4" t="str">
        <f>HYPERLINK("http://141.218.60.56/~jnz1568/getInfo.php?workbook=14_04.xlsx&amp;sheet=A0&amp;row=2919&amp;col=7&amp;number=0&amp;sourceID=14","0")</f>
        <v>0</v>
      </c>
    </row>
    <row r="2920" spans="1:7">
      <c r="A2920" s="3">
        <v>14</v>
      </c>
      <c r="B2920" s="3">
        <v>4</v>
      </c>
      <c r="C2920" s="3">
        <v>75</v>
      </c>
      <c r="D2920" s="3">
        <v>62</v>
      </c>
      <c r="E2920" s="3">
        <v>-3380.956</v>
      </c>
      <c r="F2920" s="4" t="str">
        <f>HYPERLINK("http://141.218.60.56/~jnz1568/getInfo.php?workbook=14_04.xlsx&amp;sheet=A0&amp;row=2920&amp;col=6&amp;number=684300&amp;sourceID=14","684300")</f>
        <v>684300</v>
      </c>
      <c r="G2920" s="4" t="str">
        <f>HYPERLINK("http://141.218.60.56/~jnz1568/getInfo.php?workbook=14_04.xlsx&amp;sheet=A0&amp;row=2920&amp;col=7&amp;number=0&amp;sourceID=14","0")</f>
        <v>0</v>
      </c>
    </row>
    <row r="2921" spans="1:7">
      <c r="A2921" s="3">
        <v>14</v>
      </c>
      <c r="B2921" s="3">
        <v>4</v>
      </c>
      <c r="C2921" s="3">
        <v>77</v>
      </c>
      <c r="D2921" s="3">
        <v>62</v>
      </c>
      <c r="E2921" s="3">
        <v>-2880.331</v>
      </c>
      <c r="F2921" s="4" t="str">
        <f>HYPERLINK("http://141.218.60.56/~jnz1568/getInfo.php?workbook=14_04.xlsx&amp;sheet=A0&amp;row=2921&amp;col=6&amp;number=160500&amp;sourceID=14","160500")</f>
        <v>160500</v>
      </c>
      <c r="G2921" s="4" t="str">
        <f>HYPERLINK("http://141.218.60.56/~jnz1568/getInfo.php?workbook=14_04.xlsx&amp;sheet=A0&amp;row=2921&amp;col=7&amp;number=0&amp;sourceID=14","0")</f>
        <v>0</v>
      </c>
    </row>
    <row r="2922" spans="1:7">
      <c r="A2922" s="3">
        <v>14</v>
      </c>
      <c r="B2922" s="3">
        <v>4</v>
      </c>
      <c r="C2922" s="3">
        <v>78</v>
      </c>
      <c r="D2922" s="3">
        <v>62</v>
      </c>
      <c r="E2922" s="3">
        <v>-2817.751</v>
      </c>
      <c r="F2922" s="4" t="str">
        <f>HYPERLINK("http://141.218.60.56/~jnz1568/getInfo.php?workbook=14_04.xlsx&amp;sheet=A0&amp;row=2922&amp;col=6&amp;number=1349000&amp;sourceID=14","1349000")</f>
        <v>1349000</v>
      </c>
      <c r="G2922" s="4" t="str">
        <f>HYPERLINK("http://141.218.60.56/~jnz1568/getInfo.php?workbook=14_04.xlsx&amp;sheet=A0&amp;row=2922&amp;col=7&amp;number=0&amp;sourceID=14","0")</f>
        <v>0</v>
      </c>
    </row>
    <row r="2923" spans="1:7">
      <c r="A2923" s="3">
        <v>14</v>
      </c>
      <c r="B2923" s="3">
        <v>4</v>
      </c>
      <c r="C2923" s="3">
        <v>79</v>
      </c>
      <c r="D2923" s="3">
        <v>62</v>
      </c>
      <c r="E2923" s="3">
        <v>-2783.342</v>
      </c>
      <c r="F2923" s="4" t="str">
        <f>HYPERLINK("http://141.218.60.56/~jnz1568/getInfo.php?workbook=14_04.xlsx&amp;sheet=A0&amp;row=2923&amp;col=6&amp;number=1997000&amp;sourceID=14","1997000")</f>
        <v>1997000</v>
      </c>
      <c r="G2923" s="4" t="str">
        <f>HYPERLINK("http://141.218.60.56/~jnz1568/getInfo.php?workbook=14_04.xlsx&amp;sheet=A0&amp;row=2923&amp;col=7&amp;number=0&amp;sourceID=14","0")</f>
        <v>0</v>
      </c>
    </row>
    <row r="2924" spans="1:7">
      <c r="A2924" s="3">
        <v>14</v>
      </c>
      <c r="B2924" s="3">
        <v>4</v>
      </c>
      <c r="C2924" s="3">
        <v>80</v>
      </c>
      <c r="D2924" s="3">
        <v>62</v>
      </c>
      <c r="E2924" s="3">
        <v>-2609.139</v>
      </c>
      <c r="F2924" s="4" t="str">
        <f>HYPERLINK("http://141.218.60.56/~jnz1568/getInfo.php?workbook=14_04.xlsx&amp;sheet=A0&amp;row=2924&amp;col=6&amp;number=0.08786&amp;sourceID=14","0.08786")</f>
        <v>0.08786</v>
      </c>
      <c r="G2924" s="4" t="str">
        <f>HYPERLINK("http://141.218.60.56/~jnz1568/getInfo.php?workbook=14_04.xlsx&amp;sheet=A0&amp;row=2924&amp;col=7&amp;number=0&amp;sourceID=14","0")</f>
        <v>0</v>
      </c>
    </row>
    <row r="2925" spans="1:7">
      <c r="A2925" s="3">
        <v>14</v>
      </c>
      <c r="B2925" s="3">
        <v>4</v>
      </c>
      <c r="C2925" s="3">
        <v>82</v>
      </c>
      <c r="D2925" s="3">
        <v>62</v>
      </c>
      <c r="E2925" s="3">
        <v>-2093.208</v>
      </c>
      <c r="F2925" s="4" t="str">
        <f>HYPERLINK("http://141.218.60.56/~jnz1568/getInfo.php?workbook=14_04.xlsx&amp;sheet=A0&amp;row=2925&amp;col=6&amp;number=50320000&amp;sourceID=14","50320000")</f>
        <v>50320000</v>
      </c>
      <c r="G2925" s="4" t="str">
        <f>HYPERLINK("http://141.218.60.56/~jnz1568/getInfo.php?workbook=14_04.xlsx&amp;sheet=A0&amp;row=2925&amp;col=7&amp;number=0&amp;sourceID=14","0")</f>
        <v>0</v>
      </c>
    </row>
    <row r="2926" spans="1:7">
      <c r="A2926" s="3">
        <v>14</v>
      </c>
      <c r="B2926" s="3">
        <v>4</v>
      </c>
      <c r="C2926" s="3">
        <v>83</v>
      </c>
      <c r="D2926" s="3">
        <v>62</v>
      </c>
      <c r="E2926" s="3">
        <v>-920.035</v>
      </c>
      <c r="F2926" s="4" t="str">
        <f>HYPERLINK("http://141.218.60.56/~jnz1568/getInfo.php?workbook=14_04.xlsx&amp;sheet=A0&amp;row=2926&amp;col=6&amp;number=3.178&amp;sourceID=14","3.178")</f>
        <v>3.178</v>
      </c>
      <c r="G2926" s="4" t="str">
        <f>HYPERLINK("http://141.218.60.56/~jnz1568/getInfo.php?workbook=14_04.xlsx&amp;sheet=A0&amp;row=2926&amp;col=7&amp;number=0&amp;sourceID=14","0")</f>
        <v>0</v>
      </c>
    </row>
    <row r="2927" spans="1:7">
      <c r="A2927" s="3">
        <v>14</v>
      </c>
      <c r="B2927" s="3">
        <v>4</v>
      </c>
      <c r="C2927" s="3">
        <v>84</v>
      </c>
      <c r="D2927" s="3">
        <v>62</v>
      </c>
      <c r="E2927" s="3">
        <v>-862.95</v>
      </c>
      <c r="F2927" s="4" t="str">
        <f>HYPERLINK("http://141.218.60.56/~jnz1568/getInfo.php?workbook=14_04.xlsx&amp;sheet=A0&amp;row=2927&amp;col=6&amp;number=0.005534&amp;sourceID=14","0.005534")</f>
        <v>0.005534</v>
      </c>
      <c r="G2927" s="4" t="str">
        <f>HYPERLINK("http://141.218.60.56/~jnz1568/getInfo.php?workbook=14_04.xlsx&amp;sheet=A0&amp;row=2927&amp;col=7&amp;number=0&amp;sourceID=14","0")</f>
        <v>0</v>
      </c>
    </row>
    <row r="2928" spans="1:7">
      <c r="A2928" s="3">
        <v>14</v>
      </c>
      <c r="B2928" s="3">
        <v>4</v>
      </c>
      <c r="C2928" s="3">
        <v>85</v>
      </c>
      <c r="D2928" s="3">
        <v>62</v>
      </c>
      <c r="E2928" s="3">
        <v>-811.597</v>
      </c>
      <c r="F2928" s="4" t="str">
        <f>HYPERLINK("http://141.218.60.56/~jnz1568/getInfo.php?workbook=14_04.xlsx&amp;sheet=A0&amp;row=2928&amp;col=6&amp;number=1938000&amp;sourceID=14","1938000")</f>
        <v>1938000</v>
      </c>
      <c r="G2928" s="4" t="str">
        <f>HYPERLINK("http://141.218.60.56/~jnz1568/getInfo.php?workbook=14_04.xlsx&amp;sheet=A0&amp;row=2928&amp;col=7&amp;number=0&amp;sourceID=14","0")</f>
        <v>0</v>
      </c>
    </row>
    <row r="2929" spans="1:7">
      <c r="A2929" s="3">
        <v>14</v>
      </c>
      <c r="B2929" s="3">
        <v>4</v>
      </c>
      <c r="C2929" s="3">
        <v>86</v>
      </c>
      <c r="D2929" s="3">
        <v>62</v>
      </c>
      <c r="E2929" s="3">
        <v>-810.799</v>
      </c>
      <c r="F2929" s="4" t="str">
        <f>HYPERLINK("http://141.218.60.56/~jnz1568/getInfo.php?workbook=14_04.xlsx&amp;sheet=A0&amp;row=2929&amp;col=6&amp;number=646200&amp;sourceID=14","646200")</f>
        <v>646200</v>
      </c>
      <c r="G2929" s="4" t="str">
        <f>HYPERLINK("http://141.218.60.56/~jnz1568/getInfo.php?workbook=14_04.xlsx&amp;sheet=A0&amp;row=2929&amp;col=7&amp;number=0&amp;sourceID=14","0")</f>
        <v>0</v>
      </c>
    </row>
    <row r="2930" spans="1:7">
      <c r="A2930" s="3">
        <v>14</v>
      </c>
      <c r="B2930" s="3">
        <v>4</v>
      </c>
      <c r="C2930" s="3">
        <v>87</v>
      </c>
      <c r="D2930" s="3">
        <v>62</v>
      </c>
      <c r="E2930" s="3">
        <v>-808.909</v>
      </c>
      <c r="F2930" s="4" t="str">
        <f>HYPERLINK("http://141.218.60.56/~jnz1568/getInfo.php?workbook=14_04.xlsx&amp;sheet=A0&amp;row=2930&amp;col=6&amp;number=851800&amp;sourceID=14","851800")</f>
        <v>851800</v>
      </c>
      <c r="G2930" s="4" t="str">
        <f>HYPERLINK("http://141.218.60.56/~jnz1568/getInfo.php?workbook=14_04.xlsx&amp;sheet=A0&amp;row=2930&amp;col=7&amp;number=0&amp;sourceID=14","0")</f>
        <v>0</v>
      </c>
    </row>
    <row r="2931" spans="1:7">
      <c r="A2931" s="3">
        <v>14</v>
      </c>
      <c r="B2931" s="3">
        <v>4</v>
      </c>
      <c r="C2931" s="3">
        <v>88</v>
      </c>
      <c r="D2931" s="3">
        <v>62</v>
      </c>
      <c r="E2931" s="3">
        <v>-792.476</v>
      </c>
      <c r="F2931" s="4" t="str">
        <f>HYPERLINK("http://141.218.60.56/~jnz1568/getInfo.php?workbook=14_04.xlsx&amp;sheet=A0&amp;row=2931&amp;col=6&amp;number=1354000&amp;sourceID=14","1354000")</f>
        <v>1354000</v>
      </c>
      <c r="G2931" s="4" t="str">
        <f>HYPERLINK("http://141.218.60.56/~jnz1568/getInfo.php?workbook=14_04.xlsx&amp;sheet=A0&amp;row=2931&amp;col=7&amp;number=0&amp;sourceID=14","0")</f>
        <v>0</v>
      </c>
    </row>
    <row r="2932" spans="1:7">
      <c r="A2932" s="3">
        <v>14</v>
      </c>
      <c r="B2932" s="3">
        <v>4</v>
      </c>
      <c r="C2932" s="3">
        <v>89</v>
      </c>
      <c r="D2932" s="3">
        <v>62</v>
      </c>
      <c r="E2932" s="3">
        <v>-758.765</v>
      </c>
      <c r="F2932" s="4" t="str">
        <f>HYPERLINK("http://141.218.60.56/~jnz1568/getInfo.php?workbook=14_04.xlsx&amp;sheet=A0&amp;row=2932&amp;col=6&amp;number=6.298&amp;sourceID=14","6.298")</f>
        <v>6.298</v>
      </c>
      <c r="G2932" s="4" t="str">
        <f>HYPERLINK("http://141.218.60.56/~jnz1568/getInfo.php?workbook=14_04.xlsx&amp;sheet=A0&amp;row=2932&amp;col=7&amp;number=0&amp;sourceID=14","0")</f>
        <v>0</v>
      </c>
    </row>
    <row r="2933" spans="1:7">
      <c r="A2933" s="3">
        <v>14</v>
      </c>
      <c r="B2933" s="3">
        <v>4</v>
      </c>
      <c r="C2933" s="3">
        <v>90</v>
      </c>
      <c r="D2933" s="3">
        <v>62</v>
      </c>
      <c r="E2933" s="3">
        <v>-758.471</v>
      </c>
      <c r="F2933" s="4" t="str">
        <f>HYPERLINK("http://141.218.60.56/~jnz1568/getInfo.php?workbook=14_04.xlsx&amp;sheet=A0&amp;row=2933&amp;col=6&amp;number=40.73&amp;sourceID=14","40.73")</f>
        <v>40.73</v>
      </c>
      <c r="G2933" s="4" t="str">
        <f>HYPERLINK("http://141.218.60.56/~jnz1568/getInfo.php?workbook=14_04.xlsx&amp;sheet=A0&amp;row=2933&amp;col=7&amp;number=0&amp;sourceID=14","0")</f>
        <v>0</v>
      </c>
    </row>
    <row r="2934" spans="1:7">
      <c r="A2934" s="3">
        <v>14</v>
      </c>
      <c r="B2934" s="3">
        <v>4</v>
      </c>
      <c r="C2934" s="3">
        <v>91</v>
      </c>
      <c r="D2934" s="3">
        <v>62</v>
      </c>
      <c r="E2934" s="3">
        <v>-758.02</v>
      </c>
      <c r="F2934" s="4" t="str">
        <f>HYPERLINK("http://141.218.60.56/~jnz1568/getInfo.php?workbook=14_04.xlsx&amp;sheet=A0&amp;row=2934&amp;col=6&amp;number=15.42&amp;sourceID=14","15.42")</f>
        <v>15.42</v>
      </c>
      <c r="G2934" s="4" t="str">
        <f>HYPERLINK("http://141.218.60.56/~jnz1568/getInfo.php?workbook=14_04.xlsx&amp;sheet=A0&amp;row=2934&amp;col=7&amp;number=0&amp;sourceID=14","0")</f>
        <v>0</v>
      </c>
    </row>
    <row r="2935" spans="1:7">
      <c r="A2935" s="3">
        <v>14</v>
      </c>
      <c r="B2935" s="3">
        <v>4</v>
      </c>
      <c r="C2935" s="3">
        <v>92</v>
      </c>
      <c r="D2935" s="3">
        <v>62</v>
      </c>
      <c r="E2935" s="3">
        <v>-731.09</v>
      </c>
      <c r="F2935" s="4" t="str">
        <f>HYPERLINK("http://141.218.60.56/~jnz1568/getInfo.php?workbook=14_04.xlsx&amp;sheet=A0&amp;row=2935&amp;col=6&amp;number=10.46&amp;sourceID=14","10.46")</f>
        <v>10.46</v>
      </c>
      <c r="G2935" s="4" t="str">
        <f>HYPERLINK("http://141.218.60.56/~jnz1568/getInfo.php?workbook=14_04.xlsx&amp;sheet=A0&amp;row=2935&amp;col=7&amp;number=0&amp;sourceID=14","0")</f>
        <v>0</v>
      </c>
    </row>
    <row r="2936" spans="1:7">
      <c r="A2936" s="3">
        <v>14</v>
      </c>
      <c r="B2936" s="3">
        <v>4</v>
      </c>
      <c r="C2936" s="3">
        <v>64</v>
      </c>
      <c r="D2936" s="3">
        <v>63</v>
      </c>
      <c r="E2936" s="3">
        <v>-18424.381</v>
      </c>
      <c r="F2936" s="4" t="str">
        <f>HYPERLINK("http://141.218.60.56/~jnz1568/getInfo.php?workbook=14_04.xlsx&amp;sheet=A0&amp;row=2936&amp;col=6&amp;number=2.684&amp;sourceID=14","2.684")</f>
        <v>2.684</v>
      </c>
      <c r="G2936" s="4" t="str">
        <f>HYPERLINK("http://141.218.60.56/~jnz1568/getInfo.php?workbook=14_04.xlsx&amp;sheet=A0&amp;row=2936&amp;col=7&amp;number=0&amp;sourceID=14","0")</f>
        <v>0</v>
      </c>
    </row>
    <row r="2937" spans="1:7">
      <c r="A2937" s="3">
        <v>14</v>
      </c>
      <c r="B2937" s="3">
        <v>4</v>
      </c>
      <c r="C2937" s="3">
        <v>65</v>
      </c>
      <c r="D2937" s="3">
        <v>63</v>
      </c>
      <c r="E2937" s="3">
        <v>-13885.436</v>
      </c>
      <c r="F2937" s="4" t="str">
        <f>HYPERLINK("http://141.218.60.56/~jnz1568/getInfo.php?workbook=14_04.xlsx&amp;sheet=A0&amp;row=2937&amp;col=6&amp;number=0.2239&amp;sourceID=14","0.2239")</f>
        <v>0.2239</v>
      </c>
      <c r="G2937" s="4" t="str">
        <f>HYPERLINK("http://141.218.60.56/~jnz1568/getInfo.php?workbook=14_04.xlsx&amp;sheet=A0&amp;row=2937&amp;col=7&amp;number=0&amp;sourceID=14","0")</f>
        <v>0</v>
      </c>
    </row>
    <row r="2938" spans="1:7">
      <c r="A2938" s="3">
        <v>14</v>
      </c>
      <c r="B2938" s="3">
        <v>4</v>
      </c>
      <c r="C2938" s="3">
        <v>66</v>
      </c>
      <c r="D2938" s="3">
        <v>63</v>
      </c>
      <c r="E2938" s="3">
        <v>-14184.202</v>
      </c>
      <c r="F2938" s="4" t="str">
        <f>HYPERLINK("http://141.218.60.56/~jnz1568/getInfo.php?workbook=14_04.xlsx&amp;sheet=A0&amp;row=2938&amp;col=6&amp;number=0.01419&amp;sourceID=14","0.01419")</f>
        <v>0.01419</v>
      </c>
      <c r="G2938" s="4" t="str">
        <f>HYPERLINK("http://141.218.60.56/~jnz1568/getInfo.php?workbook=14_04.xlsx&amp;sheet=A0&amp;row=2938&amp;col=7&amp;number=0&amp;sourceID=14","0")</f>
        <v>0</v>
      </c>
    </row>
    <row r="2939" spans="1:7">
      <c r="A2939" s="3">
        <v>14</v>
      </c>
      <c r="B2939" s="3">
        <v>4</v>
      </c>
      <c r="C2939" s="3">
        <v>67</v>
      </c>
      <c r="D2939" s="3">
        <v>63</v>
      </c>
      <c r="E2939" s="3">
        <v>-8639.182</v>
      </c>
      <c r="F2939" s="4" t="str">
        <f>HYPERLINK("http://141.218.60.56/~jnz1568/getInfo.php?workbook=14_04.xlsx&amp;sheet=A0&amp;row=2939&amp;col=6&amp;number=0.03737&amp;sourceID=14","0.03737")</f>
        <v>0.03737</v>
      </c>
      <c r="G2939" s="4" t="str">
        <f>HYPERLINK("http://141.218.60.56/~jnz1568/getInfo.php?workbook=14_04.xlsx&amp;sheet=A0&amp;row=2939&amp;col=7&amp;number=0&amp;sourceID=14","0")</f>
        <v>0</v>
      </c>
    </row>
    <row r="2940" spans="1:7">
      <c r="A2940" s="3">
        <v>14</v>
      </c>
      <c r="B2940" s="3">
        <v>4</v>
      </c>
      <c r="C2940" s="3">
        <v>68</v>
      </c>
      <c r="D2940" s="3">
        <v>63</v>
      </c>
      <c r="E2940" s="3">
        <v>-8086.536</v>
      </c>
      <c r="F2940" s="4" t="str">
        <f>HYPERLINK("http://141.218.60.56/~jnz1568/getInfo.php?workbook=14_04.xlsx&amp;sheet=A0&amp;row=2940&amp;col=6&amp;number=1.008&amp;sourceID=14","1.008")</f>
        <v>1.008</v>
      </c>
      <c r="G2940" s="4" t="str">
        <f>HYPERLINK("http://141.218.60.56/~jnz1568/getInfo.php?workbook=14_04.xlsx&amp;sheet=A0&amp;row=2940&amp;col=7&amp;number=0&amp;sourceID=14","0")</f>
        <v>0</v>
      </c>
    </row>
    <row r="2941" spans="1:7">
      <c r="A2941" s="3">
        <v>14</v>
      </c>
      <c r="B2941" s="3">
        <v>4</v>
      </c>
      <c r="C2941" s="3">
        <v>69</v>
      </c>
      <c r="D2941" s="3">
        <v>63</v>
      </c>
      <c r="E2941" s="3">
        <v>-7588.531</v>
      </c>
      <c r="F2941" s="4" t="str">
        <f>HYPERLINK("http://141.218.60.56/~jnz1568/getInfo.php?workbook=14_04.xlsx&amp;sheet=A0&amp;row=2941&amp;col=6&amp;number=844600&amp;sourceID=14","844600")</f>
        <v>844600</v>
      </c>
      <c r="G2941" s="4" t="str">
        <f>HYPERLINK("http://141.218.60.56/~jnz1568/getInfo.php?workbook=14_04.xlsx&amp;sheet=A0&amp;row=2941&amp;col=7&amp;number=0&amp;sourceID=14","0")</f>
        <v>0</v>
      </c>
    </row>
    <row r="2942" spans="1:7">
      <c r="A2942" s="3">
        <v>14</v>
      </c>
      <c r="B2942" s="3">
        <v>4</v>
      </c>
      <c r="C2942" s="3">
        <v>70</v>
      </c>
      <c r="D2942" s="3">
        <v>63</v>
      </c>
      <c r="E2942" s="3">
        <v>-6020.076</v>
      </c>
      <c r="F2942" s="4" t="str">
        <f>HYPERLINK("http://141.218.60.56/~jnz1568/getInfo.php?workbook=14_04.xlsx&amp;sheet=A0&amp;row=2942&amp;col=6&amp;number=12760000&amp;sourceID=14","12760000")</f>
        <v>12760000</v>
      </c>
      <c r="G2942" s="4" t="str">
        <f>HYPERLINK("http://141.218.60.56/~jnz1568/getInfo.php?workbook=14_04.xlsx&amp;sheet=A0&amp;row=2942&amp;col=7&amp;number=0&amp;sourceID=14","0")</f>
        <v>0</v>
      </c>
    </row>
    <row r="2943" spans="1:7">
      <c r="A2943" s="3">
        <v>14</v>
      </c>
      <c r="B2943" s="3">
        <v>4</v>
      </c>
      <c r="C2943" s="3">
        <v>71</v>
      </c>
      <c r="D2943" s="3">
        <v>63</v>
      </c>
      <c r="E2943" s="3">
        <v>-5548.605</v>
      </c>
      <c r="F2943" s="4" t="str">
        <f>HYPERLINK("http://141.218.60.56/~jnz1568/getInfo.php?workbook=14_04.xlsx&amp;sheet=A0&amp;row=2943&amp;col=6&amp;number=101000&amp;sourceID=14","101000")</f>
        <v>101000</v>
      </c>
      <c r="G2943" s="4" t="str">
        <f>HYPERLINK("http://141.218.60.56/~jnz1568/getInfo.php?workbook=14_04.xlsx&amp;sheet=A0&amp;row=2943&amp;col=7&amp;number=0&amp;sourceID=14","0")</f>
        <v>0</v>
      </c>
    </row>
    <row r="2944" spans="1:7">
      <c r="A2944" s="3">
        <v>14</v>
      </c>
      <c r="B2944" s="3">
        <v>4</v>
      </c>
      <c r="C2944" s="3">
        <v>72</v>
      </c>
      <c r="D2944" s="3">
        <v>63</v>
      </c>
      <c r="E2944" s="3">
        <v>-4950.508</v>
      </c>
      <c r="F2944" s="4" t="str">
        <f>HYPERLINK("http://141.218.60.56/~jnz1568/getInfo.php?workbook=14_04.xlsx&amp;sheet=A0&amp;row=2944&amp;col=6&amp;number=2.312&amp;sourceID=14","2.312")</f>
        <v>2.312</v>
      </c>
      <c r="G2944" s="4" t="str">
        <f>HYPERLINK("http://141.218.60.56/~jnz1568/getInfo.php?workbook=14_04.xlsx&amp;sheet=A0&amp;row=2944&amp;col=7&amp;number=0&amp;sourceID=14","0")</f>
        <v>0</v>
      </c>
    </row>
    <row r="2945" spans="1:7">
      <c r="A2945" s="3">
        <v>14</v>
      </c>
      <c r="B2945" s="3">
        <v>4</v>
      </c>
      <c r="C2945" s="3">
        <v>74</v>
      </c>
      <c r="D2945" s="3">
        <v>63</v>
      </c>
      <c r="E2945" s="3">
        <v>-4342.583</v>
      </c>
      <c r="F2945" s="4" t="str">
        <f>HYPERLINK("http://141.218.60.56/~jnz1568/getInfo.php?workbook=14_04.xlsx&amp;sheet=A0&amp;row=2945&amp;col=6&amp;number=520500&amp;sourceID=14","520500")</f>
        <v>520500</v>
      </c>
      <c r="G2945" s="4" t="str">
        <f>HYPERLINK("http://141.218.60.56/~jnz1568/getInfo.php?workbook=14_04.xlsx&amp;sheet=A0&amp;row=2945&amp;col=7&amp;number=0&amp;sourceID=14","0")</f>
        <v>0</v>
      </c>
    </row>
    <row r="2946" spans="1:7">
      <c r="A2946" s="3">
        <v>14</v>
      </c>
      <c r="B2946" s="3">
        <v>4</v>
      </c>
      <c r="C2946" s="3">
        <v>75</v>
      </c>
      <c r="D2946" s="3">
        <v>63</v>
      </c>
      <c r="E2946" s="3">
        <v>-4008.702</v>
      </c>
      <c r="F2946" s="4" t="str">
        <f>HYPERLINK("http://141.218.60.56/~jnz1568/getInfo.php?workbook=14_04.xlsx&amp;sheet=A0&amp;row=2946&amp;col=6&amp;number=7233000&amp;sourceID=14","7233000")</f>
        <v>7233000</v>
      </c>
      <c r="G2946" s="4" t="str">
        <f>HYPERLINK("http://141.218.60.56/~jnz1568/getInfo.php?workbook=14_04.xlsx&amp;sheet=A0&amp;row=2946&amp;col=7&amp;number=0&amp;sourceID=14","0")</f>
        <v>0</v>
      </c>
    </row>
    <row r="2947" spans="1:7">
      <c r="A2947" s="3">
        <v>14</v>
      </c>
      <c r="B2947" s="3">
        <v>4</v>
      </c>
      <c r="C2947" s="3">
        <v>76</v>
      </c>
      <c r="D2947" s="3">
        <v>63</v>
      </c>
      <c r="E2947" s="3">
        <v>-3617.53</v>
      </c>
      <c r="F2947" s="4" t="str">
        <f>HYPERLINK("http://141.218.60.56/~jnz1568/getInfo.php?workbook=14_04.xlsx&amp;sheet=A0&amp;row=2947&amp;col=6&amp;number=357000&amp;sourceID=14","357000")</f>
        <v>357000</v>
      </c>
      <c r="G2947" s="4" t="str">
        <f>HYPERLINK("http://141.218.60.56/~jnz1568/getInfo.php?workbook=14_04.xlsx&amp;sheet=A0&amp;row=2947&amp;col=7&amp;number=0&amp;sourceID=14","0")</f>
        <v>0</v>
      </c>
    </row>
    <row r="2948" spans="1:7">
      <c r="A2948" s="3">
        <v>14</v>
      </c>
      <c r="B2948" s="3">
        <v>4</v>
      </c>
      <c r="C2948" s="3">
        <v>77</v>
      </c>
      <c r="D2948" s="3">
        <v>63</v>
      </c>
      <c r="E2948" s="3">
        <v>-3323.746</v>
      </c>
      <c r="F2948" s="4" t="str">
        <f>HYPERLINK("http://141.218.60.56/~jnz1568/getInfo.php?workbook=14_04.xlsx&amp;sheet=A0&amp;row=2948&amp;col=6&amp;number=73000&amp;sourceID=14","73000")</f>
        <v>73000</v>
      </c>
      <c r="G2948" s="4" t="str">
        <f>HYPERLINK("http://141.218.60.56/~jnz1568/getInfo.php?workbook=14_04.xlsx&amp;sheet=A0&amp;row=2948&amp;col=7&amp;number=0&amp;sourceID=14","0")</f>
        <v>0</v>
      </c>
    </row>
    <row r="2949" spans="1:7">
      <c r="A2949" s="3">
        <v>14</v>
      </c>
      <c r="B2949" s="3">
        <v>4</v>
      </c>
      <c r="C2949" s="3">
        <v>78</v>
      </c>
      <c r="D2949" s="3">
        <v>63</v>
      </c>
      <c r="E2949" s="3">
        <v>-3240.693</v>
      </c>
      <c r="F2949" s="4" t="str">
        <f>HYPERLINK("http://141.218.60.56/~jnz1568/getInfo.php?workbook=14_04.xlsx&amp;sheet=A0&amp;row=2949&amp;col=6&amp;number=5295000&amp;sourceID=14","5295000")</f>
        <v>5295000</v>
      </c>
      <c r="G2949" s="4" t="str">
        <f>HYPERLINK("http://141.218.60.56/~jnz1568/getInfo.php?workbook=14_04.xlsx&amp;sheet=A0&amp;row=2949&amp;col=7&amp;number=0&amp;sourceID=14","0")</f>
        <v>0</v>
      </c>
    </row>
    <row r="2950" spans="1:7">
      <c r="A2950" s="3">
        <v>14</v>
      </c>
      <c r="B2950" s="3">
        <v>4</v>
      </c>
      <c r="C2950" s="3">
        <v>80</v>
      </c>
      <c r="D2950" s="3">
        <v>63</v>
      </c>
      <c r="E2950" s="3">
        <v>-2967.789</v>
      </c>
      <c r="F2950" s="4" t="str">
        <f>HYPERLINK("http://141.218.60.56/~jnz1568/getInfo.php?workbook=14_04.xlsx&amp;sheet=A0&amp;row=2950&amp;col=6&amp;number=0.0653&amp;sourceID=14","0.0653")</f>
        <v>0.0653</v>
      </c>
      <c r="G2950" s="4" t="str">
        <f>HYPERLINK("http://141.218.60.56/~jnz1568/getInfo.php?workbook=14_04.xlsx&amp;sheet=A0&amp;row=2950&amp;col=7&amp;number=0&amp;sourceID=14","0")</f>
        <v>0</v>
      </c>
    </row>
    <row r="2951" spans="1:7">
      <c r="A2951" s="3">
        <v>14</v>
      </c>
      <c r="B2951" s="3">
        <v>4</v>
      </c>
      <c r="C2951" s="3">
        <v>81</v>
      </c>
      <c r="D2951" s="3">
        <v>63</v>
      </c>
      <c r="E2951" s="3">
        <v>-2414.833</v>
      </c>
      <c r="F2951" s="4" t="str">
        <f>HYPERLINK("http://141.218.60.56/~jnz1568/getInfo.php?workbook=14_04.xlsx&amp;sheet=A0&amp;row=2951&amp;col=6&amp;number=97080&amp;sourceID=14","97080")</f>
        <v>97080</v>
      </c>
      <c r="G2951" s="4" t="str">
        <f>HYPERLINK("http://141.218.60.56/~jnz1568/getInfo.php?workbook=14_04.xlsx&amp;sheet=A0&amp;row=2951&amp;col=7&amp;number=0&amp;sourceID=14","0")</f>
        <v>0</v>
      </c>
    </row>
    <row r="2952" spans="1:7">
      <c r="A2952" s="3">
        <v>14</v>
      </c>
      <c r="B2952" s="3">
        <v>4</v>
      </c>
      <c r="C2952" s="3">
        <v>82</v>
      </c>
      <c r="D2952" s="3">
        <v>63</v>
      </c>
      <c r="E2952" s="3">
        <v>-2317.934</v>
      </c>
      <c r="F2952" s="4" t="str">
        <f>HYPERLINK("http://141.218.60.56/~jnz1568/getInfo.php?workbook=14_04.xlsx&amp;sheet=A0&amp;row=2952&amp;col=6&amp;number=92220&amp;sourceID=14","92220")</f>
        <v>92220</v>
      </c>
      <c r="G2952" s="4" t="str">
        <f>HYPERLINK("http://141.218.60.56/~jnz1568/getInfo.php?workbook=14_04.xlsx&amp;sheet=A0&amp;row=2952&amp;col=7&amp;number=0&amp;sourceID=14","0")</f>
        <v>0</v>
      </c>
    </row>
    <row r="2953" spans="1:7">
      <c r="A2953" s="3">
        <v>14</v>
      </c>
      <c r="B2953" s="3">
        <v>4</v>
      </c>
      <c r="C2953" s="3">
        <v>83</v>
      </c>
      <c r="D2953" s="3">
        <v>63</v>
      </c>
      <c r="E2953" s="3">
        <v>-960.985</v>
      </c>
      <c r="F2953" s="4" t="str">
        <f>HYPERLINK("http://141.218.60.56/~jnz1568/getInfo.php?workbook=14_04.xlsx&amp;sheet=A0&amp;row=2953&amp;col=6&amp;number=8.609&amp;sourceID=14","8.609")</f>
        <v>8.609</v>
      </c>
      <c r="G2953" s="4" t="str">
        <f>HYPERLINK("http://141.218.60.56/~jnz1568/getInfo.php?workbook=14_04.xlsx&amp;sheet=A0&amp;row=2953&amp;col=7&amp;number=0&amp;sourceID=14","0")</f>
        <v>0</v>
      </c>
    </row>
    <row r="2954" spans="1:7">
      <c r="A2954" s="3">
        <v>14</v>
      </c>
      <c r="B2954" s="3">
        <v>4</v>
      </c>
      <c r="C2954" s="3">
        <v>84</v>
      </c>
      <c r="D2954" s="3">
        <v>63</v>
      </c>
      <c r="E2954" s="3">
        <v>-898.878</v>
      </c>
      <c r="F2954" s="4" t="str">
        <f>HYPERLINK("http://141.218.60.56/~jnz1568/getInfo.php?workbook=14_04.xlsx&amp;sheet=A0&amp;row=2954&amp;col=6&amp;number=7.301&amp;sourceID=14","7.301")</f>
        <v>7.301</v>
      </c>
      <c r="G2954" s="4" t="str">
        <f>HYPERLINK("http://141.218.60.56/~jnz1568/getInfo.php?workbook=14_04.xlsx&amp;sheet=A0&amp;row=2954&amp;col=7&amp;number=0&amp;sourceID=14","0")</f>
        <v>0</v>
      </c>
    </row>
    <row r="2955" spans="1:7">
      <c r="A2955" s="3">
        <v>14</v>
      </c>
      <c r="B2955" s="3">
        <v>4</v>
      </c>
      <c r="C2955" s="3">
        <v>86</v>
      </c>
      <c r="D2955" s="3">
        <v>63</v>
      </c>
      <c r="E2955" s="3">
        <v>-842.435</v>
      </c>
      <c r="F2955" s="4" t="str">
        <f>HYPERLINK("http://141.218.60.56/~jnz1568/getInfo.php?workbook=14_04.xlsx&amp;sheet=A0&amp;row=2955&amp;col=6&amp;number=61380&amp;sourceID=14","61380")</f>
        <v>61380</v>
      </c>
      <c r="G2955" s="4" t="str">
        <f>HYPERLINK("http://141.218.60.56/~jnz1568/getInfo.php?workbook=14_04.xlsx&amp;sheet=A0&amp;row=2955&amp;col=7&amp;number=0&amp;sourceID=14","0")</f>
        <v>0</v>
      </c>
    </row>
    <row r="2956" spans="1:7">
      <c r="A2956" s="3">
        <v>14</v>
      </c>
      <c r="B2956" s="3">
        <v>4</v>
      </c>
      <c r="C2956" s="3">
        <v>87</v>
      </c>
      <c r="D2956" s="3">
        <v>63</v>
      </c>
      <c r="E2956" s="3">
        <v>-840.396</v>
      </c>
      <c r="F2956" s="4" t="str">
        <f>HYPERLINK("http://141.218.60.56/~jnz1568/getInfo.php?workbook=14_04.xlsx&amp;sheet=A0&amp;row=2956&amp;col=6&amp;number=252500&amp;sourceID=14","252500")</f>
        <v>252500</v>
      </c>
      <c r="G2956" s="4" t="str">
        <f>HYPERLINK("http://141.218.60.56/~jnz1568/getInfo.php?workbook=14_04.xlsx&amp;sheet=A0&amp;row=2956&amp;col=7&amp;number=0&amp;sourceID=14","0")</f>
        <v>0</v>
      </c>
    </row>
    <row r="2957" spans="1:7">
      <c r="A2957" s="3">
        <v>14</v>
      </c>
      <c r="B2957" s="3">
        <v>4</v>
      </c>
      <c r="C2957" s="3">
        <v>88</v>
      </c>
      <c r="D2957" s="3">
        <v>63</v>
      </c>
      <c r="E2957" s="3">
        <v>-822.673</v>
      </c>
      <c r="F2957" s="4" t="str">
        <f>HYPERLINK("http://141.218.60.56/~jnz1568/getInfo.php?workbook=14_04.xlsx&amp;sheet=A0&amp;row=2957&amp;col=6&amp;number=914100&amp;sourceID=14","914100")</f>
        <v>914100</v>
      </c>
      <c r="G2957" s="4" t="str">
        <f>HYPERLINK("http://141.218.60.56/~jnz1568/getInfo.php?workbook=14_04.xlsx&amp;sheet=A0&amp;row=2957&amp;col=7&amp;number=0&amp;sourceID=14","0")</f>
        <v>0</v>
      </c>
    </row>
    <row r="2958" spans="1:7">
      <c r="A2958" s="3">
        <v>14</v>
      </c>
      <c r="B2958" s="3">
        <v>4</v>
      </c>
      <c r="C2958" s="3">
        <v>89</v>
      </c>
      <c r="D2958" s="3">
        <v>63</v>
      </c>
      <c r="E2958" s="3">
        <v>-786.403</v>
      </c>
      <c r="F2958" s="4" t="str">
        <f>HYPERLINK("http://141.218.60.56/~jnz1568/getInfo.php?workbook=14_04.xlsx&amp;sheet=A0&amp;row=2958&amp;col=6&amp;number=8.662&amp;sourceID=14","8.662")</f>
        <v>8.662</v>
      </c>
      <c r="G2958" s="4" t="str">
        <f>HYPERLINK("http://141.218.60.56/~jnz1568/getInfo.php?workbook=14_04.xlsx&amp;sheet=A0&amp;row=2958&amp;col=7&amp;number=0&amp;sourceID=14","0")</f>
        <v>0</v>
      </c>
    </row>
    <row r="2959" spans="1:7">
      <c r="A2959" s="3">
        <v>14</v>
      </c>
      <c r="B2959" s="3">
        <v>4</v>
      </c>
      <c r="C2959" s="3">
        <v>90</v>
      </c>
      <c r="D2959" s="3">
        <v>63</v>
      </c>
      <c r="E2959" s="3">
        <v>-786.087</v>
      </c>
      <c r="F2959" s="4" t="str">
        <f>HYPERLINK("http://141.218.60.56/~jnz1568/getInfo.php?workbook=14_04.xlsx&amp;sheet=A0&amp;row=2959&amp;col=6&amp;number=3.423&amp;sourceID=14","3.423")</f>
        <v>3.423</v>
      </c>
      <c r="G2959" s="4" t="str">
        <f>HYPERLINK("http://141.218.60.56/~jnz1568/getInfo.php?workbook=14_04.xlsx&amp;sheet=A0&amp;row=2959&amp;col=7&amp;number=0&amp;sourceID=14","0")</f>
        <v>0</v>
      </c>
    </row>
    <row r="2960" spans="1:7">
      <c r="A2960" s="3">
        <v>14</v>
      </c>
      <c r="B2960" s="3">
        <v>4</v>
      </c>
      <c r="C2960" s="3">
        <v>91</v>
      </c>
      <c r="D2960" s="3">
        <v>63</v>
      </c>
      <c r="E2960" s="3">
        <v>-785.601</v>
      </c>
      <c r="F2960" s="4" t="str">
        <f>HYPERLINK("http://141.218.60.56/~jnz1568/getInfo.php?workbook=14_04.xlsx&amp;sheet=A0&amp;row=2960&amp;col=6&amp;number=5.157&amp;sourceID=14","5.157")</f>
        <v>5.157</v>
      </c>
      <c r="G2960" s="4" t="str">
        <f>HYPERLINK("http://141.218.60.56/~jnz1568/getInfo.php?workbook=14_04.xlsx&amp;sheet=A0&amp;row=2960&amp;col=7&amp;number=0&amp;sourceID=14","0")</f>
        <v>0</v>
      </c>
    </row>
    <row r="2961" spans="1:7">
      <c r="A2961" s="3">
        <v>14</v>
      </c>
      <c r="B2961" s="3">
        <v>4</v>
      </c>
      <c r="C2961" s="3">
        <v>92</v>
      </c>
      <c r="D2961" s="3">
        <v>63</v>
      </c>
      <c r="E2961" s="3">
        <v>-756.714</v>
      </c>
      <c r="F2961" s="4" t="str">
        <f>HYPERLINK("http://141.218.60.56/~jnz1568/getInfo.php?workbook=14_04.xlsx&amp;sheet=A0&amp;row=2961&amp;col=6&amp;number=1.08&amp;sourceID=14","1.08")</f>
        <v>1.08</v>
      </c>
      <c r="G2961" s="4" t="str">
        <f>HYPERLINK("http://141.218.60.56/~jnz1568/getInfo.php?workbook=14_04.xlsx&amp;sheet=A0&amp;row=2961&amp;col=7&amp;number=0&amp;sourceID=14","0")</f>
        <v>0</v>
      </c>
    </row>
    <row r="2962" spans="1:7">
      <c r="A2962" s="3">
        <v>14</v>
      </c>
      <c r="B2962" s="3">
        <v>4</v>
      </c>
      <c r="C2962" s="3">
        <v>65</v>
      </c>
      <c r="D2962" s="3">
        <v>64</v>
      </c>
      <c r="E2962" s="3">
        <v>-56363.446</v>
      </c>
      <c r="F2962" s="4" t="str">
        <f>HYPERLINK("http://141.218.60.56/~jnz1568/getInfo.php?workbook=14_04.xlsx&amp;sheet=A0&amp;row=2962&amp;col=6&amp;number=7.317e-07&amp;sourceID=14","7.317e-07")</f>
        <v>7.317e-07</v>
      </c>
      <c r="G2962" s="4" t="str">
        <f>HYPERLINK("http://141.218.60.56/~jnz1568/getInfo.php?workbook=14_04.xlsx&amp;sheet=A0&amp;row=2962&amp;col=7&amp;number=0&amp;sourceID=14","0")</f>
        <v>0</v>
      </c>
    </row>
    <row r="2963" spans="1:7">
      <c r="A2963" s="3">
        <v>14</v>
      </c>
      <c r="B2963" s="3">
        <v>4</v>
      </c>
      <c r="C2963" s="3">
        <v>67</v>
      </c>
      <c r="D2963" s="3">
        <v>64</v>
      </c>
      <c r="E2963" s="3">
        <v>-16266.564</v>
      </c>
      <c r="F2963" s="4" t="str">
        <f>HYPERLINK("http://141.218.60.56/~jnz1568/getInfo.php?workbook=14_04.xlsx&amp;sheet=A0&amp;row=2963&amp;col=6&amp;number=0.006775&amp;sourceID=14","0.006775")</f>
        <v>0.006775</v>
      </c>
      <c r="G2963" s="4" t="str">
        <f>HYPERLINK("http://141.218.60.56/~jnz1568/getInfo.php?workbook=14_04.xlsx&amp;sheet=A0&amp;row=2963&amp;col=7&amp;number=0&amp;sourceID=14","0")</f>
        <v>0</v>
      </c>
    </row>
    <row r="2964" spans="1:7">
      <c r="A2964" s="3">
        <v>14</v>
      </c>
      <c r="B2964" s="3">
        <v>4</v>
      </c>
      <c r="C2964" s="3">
        <v>68</v>
      </c>
      <c r="D2964" s="3">
        <v>64</v>
      </c>
      <c r="E2964" s="3">
        <v>-14412.037</v>
      </c>
      <c r="F2964" s="4" t="str">
        <f>HYPERLINK("http://141.218.60.56/~jnz1568/getInfo.php?workbook=14_04.xlsx&amp;sheet=A0&amp;row=2964&amp;col=6&amp;number=0.4396&amp;sourceID=14","0.4396")</f>
        <v>0.4396</v>
      </c>
      <c r="G2964" s="4" t="str">
        <f>HYPERLINK("http://141.218.60.56/~jnz1568/getInfo.php?workbook=14_04.xlsx&amp;sheet=A0&amp;row=2964&amp;col=7&amp;number=0&amp;sourceID=14","0")</f>
        <v>0</v>
      </c>
    </row>
    <row r="2965" spans="1:7">
      <c r="A2965" s="3">
        <v>14</v>
      </c>
      <c r="B2965" s="3">
        <v>4</v>
      </c>
      <c r="C2965" s="3">
        <v>69</v>
      </c>
      <c r="D2965" s="3">
        <v>64</v>
      </c>
      <c r="E2965" s="3">
        <v>-12902.909</v>
      </c>
      <c r="F2965" s="4" t="str">
        <f>HYPERLINK("http://141.218.60.56/~jnz1568/getInfo.php?workbook=14_04.xlsx&amp;sheet=A0&amp;row=2965&amp;col=6&amp;number=283.4&amp;sourceID=14","283.4")</f>
        <v>283.4</v>
      </c>
      <c r="G2965" s="4" t="str">
        <f>HYPERLINK("http://141.218.60.56/~jnz1568/getInfo.php?workbook=14_04.xlsx&amp;sheet=A0&amp;row=2965&amp;col=7&amp;number=0&amp;sourceID=14","0")</f>
        <v>0</v>
      </c>
    </row>
    <row r="2966" spans="1:7">
      <c r="A2966" s="3">
        <v>14</v>
      </c>
      <c r="B2966" s="3">
        <v>4</v>
      </c>
      <c r="C2966" s="3">
        <v>70</v>
      </c>
      <c r="D2966" s="3">
        <v>64</v>
      </c>
      <c r="E2966" s="3">
        <v>-8941.748</v>
      </c>
      <c r="F2966" s="4" t="str">
        <f>HYPERLINK("http://141.218.60.56/~jnz1568/getInfo.php?workbook=14_04.xlsx&amp;sheet=A0&amp;row=2966&amp;col=6&amp;number=164600&amp;sourceID=14","164600")</f>
        <v>164600</v>
      </c>
      <c r="G2966" s="4" t="str">
        <f>HYPERLINK("http://141.218.60.56/~jnz1568/getInfo.php?workbook=14_04.xlsx&amp;sheet=A0&amp;row=2966&amp;col=7&amp;number=0&amp;sourceID=14","0")</f>
        <v>0</v>
      </c>
    </row>
    <row r="2967" spans="1:7">
      <c r="A2967" s="3">
        <v>14</v>
      </c>
      <c r="B2967" s="3">
        <v>4</v>
      </c>
      <c r="C2967" s="3">
        <v>71</v>
      </c>
      <c r="D2967" s="3">
        <v>64</v>
      </c>
      <c r="E2967" s="3">
        <v>-7939.687</v>
      </c>
      <c r="F2967" s="4" t="str">
        <f>HYPERLINK("http://141.218.60.56/~jnz1568/getInfo.php?workbook=14_04.xlsx&amp;sheet=A0&amp;row=2967&amp;col=6&amp;number=32570&amp;sourceID=14","32570")</f>
        <v>32570</v>
      </c>
      <c r="G2967" s="4" t="str">
        <f>HYPERLINK("http://141.218.60.56/~jnz1568/getInfo.php?workbook=14_04.xlsx&amp;sheet=A0&amp;row=2967&amp;col=7&amp;number=0&amp;sourceID=14","0")</f>
        <v>0</v>
      </c>
    </row>
    <row r="2968" spans="1:7">
      <c r="A2968" s="3">
        <v>14</v>
      </c>
      <c r="B2968" s="3">
        <v>4</v>
      </c>
      <c r="C2968" s="3">
        <v>72</v>
      </c>
      <c r="D2968" s="3">
        <v>64</v>
      </c>
      <c r="E2968" s="3">
        <v>-6769.401</v>
      </c>
      <c r="F2968" s="4" t="str">
        <f>HYPERLINK("http://141.218.60.56/~jnz1568/getInfo.php?workbook=14_04.xlsx&amp;sheet=A0&amp;row=2968&amp;col=6&amp;number=1.206&amp;sourceID=14","1.206")</f>
        <v>1.206</v>
      </c>
      <c r="G2968" s="4" t="str">
        <f>HYPERLINK("http://141.218.60.56/~jnz1568/getInfo.php?workbook=14_04.xlsx&amp;sheet=A0&amp;row=2968&amp;col=7&amp;number=0&amp;sourceID=14","0")</f>
        <v>0</v>
      </c>
    </row>
    <row r="2969" spans="1:7">
      <c r="A2969" s="3">
        <v>14</v>
      </c>
      <c r="B2969" s="3">
        <v>4</v>
      </c>
      <c r="C2969" s="3">
        <v>73</v>
      </c>
      <c r="D2969" s="3">
        <v>64</v>
      </c>
      <c r="E2969" s="3">
        <v>-6215.322</v>
      </c>
      <c r="F2969" s="4" t="str">
        <f>HYPERLINK("http://141.218.60.56/~jnz1568/getInfo.php?workbook=14_04.xlsx&amp;sheet=A0&amp;row=2969&amp;col=6&amp;number=12100000&amp;sourceID=14","12100000")</f>
        <v>12100000</v>
      </c>
      <c r="G2969" s="4" t="str">
        <f>HYPERLINK("http://141.218.60.56/~jnz1568/getInfo.php?workbook=14_04.xlsx&amp;sheet=A0&amp;row=2969&amp;col=7&amp;number=0&amp;sourceID=14","0")</f>
        <v>0</v>
      </c>
    </row>
    <row r="2970" spans="1:7">
      <c r="A2970" s="3">
        <v>14</v>
      </c>
      <c r="B2970" s="3">
        <v>4</v>
      </c>
      <c r="C2970" s="3">
        <v>75</v>
      </c>
      <c r="D2970" s="3">
        <v>64</v>
      </c>
      <c r="E2970" s="3">
        <v>-5123.439</v>
      </c>
      <c r="F2970" s="4" t="str">
        <f>HYPERLINK("http://141.218.60.56/~jnz1568/getInfo.php?workbook=14_04.xlsx&amp;sheet=A0&amp;row=2970&amp;col=6&amp;number=722.5&amp;sourceID=14","722.5")</f>
        <v>722.5</v>
      </c>
      <c r="G2970" s="4" t="str">
        <f>HYPERLINK("http://141.218.60.56/~jnz1568/getInfo.php?workbook=14_04.xlsx&amp;sheet=A0&amp;row=2970&amp;col=7&amp;number=0&amp;sourceID=14","0")</f>
        <v>0</v>
      </c>
    </row>
    <row r="2971" spans="1:7">
      <c r="A2971" s="3">
        <v>14</v>
      </c>
      <c r="B2971" s="3">
        <v>4</v>
      </c>
      <c r="C2971" s="3">
        <v>76</v>
      </c>
      <c r="D2971" s="3">
        <v>64</v>
      </c>
      <c r="E2971" s="3">
        <v>-4501.345</v>
      </c>
      <c r="F2971" s="4" t="str">
        <f>HYPERLINK("http://141.218.60.56/~jnz1568/getInfo.php?workbook=14_04.xlsx&amp;sheet=A0&amp;row=2971&amp;col=6&amp;number=8859000&amp;sourceID=14","8859000")</f>
        <v>8859000</v>
      </c>
      <c r="G2971" s="4" t="str">
        <f>HYPERLINK("http://141.218.60.56/~jnz1568/getInfo.php?workbook=14_04.xlsx&amp;sheet=A0&amp;row=2971&amp;col=7&amp;number=0&amp;sourceID=14","0")</f>
        <v>0</v>
      </c>
    </row>
    <row r="2972" spans="1:7">
      <c r="A2972" s="3">
        <v>14</v>
      </c>
      <c r="B2972" s="3">
        <v>4</v>
      </c>
      <c r="C2972" s="3">
        <v>77</v>
      </c>
      <c r="D2972" s="3">
        <v>64</v>
      </c>
      <c r="E2972" s="3">
        <v>-4055.324</v>
      </c>
      <c r="F2972" s="4" t="str">
        <f>HYPERLINK("http://141.218.60.56/~jnz1568/getInfo.php?workbook=14_04.xlsx&amp;sheet=A0&amp;row=2972&amp;col=6&amp;number=5518000&amp;sourceID=14","5518000")</f>
        <v>5518000</v>
      </c>
      <c r="G2972" s="4" t="str">
        <f>HYPERLINK("http://141.218.60.56/~jnz1568/getInfo.php?workbook=14_04.xlsx&amp;sheet=A0&amp;row=2972&amp;col=7&amp;number=0&amp;sourceID=14","0")</f>
        <v>0</v>
      </c>
    </row>
    <row r="2973" spans="1:7">
      <c r="A2973" s="3">
        <v>14</v>
      </c>
      <c r="B2973" s="3">
        <v>4</v>
      </c>
      <c r="C2973" s="3">
        <v>81</v>
      </c>
      <c r="D2973" s="3">
        <v>64</v>
      </c>
      <c r="E2973" s="3">
        <v>-2779.08</v>
      </c>
      <c r="F2973" s="4" t="str">
        <f>HYPERLINK("http://141.218.60.56/~jnz1568/getInfo.php?workbook=14_04.xlsx&amp;sheet=A0&amp;row=2973&amp;col=6&amp;number=92650&amp;sourceID=14","92650")</f>
        <v>92650</v>
      </c>
      <c r="G2973" s="4" t="str">
        <f>HYPERLINK("http://141.218.60.56/~jnz1568/getInfo.php?workbook=14_04.xlsx&amp;sheet=A0&amp;row=2973&amp;col=7&amp;number=0&amp;sourceID=14","0")</f>
        <v>0</v>
      </c>
    </row>
    <row r="2974" spans="1:7">
      <c r="A2974" s="3">
        <v>14</v>
      </c>
      <c r="B2974" s="3">
        <v>4</v>
      </c>
      <c r="C2974" s="3">
        <v>83</v>
      </c>
      <c r="D2974" s="3">
        <v>64</v>
      </c>
      <c r="E2974" s="3">
        <v>-1013.867</v>
      </c>
      <c r="F2974" s="4" t="str">
        <f>HYPERLINK("http://141.218.60.56/~jnz1568/getInfo.php?workbook=14_04.xlsx&amp;sheet=A0&amp;row=2974&amp;col=6&amp;number=11.16&amp;sourceID=14","11.16")</f>
        <v>11.16</v>
      </c>
      <c r="G2974" s="4" t="str">
        <f>HYPERLINK("http://141.218.60.56/~jnz1568/getInfo.php?workbook=14_04.xlsx&amp;sheet=A0&amp;row=2974&amp;col=7&amp;number=0&amp;sourceID=14","0")</f>
        <v>0</v>
      </c>
    </row>
    <row r="2975" spans="1:7">
      <c r="A2975" s="3">
        <v>14</v>
      </c>
      <c r="B2975" s="3">
        <v>4</v>
      </c>
      <c r="C2975" s="3">
        <v>87</v>
      </c>
      <c r="D2975" s="3">
        <v>64</v>
      </c>
      <c r="E2975" s="3">
        <v>-880.561</v>
      </c>
      <c r="F2975" s="4" t="str">
        <f>HYPERLINK("http://141.218.60.56/~jnz1568/getInfo.php?workbook=14_04.xlsx&amp;sheet=A0&amp;row=2975&amp;col=6&amp;number=310100&amp;sourceID=14","310100")</f>
        <v>310100</v>
      </c>
      <c r="G2975" s="4" t="str">
        <f>HYPERLINK("http://141.218.60.56/~jnz1568/getInfo.php?workbook=14_04.xlsx&amp;sheet=A0&amp;row=2975&amp;col=7&amp;number=0&amp;sourceID=14","0")</f>
        <v>0</v>
      </c>
    </row>
    <row r="2976" spans="1:7">
      <c r="A2976" s="3">
        <v>14</v>
      </c>
      <c r="B2976" s="3">
        <v>4</v>
      </c>
      <c r="C2976" s="3">
        <v>89</v>
      </c>
      <c r="D2976" s="3">
        <v>64</v>
      </c>
      <c r="E2976" s="3">
        <v>-821.465</v>
      </c>
      <c r="F2976" s="4" t="str">
        <f>HYPERLINK("http://141.218.60.56/~jnz1568/getInfo.php?workbook=14_04.xlsx&amp;sheet=A0&amp;row=2976&amp;col=6&amp;number=0.9211&amp;sourceID=14","0.9211")</f>
        <v>0.9211</v>
      </c>
      <c r="G2976" s="4" t="str">
        <f>HYPERLINK("http://141.218.60.56/~jnz1568/getInfo.php?workbook=14_04.xlsx&amp;sheet=A0&amp;row=2976&amp;col=7&amp;number=0&amp;sourceID=14","0")</f>
        <v>0</v>
      </c>
    </row>
    <row r="2977" spans="1:7">
      <c r="A2977" s="3">
        <v>14</v>
      </c>
      <c r="B2977" s="3">
        <v>4</v>
      </c>
      <c r="C2977" s="3">
        <v>90</v>
      </c>
      <c r="D2977" s="3">
        <v>64</v>
      </c>
      <c r="E2977" s="3">
        <v>-821.12</v>
      </c>
      <c r="F2977" s="4" t="str">
        <f>HYPERLINK("http://141.218.60.56/~jnz1568/getInfo.php?workbook=14_04.xlsx&amp;sheet=A0&amp;row=2977&amp;col=6&amp;number=5.553&amp;sourceID=14","5.553")</f>
        <v>5.553</v>
      </c>
      <c r="G2977" s="4" t="str">
        <f>HYPERLINK("http://141.218.60.56/~jnz1568/getInfo.php?workbook=14_04.xlsx&amp;sheet=A0&amp;row=2977&amp;col=7&amp;number=0&amp;sourceID=14","0")</f>
        <v>0</v>
      </c>
    </row>
    <row r="2978" spans="1:7">
      <c r="A2978" s="3">
        <v>14</v>
      </c>
      <c r="B2978" s="3">
        <v>4</v>
      </c>
      <c r="C2978" s="3">
        <v>91</v>
      </c>
      <c r="D2978" s="3">
        <v>64</v>
      </c>
      <c r="E2978" s="3">
        <v>-820.591</v>
      </c>
      <c r="F2978" s="4" t="str">
        <f>HYPERLINK("http://141.218.60.56/~jnz1568/getInfo.php?workbook=14_04.xlsx&amp;sheet=A0&amp;row=2978&amp;col=6&amp;number=9.594&amp;sourceID=14","9.594")</f>
        <v>9.594</v>
      </c>
      <c r="G2978" s="4" t="str">
        <f>HYPERLINK("http://141.218.60.56/~jnz1568/getInfo.php?workbook=14_04.xlsx&amp;sheet=A0&amp;row=2978&amp;col=7&amp;number=0&amp;sourceID=14","0")</f>
        <v>0</v>
      </c>
    </row>
    <row r="2979" spans="1:7">
      <c r="A2979" s="3">
        <v>14</v>
      </c>
      <c r="B2979" s="3">
        <v>4</v>
      </c>
      <c r="C2979" s="3">
        <v>92</v>
      </c>
      <c r="D2979" s="3">
        <v>64</v>
      </c>
      <c r="E2979" s="3">
        <v>-789.124</v>
      </c>
      <c r="F2979" s="4" t="str">
        <f>HYPERLINK("http://141.218.60.56/~jnz1568/getInfo.php?workbook=14_04.xlsx&amp;sheet=A0&amp;row=2979&amp;col=6&amp;number=0.01407&amp;sourceID=14","0.01407")</f>
        <v>0.01407</v>
      </c>
      <c r="G2979" s="4" t="str">
        <f>HYPERLINK("http://141.218.60.56/~jnz1568/getInfo.php?workbook=14_04.xlsx&amp;sheet=A0&amp;row=2979&amp;col=7&amp;number=0&amp;sourceID=14","0")</f>
        <v>0</v>
      </c>
    </row>
    <row r="2980" spans="1:7">
      <c r="A2980" s="3">
        <v>14</v>
      </c>
      <c r="B2980" s="3">
        <v>4</v>
      </c>
      <c r="C2980" s="3">
        <v>67</v>
      </c>
      <c r="D2980" s="3">
        <v>65</v>
      </c>
      <c r="E2980" s="3">
        <v>-22865.608</v>
      </c>
      <c r="F2980" s="4" t="str">
        <f>HYPERLINK("http://141.218.60.56/~jnz1568/getInfo.php?workbook=14_04.xlsx&amp;sheet=A0&amp;row=2980&amp;col=6&amp;number=0.263&amp;sourceID=14","0.263")</f>
        <v>0.263</v>
      </c>
      <c r="G2980" s="4" t="str">
        <f>HYPERLINK("http://141.218.60.56/~jnz1568/getInfo.php?workbook=14_04.xlsx&amp;sheet=A0&amp;row=2980&amp;col=7&amp;number=0&amp;sourceID=14","0")</f>
        <v>0</v>
      </c>
    </row>
    <row r="2981" spans="1:7">
      <c r="A2981" s="3">
        <v>14</v>
      </c>
      <c r="B2981" s="3">
        <v>4</v>
      </c>
      <c r="C2981" s="3">
        <v>68</v>
      </c>
      <c r="D2981" s="3">
        <v>65</v>
      </c>
      <c r="E2981" s="3">
        <v>-19363.166</v>
      </c>
      <c r="F2981" s="4" t="str">
        <f>HYPERLINK("http://141.218.60.56/~jnz1568/getInfo.php?workbook=14_04.xlsx&amp;sheet=A0&amp;row=2981&amp;col=6&amp;number=0.5792&amp;sourceID=14","0.5792")</f>
        <v>0.5792</v>
      </c>
      <c r="G2981" s="4" t="str">
        <f>HYPERLINK("http://141.218.60.56/~jnz1568/getInfo.php?workbook=14_04.xlsx&amp;sheet=A0&amp;row=2981&amp;col=7&amp;number=0&amp;sourceID=14","0")</f>
        <v>0</v>
      </c>
    </row>
    <row r="2982" spans="1:7">
      <c r="A2982" s="3">
        <v>14</v>
      </c>
      <c r="B2982" s="3">
        <v>4</v>
      </c>
      <c r="C2982" s="3">
        <v>69</v>
      </c>
      <c r="D2982" s="3">
        <v>65</v>
      </c>
      <c r="E2982" s="3">
        <v>-16733.626</v>
      </c>
      <c r="F2982" s="4" t="str">
        <f>HYPERLINK("http://141.218.60.56/~jnz1568/getInfo.php?workbook=14_04.xlsx&amp;sheet=A0&amp;row=2982&amp;col=6&amp;number=214.1&amp;sourceID=14","214.1")</f>
        <v>214.1</v>
      </c>
      <c r="G2982" s="4" t="str">
        <f>HYPERLINK("http://141.218.60.56/~jnz1568/getInfo.php?workbook=14_04.xlsx&amp;sheet=A0&amp;row=2982&amp;col=7&amp;number=0&amp;sourceID=14","0")</f>
        <v>0</v>
      </c>
    </row>
    <row r="2983" spans="1:7">
      <c r="A2983" s="3">
        <v>14</v>
      </c>
      <c r="B2983" s="3">
        <v>4</v>
      </c>
      <c r="C2983" s="3">
        <v>71</v>
      </c>
      <c r="D2983" s="3">
        <v>65</v>
      </c>
      <c r="E2983" s="3">
        <v>-9241.498</v>
      </c>
      <c r="F2983" s="4" t="str">
        <f>HYPERLINK("http://141.218.60.56/~jnz1568/getInfo.php?workbook=14_04.xlsx&amp;sheet=A0&amp;row=2983&amp;col=6&amp;number=3004&amp;sourceID=14","3004")</f>
        <v>3004</v>
      </c>
      <c r="G2983" s="4" t="str">
        <f>HYPERLINK("http://141.218.60.56/~jnz1568/getInfo.php?workbook=14_04.xlsx&amp;sheet=A0&amp;row=2983&amp;col=7&amp;number=0&amp;sourceID=14","0")</f>
        <v>0</v>
      </c>
    </row>
    <row r="2984" spans="1:7">
      <c r="A2984" s="3">
        <v>14</v>
      </c>
      <c r="B2984" s="3">
        <v>4</v>
      </c>
      <c r="C2984" s="3">
        <v>72</v>
      </c>
      <c r="D2984" s="3">
        <v>65</v>
      </c>
      <c r="E2984" s="3">
        <v>-7693.399</v>
      </c>
      <c r="F2984" s="4" t="str">
        <f>HYPERLINK("http://141.218.60.56/~jnz1568/getInfo.php?workbook=14_04.xlsx&amp;sheet=A0&amp;row=2984&amp;col=6&amp;number=0.2609&amp;sourceID=14","0.2609")</f>
        <v>0.2609</v>
      </c>
      <c r="G2984" s="4" t="str">
        <f>HYPERLINK("http://141.218.60.56/~jnz1568/getInfo.php?workbook=14_04.xlsx&amp;sheet=A0&amp;row=2984&amp;col=7&amp;number=0&amp;sourceID=14","0")</f>
        <v>0</v>
      </c>
    </row>
    <row r="2985" spans="1:7">
      <c r="A2985" s="3">
        <v>14</v>
      </c>
      <c r="B2985" s="3">
        <v>4</v>
      </c>
      <c r="C2985" s="3">
        <v>74</v>
      </c>
      <c r="D2985" s="3">
        <v>65</v>
      </c>
      <c r="E2985" s="3">
        <v>-6318.723</v>
      </c>
      <c r="F2985" s="4" t="str">
        <f>HYPERLINK("http://141.218.60.56/~jnz1568/getInfo.php?workbook=14_04.xlsx&amp;sheet=A0&amp;row=2985&amp;col=6&amp;number=2430000&amp;sourceID=14","2430000")</f>
        <v>2430000</v>
      </c>
      <c r="G2985" s="4" t="str">
        <f>HYPERLINK("http://141.218.60.56/~jnz1568/getInfo.php?workbook=14_04.xlsx&amp;sheet=A0&amp;row=2985&amp;col=7&amp;number=0&amp;sourceID=14","0")</f>
        <v>0</v>
      </c>
    </row>
    <row r="2986" spans="1:7">
      <c r="A2986" s="3">
        <v>14</v>
      </c>
      <c r="B2986" s="3">
        <v>4</v>
      </c>
      <c r="C2986" s="3">
        <v>75</v>
      </c>
      <c r="D2986" s="3">
        <v>65</v>
      </c>
      <c r="E2986" s="3">
        <v>-5635.726</v>
      </c>
      <c r="F2986" s="4" t="str">
        <f>HYPERLINK("http://141.218.60.56/~jnz1568/getInfo.php?workbook=14_04.xlsx&amp;sheet=A0&amp;row=2986&amp;col=6&amp;number=10120000&amp;sourceID=14","10120000")</f>
        <v>10120000</v>
      </c>
      <c r="G2986" s="4" t="str">
        <f>HYPERLINK("http://141.218.60.56/~jnz1568/getInfo.php?workbook=14_04.xlsx&amp;sheet=A0&amp;row=2986&amp;col=7&amp;number=0&amp;sourceID=14","0")</f>
        <v>0</v>
      </c>
    </row>
    <row r="2987" spans="1:7">
      <c r="A2987" s="3">
        <v>14</v>
      </c>
      <c r="B2987" s="3">
        <v>4</v>
      </c>
      <c r="C2987" s="3">
        <v>77</v>
      </c>
      <c r="D2987" s="3">
        <v>65</v>
      </c>
      <c r="E2987" s="3">
        <v>-4369.724</v>
      </c>
      <c r="F2987" s="4" t="str">
        <f>HYPERLINK("http://141.218.60.56/~jnz1568/getInfo.php?workbook=14_04.xlsx&amp;sheet=A0&amp;row=2987&amp;col=6&amp;number=6282000&amp;sourceID=14","6282000")</f>
        <v>6282000</v>
      </c>
      <c r="G2987" s="4" t="str">
        <f>HYPERLINK("http://141.218.60.56/~jnz1568/getInfo.php?workbook=14_04.xlsx&amp;sheet=A0&amp;row=2987&amp;col=7&amp;number=0&amp;sourceID=14","0")</f>
        <v>0</v>
      </c>
    </row>
    <row r="2988" spans="1:7">
      <c r="A2988" s="3">
        <v>14</v>
      </c>
      <c r="B2988" s="3">
        <v>4</v>
      </c>
      <c r="C2988" s="3">
        <v>78</v>
      </c>
      <c r="D2988" s="3">
        <v>65</v>
      </c>
      <c r="E2988" s="3">
        <v>-4227.292</v>
      </c>
      <c r="F2988" s="4" t="str">
        <f>HYPERLINK("http://141.218.60.56/~jnz1568/getInfo.php?workbook=14_04.xlsx&amp;sheet=A0&amp;row=2988&amp;col=6&amp;number=3176000&amp;sourceID=14","3176000")</f>
        <v>3176000</v>
      </c>
      <c r="G2988" s="4" t="str">
        <f>HYPERLINK("http://141.218.60.56/~jnz1568/getInfo.php?workbook=14_04.xlsx&amp;sheet=A0&amp;row=2988&amp;col=7&amp;number=0&amp;sourceID=14","0")</f>
        <v>0</v>
      </c>
    </row>
    <row r="2989" spans="1:7">
      <c r="A2989" s="3">
        <v>14</v>
      </c>
      <c r="B2989" s="3">
        <v>4</v>
      </c>
      <c r="C2989" s="3">
        <v>79</v>
      </c>
      <c r="D2989" s="3">
        <v>65</v>
      </c>
      <c r="E2989" s="3">
        <v>-4150.318</v>
      </c>
      <c r="F2989" s="4" t="str">
        <f>HYPERLINK("http://141.218.60.56/~jnz1568/getInfo.php?workbook=14_04.xlsx&amp;sheet=A0&amp;row=2989&amp;col=6&amp;number=2120000&amp;sourceID=14","2120000")</f>
        <v>2120000</v>
      </c>
      <c r="G2989" s="4" t="str">
        <f>HYPERLINK("http://141.218.60.56/~jnz1568/getInfo.php?workbook=14_04.xlsx&amp;sheet=A0&amp;row=2989&amp;col=7&amp;number=0&amp;sourceID=14","0")</f>
        <v>0</v>
      </c>
    </row>
    <row r="2990" spans="1:7">
      <c r="A2990" s="3">
        <v>14</v>
      </c>
      <c r="B2990" s="3">
        <v>4</v>
      </c>
      <c r="C2990" s="3">
        <v>80</v>
      </c>
      <c r="D2990" s="3">
        <v>65</v>
      </c>
      <c r="E2990" s="3">
        <v>-3774.535</v>
      </c>
      <c r="F2990" s="4" t="str">
        <f>HYPERLINK("http://141.218.60.56/~jnz1568/getInfo.php?workbook=14_04.xlsx&amp;sheet=A0&amp;row=2990&amp;col=6&amp;number=7&amp;sourceID=14","7")</f>
        <v>7</v>
      </c>
      <c r="G2990" s="4" t="str">
        <f>HYPERLINK("http://141.218.60.56/~jnz1568/getInfo.php?workbook=14_04.xlsx&amp;sheet=A0&amp;row=2990&amp;col=7&amp;number=0&amp;sourceID=14","0")</f>
        <v>0</v>
      </c>
    </row>
    <row r="2991" spans="1:7">
      <c r="A2991" s="3">
        <v>14</v>
      </c>
      <c r="B2991" s="3">
        <v>4</v>
      </c>
      <c r="C2991" s="3">
        <v>82</v>
      </c>
      <c r="D2991" s="3">
        <v>65</v>
      </c>
      <c r="E2991" s="3">
        <v>-2782.41</v>
      </c>
      <c r="F2991" s="4" t="str">
        <f>HYPERLINK("http://141.218.60.56/~jnz1568/getInfo.php?workbook=14_04.xlsx&amp;sheet=A0&amp;row=2991&amp;col=6&amp;number=20180000&amp;sourceID=14","20180000")</f>
        <v>20180000</v>
      </c>
      <c r="G2991" s="4" t="str">
        <f>HYPERLINK("http://141.218.60.56/~jnz1568/getInfo.php?workbook=14_04.xlsx&amp;sheet=A0&amp;row=2991&amp;col=7&amp;number=0&amp;sourceID=14","0")</f>
        <v>0</v>
      </c>
    </row>
    <row r="2992" spans="1:7">
      <c r="A2992" s="3">
        <v>14</v>
      </c>
      <c r="B2992" s="3">
        <v>4</v>
      </c>
      <c r="C2992" s="3">
        <v>83</v>
      </c>
      <c r="D2992" s="3">
        <v>65</v>
      </c>
      <c r="E2992" s="3">
        <v>-1032.439</v>
      </c>
      <c r="F2992" s="4" t="str">
        <f>HYPERLINK("http://141.218.60.56/~jnz1568/getInfo.php?workbook=14_04.xlsx&amp;sheet=A0&amp;row=2992&amp;col=6&amp;number=0.1925&amp;sourceID=14","0.1925")</f>
        <v>0.1925</v>
      </c>
      <c r="G2992" s="4" t="str">
        <f>HYPERLINK("http://141.218.60.56/~jnz1568/getInfo.php?workbook=14_04.xlsx&amp;sheet=A0&amp;row=2992&amp;col=7&amp;number=0&amp;sourceID=14","0")</f>
        <v>0</v>
      </c>
    </row>
    <row r="2993" spans="1:7">
      <c r="A2993" s="3">
        <v>14</v>
      </c>
      <c r="B2993" s="3">
        <v>4</v>
      </c>
      <c r="C2993" s="3">
        <v>84</v>
      </c>
      <c r="D2993" s="3">
        <v>65</v>
      </c>
      <c r="E2993" s="3">
        <v>-961.094</v>
      </c>
      <c r="F2993" s="4" t="str">
        <f>HYPERLINK("http://141.218.60.56/~jnz1568/getInfo.php?workbook=14_04.xlsx&amp;sheet=A0&amp;row=2993&amp;col=6&amp;number=0.9665&amp;sourceID=14","0.9665")</f>
        <v>0.9665</v>
      </c>
      <c r="G2993" s="4" t="str">
        <f>HYPERLINK("http://141.218.60.56/~jnz1568/getInfo.php?workbook=14_04.xlsx&amp;sheet=A0&amp;row=2993&amp;col=7&amp;number=0&amp;sourceID=14","0")</f>
        <v>0</v>
      </c>
    </row>
    <row r="2994" spans="1:7">
      <c r="A2994" s="3">
        <v>14</v>
      </c>
      <c r="B2994" s="3">
        <v>4</v>
      </c>
      <c r="C2994" s="3">
        <v>85</v>
      </c>
      <c r="D2994" s="3">
        <v>65</v>
      </c>
      <c r="E2994" s="3">
        <v>-897.825</v>
      </c>
      <c r="F2994" s="4" t="str">
        <f>HYPERLINK("http://141.218.60.56/~jnz1568/getInfo.php?workbook=14_04.xlsx&amp;sheet=A0&amp;row=2994&amp;col=6&amp;number=29460000&amp;sourceID=14","29460000")</f>
        <v>29460000</v>
      </c>
      <c r="G2994" s="4" t="str">
        <f>HYPERLINK("http://141.218.60.56/~jnz1568/getInfo.php?workbook=14_04.xlsx&amp;sheet=A0&amp;row=2994&amp;col=7&amp;number=0&amp;sourceID=14","0")</f>
        <v>0</v>
      </c>
    </row>
    <row r="2995" spans="1:7">
      <c r="A2995" s="3">
        <v>14</v>
      </c>
      <c r="B2995" s="3">
        <v>4</v>
      </c>
      <c r="C2995" s="3">
        <v>86</v>
      </c>
      <c r="D2995" s="3">
        <v>65</v>
      </c>
      <c r="E2995" s="3">
        <v>-896.847</v>
      </c>
      <c r="F2995" s="4" t="str">
        <f>HYPERLINK("http://141.218.60.56/~jnz1568/getInfo.php?workbook=14_04.xlsx&amp;sheet=A0&amp;row=2995&amp;col=6&amp;number=22850000&amp;sourceID=14","22850000")</f>
        <v>22850000</v>
      </c>
      <c r="G2995" s="4" t="str">
        <f>HYPERLINK("http://141.218.60.56/~jnz1568/getInfo.php?workbook=14_04.xlsx&amp;sheet=A0&amp;row=2995&amp;col=7&amp;number=0&amp;sourceID=14","0")</f>
        <v>0</v>
      </c>
    </row>
    <row r="2996" spans="1:7">
      <c r="A2996" s="3">
        <v>14</v>
      </c>
      <c r="B2996" s="3">
        <v>4</v>
      </c>
      <c r="C2996" s="3">
        <v>87</v>
      </c>
      <c r="D2996" s="3">
        <v>65</v>
      </c>
      <c r="E2996" s="3">
        <v>-894.536</v>
      </c>
      <c r="F2996" s="4" t="str">
        <f>HYPERLINK("http://141.218.60.56/~jnz1568/getInfo.php?workbook=14_04.xlsx&amp;sheet=A0&amp;row=2996&amp;col=6&amp;number=16670000&amp;sourceID=14","16670000")</f>
        <v>16670000</v>
      </c>
      <c r="G2996" s="4" t="str">
        <f>HYPERLINK("http://141.218.60.56/~jnz1568/getInfo.php?workbook=14_04.xlsx&amp;sheet=A0&amp;row=2996&amp;col=7&amp;number=0&amp;sourceID=14","0")</f>
        <v>0</v>
      </c>
    </row>
    <row r="2997" spans="1:7">
      <c r="A2997" s="3">
        <v>14</v>
      </c>
      <c r="B2997" s="3">
        <v>4</v>
      </c>
      <c r="C2997" s="3">
        <v>88</v>
      </c>
      <c r="D2997" s="3">
        <v>65</v>
      </c>
      <c r="E2997" s="3">
        <v>-874.484</v>
      </c>
      <c r="F2997" s="4" t="str">
        <f>HYPERLINK("http://141.218.60.56/~jnz1568/getInfo.php?workbook=14_04.xlsx&amp;sheet=A0&amp;row=2997&amp;col=6&amp;number=883700&amp;sourceID=14","883700")</f>
        <v>883700</v>
      </c>
      <c r="G2997" s="4" t="str">
        <f>HYPERLINK("http://141.218.60.56/~jnz1568/getInfo.php?workbook=14_04.xlsx&amp;sheet=A0&amp;row=2997&amp;col=7&amp;number=0&amp;sourceID=14","0")</f>
        <v>0</v>
      </c>
    </row>
    <row r="2998" spans="1:7">
      <c r="A2998" s="3">
        <v>14</v>
      </c>
      <c r="B2998" s="3">
        <v>4</v>
      </c>
      <c r="C2998" s="3">
        <v>89</v>
      </c>
      <c r="D2998" s="3">
        <v>65</v>
      </c>
      <c r="E2998" s="3">
        <v>-833.615</v>
      </c>
      <c r="F2998" s="4" t="str">
        <f>HYPERLINK("http://141.218.60.56/~jnz1568/getInfo.php?workbook=14_04.xlsx&amp;sheet=A0&amp;row=2998&amp;col=6&amp;number=365.5&amp;sourceID=14","365.5")</f>
        <v>365.5</v>
      </c>
      <c r="G2998" s="4" t="str">
        <f>HYPERLINK("http://141.218.60.56/~jnz1568/getInfo.php?workbook=14_04.xlsx&amp;sheet=A0&amp;row=2998&amp;col=7&amp;number=0&amp;sourceID=14","0")</f>
        <v>0</v>
      </c>
    </row>
    <row r="2999" spans="1:7">
      <c r="A2999" s="3">
        <v>14</v>
      </c>
      <c r="B2999" s="3">
        <v>4</v>
      </c>
      <c r="C2999" s="3">
        <v>90</v>
      </c>
      <c r="D2999" s="3">
        <v>65</v>
      </c>
      <c r="E2999" s="3">
        <v>-833.26</v>
      </c>
      <c r="F2999" s="4" t="str">
        <f>HYPERLINK("http://141.218.60.56/~jnz1568/getInfo.php?workbook=14_04.xlsx&amp;sheet=A0&amp;row=2999&amp;col=6&amp;number=408.2&amp;sourceID=14","408.2")</f>
        <v>408.2</v>
      </c>
      <c r="G2999" s="4" t="str">
        <f>HYPERLINK("http://141.218.60.56/~jnz1568/getInfo.php?workbook=14_04.xlsx&amp;sheet=A0&amp;row=2999&amp;col=7&amp;number=0&amp;sourceID=14","0")</f>
        <v>0</v>
      </c>
    </row>
    <row r="3000" spans="1:7">
      <c r="A3000" s="3">
        <v>14</v>
      </c>
      <c r="B3000" s="3">
        <v>4</v>
      </c>
      <c r="C3000" s="3">
        <v>91</v>
      </c>
      <c r="D3000" s="3">
        <v>65</v>
      </c>
      <c r="E3000" s="3">
        <v>-832.714</v>
      </c>
      <c r="F3000" s="4" t="str">
        <f>HYPERLINK("http://141.218.60.56/~jnz1568/getInfo.php?workbook=14_04.xlsx&amp;sheet=A0&amp;row=3000&amp;col=6&amp;number=401.3&amp;sourceID=14","401.3")</f>
        <v>401.3</v>
      </c>
      <c r="G3000" s="4" t="str">
        <f>HYPERLINK("http://141.218.60.56/~jnz1568/getInfo.php?workbook=14_04.xlsx&amp;sheet=A0&amp;row=3000&amp;col=7&amp;number=0&amp;sourceID=14","0")</f>
        <v>0</v>
      </c>
    </row>
    <row r="3001" spans="1:7">
      <c r="A3001" s="3">
        <v>14</v>
      </c>
      <c r="B3001" s="3">
        <v>4</v>
      </c>
      <c r="C3001" s="3">
        <v>92</v>
      </c>
      <c r="D3001" s="3">
        <v>65</v>
      </c>
      <c r="E3001" s="3">
        <v>-800.33</v>
      </c>
      <c r="F3001" s="4" t="str">
        <f>HYPERLINK("http://141.218.60.56/~jnz1568/getInfo.php?workbook=14_04.xlsx&amp;sheet=A0&amp;row=3001&amp;col=6&amp;number=3.281&amp;sourceID=14","3.281")</f>
        <v>3.281</v>
      </c>
      <c r="G3001" s="4" t="str">
        <f>HYPERLINK("http://141.218.60.56/~jnz1568/getInfo.php?workbook=14_04.xlsx&amp;sheet=A0&amp;row=3001&amp;col=7&amp;number=0&amp;sourceID=14","0")</f>
        <v>0</v>
      </c>
    </row>
    <row r="3002" spans="1:7">
      <c r="A3002" s="3">
        <v>14</v>
      </c>
      <c r="B3002" s="3">
        <v>4</v>
      </c>
      <c r="C3002" s="3">
        <v>67</v>
      </c>
      <c r="D3002" s="3">
        <v>66</v>
      </c>
      <c r="E3002" s="3">
        <v>-22099.087</v>
      </c>
      <c r="F3002" s="4" t="str">
        <f>HYPERLINK("http://141.218.60.56/~jnz1568/getInfo.php?workbook=14_04.xlsx&amp;sheet=A0&amp;row=3002&amp;col=6&amp;number=1.029&amp;sourceID=14","1.029")</f>
        <v>1.029</v>
      </c>
      <c r="G3002" s="4" t="str">
        <f>HYPERLINK("http://141.218.60.56/~jnz1568/getInfo.php?workbook=14_04.xlsx&amp;sheet=A0&amp;row=3002&amp;col=7&amp;number=0&amp;sourceID=14","0")</f>
        <v>0</v>
      </c>
    </row>
    <row r="3003" spans="1:7">
      <c r="A3003" s="3">
        <v>14</v>
      </c>
      <c r="B3003" s="3">
        <v>4</v>
      </c>
      <c r="C3003" s="3">
        <v>68</v>
      </c>
      <c r="D3003" s="3">
        <v>66</v>
      </c>
      <c r="E3003" s="3">
        <v>-18810.647</v>
      </c>
      <c r="F3003" s="4" t="str">
        <f>HYPERLINK("http://141.218.60.56/~jnz1568/getInfo.php?workbook=14_04.xlsx&amp;sheet=A0&amp;row=3003&amp;col=6&amp;number=0.0001024&amp;sourceID=14","0.0001024")</f>
        <v>0.0001024</v>
      </c>
      <c r="G3003" s="4" t="str">
        <f>HYPERLINK("http://141.218.60.56/~jnz1568/getInfo.php?workbook=14_04.xlsx&amp;sheet=A0&amp;row=3003&amp;col=7&amp;number=0&amp;sourceID=14","0")</f>
        <v>0</v>
      </c>
    </row>
    <row r="3004" spans="1:7">
      <c r="A3004" s="3">
        <v>14</v>
      </c>
      <c r="B3004" s="3">
        <v>4</v>
      </c>
      <c r="C3004" s="3">
        <v>72</v>
      </c>
      <c r="D3004" s="3">
        <v>66</v>
      </c>
      <c r="E3004" s="3">
        <v>-7604.65</v>
      </c>
      <c r="F3004" s="4" t="str">
        <f>HYPERLINK("http://141.218.60.56/~jnz1568/getInfo.php?workbook=14_04.xlsx&amp;sheet=A0&amp;row=3004&amp;col=6&amp;number=7.543e-05&amp;sourceID=14","7.543e-05")</f>
        <v>7.543e-05</v>
      </c>
      <c r="G3004" s="4" t="str">
        <f>HYPERLINK("http://141.218.60.56/~jnz1568/getInfo.php?workbook=14_04.xlsx&amp;sheet=A0&amp;row=3004&amp;col=7&amp;number=0&amp;sourceID=14","0")</f>
        <v>0</v>
      </c>
    </row>
    <row r="3005" spans="1:7">
      <c r="A3005" s="3">
        <v>14</v>
      </c>
      <c r="B3005" s="3">
        <v>4</v>
      </c>
      <c r="C3005" s="3">
        <v>74</v>
      </c>
      <c r="D3005" s="3">
        <v>66</v>
      </c>
      <c r="E3005" s="3">
        <v>-6258.733</v>
      </c>
      <c r="F3005" s="4" t="str">
        <f>HYPERLINK("http://141.218.60.56/~jnz1568/getInfo.php?workbook=14_04.xlsx&amp;sheet=A0&amp;row=3005&amp;col=6&amp;number=6038000&amp;sourceID=14","6038000")</f>
        <v>6038000</v>
      </c>
      <c r="G3005" s="4" t="str">
        <f>HYPERLINK("http://141.218.60.56/~jnz1568/getInfo.php?workbook=14_04.xlsx&amp;sheet=A0&amp;row=3005&amp;col=7&amp;number=0&amp;sourceID=14","0")</f>
        <v>0</v>
      </c>
    </row>
    <row r="3006" spans="1:7">
      <c r="A3006" s="3">
        <v>14</v>
      </c>
      <c r="B3006" s="3">
        <v>4</v>
      </c>
      <c r="C3006" s="3">
        <v>78</v>
      </c>
      <c r="D3006" s="3">
        <v>66</v>
      </c>
      <c r="E3006" s="3">
        <v>-4200.357</v>
      </c>
      <c r="F3006" s="4" t="str">
        <f>HYPERLINK("http://141.218.60.56/~jnz1568/getInfo.php?workbook=14_04.xlsx&amp;sheet=A0&amp;row=3006&amp;col=6&amp;number=193700&amp;sourceID=14","193700")</f>
        <v>193700</v>
      </c>
      <c r="G3006" s="4" t="str">
        <f>HYPERLINK("http://141.218.60.56/~jnz1568/getInfo.php?workbook=14_04.xlsx&amp;sheet=A0&amp;row=3006&amp;col=7&amp;number=0&amp;sourceID=14","0")</f>
        <v>0</v>
      </c>
    </row>
    <row r="3007" spans="1:7">
      <c r="A3007" s="3">
        <v>14</v>
      </c>
      <c r="B3007" s="3">
        <v>4</v>
      </c>
      <c r="C3007" s="3">
        <v>82</v>
      </c>
      <c r="D3007" s="3">
        <v>66</v>
      </c>
      <c r="E3007" s="3">
        <v>-2770.715</v>
      </c>
      <c r="F3007" s="4" t="str">
        <f>HYPERLINK("http://141.218.60.56/~jnz1568/getInfo.php?workbook=14_04.xlsx&amp;sheet=A0&amp;row=3007&amp;col=6&amp;number=111700&amp;sourceID=14","111700")</f>
        <v>111700</v>
      </c>
      <c r="G3007" s="4" t="str">
        <f>HYPERLINK("http://141.218.60.56/~jnz1568/getInfo.php?workbook=14_04.xlsx&amp;sheet=A0&amp;row=3007&amp;col=7&amp;number=0&amp;sourceID=14","0")</f>
        <v>0</v>
      </c>
    </row>
    <row r="3008" spans="1:7">
      <c r="A3008" s="3">
        <v>14</v>
      </c>
      <c r="B3008" s="3">
        <v>4</v>
      </c>
      <c r="C3008" s="3">
        <v>83</v>
      </c>
      <c r="D3008" s="3">
        <v>66</v>
      </c>
      <c r="E3008" s="3">
        <v>-1030.824</v>
      </c>
      <c r="F3008" s="4" t="str">
        <f>HYPERLINK("http://141.218.60.56/~jnz1568/getInfo.php?workbook=14_04.xlsx&amp;sheet=A0&amp;row=3008&amp;col=6&amp;number=0.1197&amp;sourceID=14","0.1197")</f>
        <v>0.1197</v>
      </c>
      <c r="G3008" s="4" t="str">
        <f>HYPERLINK("http://141.218.60.56/~jnz1568/getInfo.php?workbook=14_04.xlsx&amp;sheet=A0&amp;row=3008&amp;col=7&amp;number=0&amp;sourceID=14","0")</f>
        <v>0</v>
      </c>
    </row>
    <row r="3009" spans="1:7">
      <c r="A3009" s="3">
        <v>14</v>
      </c>
      <c r="B3009" s="3">
        <v>4</v>
      </c>
      <c r="C3009" s="3">
        <v>86</v>
      </c>
      <c r="D3009" s="3">
        <v>66</v>
      </c>
      <c r="E3009" s="3">
        <v>-895.629</v>
      </c>
      <c r="F3009" s="4" t="str">
        <f>HYPERLINK("http://141.218.60.56/~jnz1568/getInfo.php?workbook=14_04.xlsx&amp;sheet=A0&amp;row=3009&amp;col=6&amp;number=639900&amp;sourceID=14","639900")</f>
        <v>639900</v>
      </c>
      <c r="G3009" s="4" t="str">
        <f>HYPERLINK("http://141.218.60.56/~jnz1568/getInfo.php?workbook=14_04.xlsx&amp;sheet=A0&amp;row=3009&amp;col=7&amp;number=0&amp;sourceID=14","0")</f>
        <v>0</v>
      </c>
    </row>
    <row r="3010" spans="1:7">
      <c r="A3010" s="3">
        <v>14</v>
      </c>
      <c r="B3010" s="3">
        <v>4</v>
      </c>
      <c r="C3010" s="3">
        <v>88</v>
      </c>
      <c r="D3010" s="3">
        <v>66</v>
      </c>
      <c r="E3010" s="3">
        <v>-873.325</v>
      </c>
      <c r="F3010" s="4" t="str">
        <f>HYPERLINK("http://141.218.60.56/~jnz1568/getInfo.php?workbook=14_04.xlsx&amp;sheet=A0&amp;row=3010&amp;col=6&amp;number=3074000&amp;sourceID=14","3074000")</f>
        <v>3074000</v>
      </c>
      <c r="G3010" s="4" t="str">
        <f>HYPERLINK("http://141.218.60.56/~jnz1568/getInfo.php?workbook=14_04.xlsx&amp;sheet=A0&amp;row=3010&amp;col=7&amp;number=0&amp;sourceID=14","0")</f>
        <v>0</v>
      </c>
    </row>
    <row r="3011" spans="1:7">
      <c r="A3011" s="3">
        <v>14</v>
      </c>
      <c r="B3011" s="3">
        <v>4</v>
      </c>
      <c r="C3011" s="3">
        <v>89</v>
      </c>
      <c r="D3011" s="3">
        <v>66</v>
      </c>
      <c r="E3011" s="3">
        <v>-832.562</v>
      </c>
      <c r="F3011" s="4" t="str">
        <f>HYPERLINK("http://141.218.60.56/~jnz1568/getInfo.php?workbook=14_04.xlsx&amp;sheet=A0&amp;row=3011&amp;col=6&amp;number=0.0008603&amp;sourceID=14","0.0008603")</f>
        <v>0.0008603</v>
      </c>
      <c r="G3011" s="4" t="str">
        <f>HYPERLINK("http://141.218.60.56/~jnz1568/getInfo.php?workbook=14_04.xlsx&amp;sheet=A0&amp;row=3011&amp;col=7&amp;number=0&amp;sourceID=14","0")</f>
        <v>0</v>
      </c>
    </row>
    <row r="3012" spans="1:7">
      <c r="A3012" s="3">
        <v>14</v>
      </c>
      <c r="B3012" s="3">
        <v>4</v>
      </c>
      <c r="C3012" s="3">
        <v>90</v>
      </c>
      <c r="D3012" s="3">
        <v>66</v>
      </c>
      <c r="E3012" s="3">
        <v>-832.208</v>
      </c>
      <c r="F3012" s="4" t="str">
        <f>HYPERLINK("http://141.218.60.56/~jnz1568/getInfo.php?workbook=14_04.xlsx&amp;sheet=A0&amp;row=3012&amp;col=6&amp;number=0.2534&amp;sourceID=14","0.2534")</f>
        <v>0.2534</v>
      </c>
      <c r="G3012" s="4" t="str">
        <f>HYPERLINK("http://141.218.60.56/~jnz1568/getInfo.php?workbook=14_04.xlsx&amp;sheet=A0&amp;row=3012&amp;col=7&amp;number=0&amp;sourceID=14","0")</f>
        <v>0</v>
      </c>
    </row>
    <row r="3013" spans="1:7">
      <c r="A3013" s="3">
        <v>14</v>
      </c>
      <c r="B3013" s="3">
        <v>4</v>
      </c>
      <c r="C3013" s="3">
        <v>92</v>
      </c>
      <c r="D3013" s="3">
        <v>66</v>
      </c>
      <c r="E3013" s="3">
        <v>-799.359</v>
      </c>
      <c r="F3013" s="4" t="str">
        <f>HYPERLINK("http://141.218.60.56/~jnz1568/getInfo.php?workbook=14_04.xlsx&amp;sheet=A0&amp;row=3013&amp;col=6&amp;number=65.44&amp;sourceID=14","65.44")</f>
        <v>65.44</v>
      </c>
      <c r="G3013" s="4" t="str">
        <f>HYPERLINK("http://141.218.60.56/~jnz1568/getInfo.php?workbook=14_04.xlsx&amp;sheet=A0&amp;row=3013&amp;col=7&amp;number=0&amp;sourceID=14","0")</f>
        <v>0</v>
      </c>
    </row>
    <row r="3014" spans="1:7">
      <c r="A3014" s="3">
        <v>14</v>
      </c>
      <c r="B3014" s="3">
        <v>4</v>
      </c>
      <c r="C3014" s="3">
        <v>68</v>
      </c>
      <c r="D3014" s="3">
        <v>67</v>
      </c>
      <c r="E3014" s="3">
        <v>-126411.951</v>
      </c>
      <c r="F3014" s="4" t="str">
        <f>HYPERLINK("http://141.218.60.56/~jnz1568/getInfo.php?workbook=14_04.xlsx&amp;sheet=A0&amp;row=3014&amp;col=6&amp;number=0.004149&amp;sourceID=14","0.004149")</f>
        <v>0.004149</v>
      </c>
      <c r="G3014" s="4" t="str">
        <f>HYPERLINK("http://141.218.60.56/~jnz1568/getInfo.php?workbook=14_04.xlsx&amp;sheet=A0&amp;row=3014&amp;col=7&amp;number=0&amp;sourceID=14","0")</f>
        <v>0</v>
      </c>
    </row>
    <row r="3015" spans="1:7">
      <c r="A3015" s="3">
        <v>14</v>
      </c>
      <c r="B3015" s="3">
        <v>4</v>
      </c>
      <c r="C3015" s="3">
        <v>69</v>
      </c>
      <c r="D3015" s="3">
        <v>67</v>
      </c>
      <c r="E3015" s="3">
        <v>-62398.184</v>
      </c>
      <c r="F3015" s="4" t="str">
        <f>HYPERLINK("http://141.218.60.56/~jnz1568/getInfo.php?workbook=14_04.xlsx&amp;sheet=A0&amp;row=3015&amp;col=6&amp;number=0.1265&amp;sourceID=14","0.1265")</f>
        <v>0.1265</v>
      </c>
      <c r="G3015" s="4" t="str">
        <f>HYPERLINK("http://141.218.60.56/~jnz1568/getInfo.php?workbook=14_04.xlsx&amp;sheet=A0&amp;row=3015&amp;col=7&amp;number=0&amp;sourceID=14","0")</f>
        <v>0</v>
      </c>
    </row>
    <row r="3016" spans="1:7">
      <c r="A3016" s="3">
        <v>14</v>
      </c>
      <c r="B3016" s="3">
        <v>4</v>
      </c>
      <c r="C3016" s="3">
        <v>71</v>
      </c>
      <c r="D3016" s="3">
        <v>67</v>
      </c>
      <c r="E3016" s="3">
        <v>-15510.186</v>
      </c>
      <c r="F3016" s="4" t="str">
        <f>HYPERLINK("http://141.218.60.56/~jnz1568/getInfo.php?workbook=14_04.xlsx&amp;sheet=A0&amp;row=3016&amp;col=6&amp;number=2994&amp;sourceID=14","2994")</f>
        <v>2994</v>
      </c>
      <c r="G3016" s="4" t="str">
        <f>HYPERLINK("http://141.218.60.56/~jnz1568/getInfo.php?workbook=14_04.xlsx&amp;sheet=A0&amp;row=3016&amp;col=7&amp;number=0&amp;sourceID=14","0")</f>
        <v>0</v>
      </c>
    </row>
    <row r="3017" spans="1:7">
      <c r="A3017" s="3">
        <v>14</v>
      </c>
      <c r="B3017" s="3">
        <v>4</v>
      </c>
      <c r="C3017" s="3">
        <v>72</v>
      </c>
      <c r="D3017" s="3">
        <v>67</v>
      </c>
      <c r="E3017" s="3">
        <v>-11594.505</v>
      </c>
      <c r="F3017" s="4" t="str">
        <f>HYPERLINK("http://141.218.60.56/~jnz1568/getInfo.php?workbook=14_04.xlsx&amp;sheet=A0&amp;row=3017&amp;col=6&amp;number=0.2367&amp;sourceID=14","0.2367")</f>
        <v>0.2367</v>
      </c>
      <c r="G3017" s="4" t="str">
        <f>HYPERLINK("http://141.218.60.56/~jnz1568/getInfo.php?workbook=14_04.xlsx&amp;sheet=A0&amp;row=3017&amp;col=7&amp;number=0&amp;sourceID=14","0")</f>
        <v>0</v>
      </c>
    </row>
    <row r="3018" spans="1:7">
      <c r="A3018" s="3">
        <v>14</v>
      </c>
      <c r="B3018" s="3">
        <v>4</v>
      </c>
      <c r="C3018" s="3">
        <v>74</v>
      </c>
      <c r="D3018" s="3">
        <v>67</v>
      </c>
      <c r="E3018" s="3">
        <v>-8731.641</v>
      </c>
      <c r="F3018" s="4" t="str">
        <f>HYPERLINK("http://141.218.60.56/~jnz1568/getInfo.php?workbook=14_04.xlsx&amp;sheet=A0&amp;row=3018&amp;col=6&amp;number=159000&amp;sourceID=14","159000")</f>
        <v>159000</v>
      </c>
      <c r="G3018" s="4" t="str">
        <f>HYPERLINK("http://141.218.60.56/~jnz1568/getInfo.php?workbook=14_04.xlsx&amp;sheet=A0&amp;row=3018&amp;col=7&amp;number=0&amp;sourceID=14","0")</f>
        <v>0</v>
      </c>
    </row>
    <row r="3019" spans="1:7">
      <c r="A3019" s="3">
        <v>14</v>
      </c>
      <c r="B3019" s="3">
        <v>4</v>
      </c>
      <c r="C3019" s="3">
        <v>75</v>
      </c>
      <c r="D3019" s="3">
        <v>67</v>
      </c>
      <c r="E3019" s="3">
        <v>-7479.118</v>
      </c>
      <c r="F3019" s="4" t="str">
        <f>HYPERLINK("http://141.218.60.56/~jnz1568/getInfo.php?workbook=14_04.xlsx&amp;sheet=A0&amp;row=3019&amp;col=6&amp;number=719100&amp;sourceID=14","719100")</f>
        <v>719100</v>
      </c>
      <c r="G3019" s="4" t="str">
        <f>HYPERLINK("http://141.218.60.56/~jnz1568/getInfo.php?workbook=14_04.xlsx&amp;sheet=A0&amp;row=3019&amp;col=7&amp;number=0&amp;sourceID=14","0")</f>
        <v>0</v>
      </c>
    </row>
    <row r="3020" spans="1:7">
      <c r="A3020" s="3">
        <v>14</v>
      </c>
      <c r="B3020" s="3">
        <v>4</v>
      </c>
      <c r="C3020" s="3">
        <v>77</v>
      </c>
      <c r="D3020" s="3">
        <v>67</v>
      </c>
      <c r="E3020" s="3">
        <v>-5402.088</v>
      </c>
      <c r="F3020" s="4" t="str">
        <f>HYPERLINK("http://141.218.60.56/~jnz1568/getInfo.php?workbook=14_04.xlsx&amp;sheet=A0&amp;row=3020&amp;col=6&amp;number=5485000&amp;sourceID=14","5485000")</f>
        <v>5485000</v>
      </c>
      <c r="G3020" s="4" t="str">
        <f>HYPERLINK("http://141.218.60.56/~jnz1568/getInfo.php?workbook=14_04.xlsx&amp;sheet=A0&amp;row=3020&amp;col=7&amp;number=0&amp;sourceID=14","0")</f>
        <v>0</v>
      </c>
    </row>
    <row r="3021" spans="1:7">
      <c r="A3021" s="3">
        <v>14</v>
      </c>
      <c r="B3021" s="3">
        <v>4</v>
      </c>
      <c r="C3021" s="3">
        <v>78</v>
      </c>
      <c r="D3021" s="3">
        <v>67</v>
      </c>
      <c r="E3021" s="3">
        <v>-5186.07</v>
      </c>
      <c r="F3021" s="4" t="str">
        <f>HYPERLINK("http://141.218.60.56/~jnz1568/getInfo.php?workbook=14_04.xlsx&amp;sheet=A0&amp;row=3021&amp;col=6&amp;number=14040000&amp;sourceID=14","14040000")</f>
        <v>14040000</v>
      </c>
      <c r="G3021" s="4" t="str">
        <f>HYPERLINK("http://141.218.60.56/~jnz1568/getInfo.php?workbook=14_04.xlsx&amp;sheet=A0&amp;row=3021&amp;col=7&amp;number=0&amp;sourceID=14","0")</f>
        <v>0</v>
      </c>
    </row>
    <row r="3022" spans="1:7">
      <c r="A3022" s="3">
        <v>14</v>
      </c>
      <c r="B3022" s="3">
        <v>4</v>
      </c>
      <c r="C3022" s="3">
        <v>79</v>
      </c>
      <c r="D3022" s="3">
        <v>67</v>
      </c>
      <c r="E3022" s="3">
        <v>-5070.695</v>
      </c>
      <c r="F3022" s="4" t="str">
        <f>HYPERLINK("http://141.218.60.56/~jnz1568/getInfo.php?workbook=14_04.xlsx&amp;sheet=A0&amp;row=3022&amp;col=6&amp;number=20740000&amp;sourceID=14","20740000")</f>
        <v>20740000</v>
      </c>
      <c r="G3022" s="4" t="str">
        <f>HYPERLINK("http://141.218.60.56/~jnz1568/getInfo.php?workbook=14_04.xlsx&amp;sheet=A0&amp;row=3022&amp;col=7&amp;number=0&amp;sourceID=14","0")</f>
        <v>0</v>
      </c>
    </row>
    <row r="3023" spans="1:7">
      <c r="A3023" s="3">
        <v>14</v>
      </c>
      <c r="B3023" s="3">
        <v>4</v>
      </c>
      <c r="C3023" s="3">
        <v>80</v>
      </c>
      <c r="D3023" s="3">
        <v>67</v>
      </c>
      <c r="E3023" s="3">
        <v>-4520.806</v>
      </c>
      <c r="F3023" s="4" t="str">
        <f>HYPERLINK("http://141.218.60.56/~jnz1568/getInfo.php?workbook=14_04.xlsx&amp;sheet=A0&amp;row=3023&amp;col=6&amp;number=9.517&amp;sourceID=14","9.517")</f>
        <v>9.517</v>
      </c>
      <c r="G3023" s="4" t="str">
        <f>HYPERLINK("http://141.218.60.56/~jnz1568/getInfo.php?workbook=14_04.xlsx&amp;sheet=A0&amp;row=3023&amp;col=7&amp;number=0&amp;sourceID=14","0")</f>
        <v>0</v>
      </c>
    </row>
    <row r="3024" spans="1:7">
      <c r="A3024" s="3">
        <v>14</v>
      </c>
      <c r="B3024" s="3">
        <v>4</v>
      </c>
      <c r="C3024" s="3">
        <v>82</v>
      </c>
      <c r="D3024" s="3">
        <v>67</v>
      </c>
      <c r="E3024" s="3">
        <v>-3167.896</v>
      </c>
      <c r="F3024" s="4" t="str">
        <f>HYPERLINK("http://141.218.60.56/~jnz1568/getInfo.php?workbook=14_04.xlsx&amp;sheet=A0&amp;row=3024&amp;col=6&amp;number=1213&amp;sourceID=14","1213")</f>
        <v>1213</v>
      </c>
      <c r="G3024" s="4" t="str">
        <f>HYPERLINK("http://141.218.60.56/~jnz1568/getInfo.php?workbook=14_04.xlsx&amp;sheet=A0&amp;row=3024&amp;col=7&amp;number=0&amp;sourceID=14","0")</f>
        <v>0</v>
      </c>
    </row>
    <row r="3025" spans="1:7">
      <c r="A3025" s="3">
        <v>14</v>
      </c>
      <c r="B3025" s="3">
        <v>4</v>
      </c>
      <c r="C3025" s="3">
        <v>83</v>
      </c>
      <c r="D3025" s="3">
        <v>67</v>
      </c>
      <c r="E3025" s="3">
        <v>-1081.26</v>
      </c>
      <c r="F3025" s="4" t="str">
        <f>HYPERLINK("http://141.218.60.56/~jnz1568/getInfo.php?workbook=14_04.xlsx&amp;sheet=A0&amp;row=3025&amp;col=6&amp;number=0.08378&amp;sourceID=14","0.08378")</f>
        <v>0.08378</v>
      </c>
      <c r="G3025" s="4" t="str">
        <f>HYPERLINK("http://141.218.60.56/~jnz1568/getInfo.php?workbook=14_04.xlsx&amp;sheet=A0&amp;row=3025&amp;col=7&amp;number=0&amp;sourceID=14","0")</f>
        <v>0</v>
      </c>
    </row>
    <row r="3026" spans="1:7">
      <c r="A3026" s="3">
        <v>14</v>
      </c>
      <c r="B3026" s="3">
        <v>4</v>
      </c>
      <c r="C3026" s="3">
        <v>84</v>
      </c>
      <c r="D3026" s="3">
        <v>67</v>
      </c>
      <c r="E3026" s="3">
        <v>-1003.264</v>
      </c>
      <c r="F3026" s="4" t="str">
        <f>HYPERLINK("http://141.218.60.56/~jnz1568/getInfo.php?workbook=14_04.xlsx&amp;sheet=A0&amp;row=3026&amp;col=6&amp;number=1.985&amp;sourceID=14","1.985")</f>
        <v>1.985</v>
      </c>
      <c r="G3026" s="4" t="str">
        <f>HYPERLINK("http://141.218.60.56/~jnz1568/getInfo.php?workbook=14_04.xlsx&amp;sheet=A0&amp;row=3026&amp;col=7&amp;number=0&amp;sourceID=14","0")</f>
        <v>0</v>
      </c>
    </row>
    <row r="3027" spans="1:7">
      <c r="A3027" s="3">
        <v>14</v>
      </c>
      <c r="B3027" s="3">
        <v>4</v>
      </c>
      <c r="C3027" s="3">
        <v>85</v>
      </c>
      <c r="D3027" s="3">
        <v>67</v>
      </c>
      <c r="E3027" s="3">
        <v>-934.519</v>
      </c>
      <c r="F3027" s="4" t="str">
        <f>HYPERLINK("http://141.218.60.56/~jnz1568/getInfo.php?workbook=14_04.xlsx&amp;sheet=A0&amp;row=3027&amp;col=6&amp;number=4989000&amp;sourceID=14","4989000")</f>
        <v>4989000</v>
      </c>
      <c r="G3027" s="4" t="str">
        <f>HYPERLINK("http://141.218.60.56/~jnz1568/getInfo.php?workbook=14_04.xlsx&amp;sheet=A0&amp;row=3027&amp;col=7&amp;number=0&amp;sourceID=14","0")</f>
        <v>0</v>
      </c>
    </row>
    <row r="3028" spans="1:7">
      <c r="A3028" s="3">
        <v>14</v>
      </c>
      <c r="B3028" s="3">
        <v>4</v>
      </c>
      <c r="C3028" s="3">
        <v>86</v>
      </c>
      <c r="D3028" s="3">
        <v>67</v>
      </c>
      <c r="E3028" s="3">
        <v>-933.46</v>
      </c>
      <c r="F3028" s="4" t="str">
        <f>HYPERLINK("http://141.218.60.56/~jnz1568/getInfo.php?workbook=14_04.xlsx&amp;sheet=A0&amp;row=3028&amp;col=6&amp;number=8700000&amp;sourceID=14","8700000")</f>
        <v>8700000</v>
      </c>
      <c r="G3028" s="4" t="str">
        <f>HYPERLINK("http://141.218.60.56/~jnz1568/getInfo.php?workbook=14_04.xlsx&amp;sheet=A0&amp;row=3028&amp;col=7&amp;number=0&amp;sourceID=14","0")</f>
        <v>0</v>
      </c>
    </row>
    <row r="3029" spans="1:7">
      <c r="A3029" s="3">
        <v>14</v>
      </c>
      <c r="B3029" s="3">
        <v>4</v>
      </c>
      <c r="C3029" s="3">
        <v>87</v>
      </c>
      <c r="D3029" s="3">
        <v>67</v>
      </c>
      <c r="E3029" s="3">
        <v>-930.957</v>
      </c>
      <c r="F3029" s="4" t="str">
        <f>HYPERLINK("http://141.218.60.56/~jnz1568/getInfo.php?workbook=14_04.xlsx&amp;sheet=A0&amp;row=3029&amp;col=6&amp;number=17810000&amp;sourceID=14","17810000")</f>
        <v>17810000</v>
      </c>
      <c r="G3029" s="4" t="str">
        <f>HYPERLINK("http://141.218.60.56/~jnz1568/getInfo.php?workbook=14_04.xlsx&amp;sheet=A0&amp;row=3029&amp;col=7&amp;number=0&amp;sourceID=14","0")</f>
        <v>0</v>
      </c>
    </row>
    <row r="3030" spans="1:7">
      <c r="A3030" s="3">
        <v>14</v>
      </c>
      <c r="B3030" s="3">
        <v>4</v>
      </c>
      <c r="C3030" s="3">
        <v>88</v>
      </c>
      <c r="D3030" s="3">
        <v>67</v>
      </c>
      <c r="E3030" s="3">
        <v>-909.258</v>
      </c>
      <c r="F3030" s="4" t="str">
        <f>HYPERLINK("http://141.218.60.56/~jnz1568/getInfo.php?workbook=14_04.xlsx&amp;sheet=A0&amp;row=3030&amp;col=6&amp;number=44260&amp;sourceID=14","44260")</f>
        <v>44260</v>
      </c>
      <c r="G3030" s="4" t="str">
        <f>HYPERLINK("http://141.218.60.56/~jnz1568/getInfo.php?workbook=14_04.xlsx&amp;sheet=A0&amp;row=3030&amp;col=7&amp;number=0&amp;sourceID=14","0")</f>
        <v>0</v>
      </c>
    </row>
    <row r="3031" spans="1:7">
      <c r="A3031" s="3">
        <v>14</v>
      </c>
      <c r="B3031" s="3">
        <v>4</v>
      </c>
      <c r="C3031" s="3">
        <v>89</v>
      </c>
      <c r="D3031" s="3">
        <v>67</v>
      </c>
      <c r="E3031" s="3">
        <v>-865.156</v>
      </c>
      <c r="F3031" s="4" t="str">
        <f>HYPERLINK("http://141.218.60.56/~jnz1568/getInfo.php?workbook=14_04.xlsx&amp;sheet=A0&amp;row=3031&amp;col=6&amp;number=253.7&amp;sourceID=14","253.7")</f>
        <v>253.7</v>
      </c>
      <c r="G3031" s="4" t="str">
        <f>HYPERLINK("http://141.218.60.56/~jnz1568/getInfo.php?workbook=14_04.xlsx&amp;sheet=A0&amp;row=3031&amp;col=7&amp;number=0&amp;sourceID=14","0")</f>
        <v>0</v>
      </c>
    </row>
    <row r="3032" spans="1:7">
      <c r="A3032" s="3">
        <v>14</v>
      </c>
      <c r="B3032" s="3">
        <v>4</v>
      </c>
      <c r="C3032" s="3">
        <v>90</v>
      </c>
      <c r="D3032" s="3">
        <v>67</v>
      </c>
      <c r="E3032" s="3">
        <v>-864.773</v>
      </c>
      <c r="F3032" s="4" t="str">
        <f>HYPERLINK("http://141.218.60.56/~jnz1568/getInfo.php?workbook=14_04.xlsx&amp;sheet=A0&amp;row=3032&amp;col=6&amp;number=233&amp;sourceID=14","233")</f>
        <v>233</v>
      </c>
      <c r="G3032" s="4" t="str">
        <f>HYPERLINK("http://141.218.60.56/~jnz1568/getInfo.php?workbook=14_04.xlsx&amp;sheet=A0&amp;row=3032&amp;col=7&amp;number=0&amp;sourceID=14","0")</f>
        <v>0</v>
      </c>
    </row>
    <row r="3033" spans="1:7">
      <c r="A3033" s="3">
        <v>14</v>
      </c>
      <c r="B3033" s="3">
        <v>4</v>
      </c>
      <c r="C3033" s="3">
        <v>91</v>
      </c>
      <c r="D3033" s="3">
        <v>67</v>
      </c>
      <c r="E3033" s="3">
        <v>-864.186</v>
      </c>
      <c r="F3033" s="4" t="str">
        <f>HYPERLINK("http://141.218.60.56/~jnz1568/getInfo.php?workbook=14_04.xlsx&amp;sheet=A0&amp;row=3033&amp;col=6&amp;number=227.9&amp;sourceID=14","227.9")</f>
        <v>227.9</v>
      </c>
      <c r="G3033" s="4" t="str">
        <f>HYPERLINK("http://141.218.60.56/~jnz1568/getInfo.php?workbook=14_04.xlsx&amp;sheet=A0&amp;row=3033&amp;col=7&amp;number=0&amp;sourceID=14","0")</f>
        <v>0</v>
      </c>
    </row>
    <row r="3034" spans="1:7">
      <c r="A3034" s="3">
        <v>14</v>
      </c>
      <c r="B3034" s="3">
        <v>4</v>
      </c>
      <c r="C3034" s="3">
        <v>92</v>
      </c>
      <c r="D3034" s="3">
        <v>67</v>
      </c>
      <c r="E3034" s="3">
        <v>-829.358</v>
      </c>
      <c r="F3034" s="4" t="str">
        <f>HYPERLINK("http://141.218.60.56/~jnz1568/getInfo.php?workbook=14_04.xlsx&amp;sheet=A0&amp;row=3034&amp;col=6&amp;number=0.03119&amp;sourceID=14","0.03119")</f>
        <v>0.03119</v>
      </c>
      <c r="G3034" s="4" t="str">
        <f>HYPERLINK("http://141.218.60.56/~jnz1568/getInfo.php?workbook=14_04.xlsx&amp;sheet=A0&amp;row=3034&amp;col=7&amp;number=0&amp;sourceID=14","0")</f>
        <v>0</v>
      </c>
    </row>
    <row r="3035" spans="1:7">
      <c r="A3035" s="3">
        <v>14</v>
      </c>
      <c r="B3035" s="3">
        <v>4</v>
      </c>
      <c r="C3035" s="3">
        <v>69</v>
      </c>
      <c r="D3035" s="3">
        <v>68</v>
      </c>
      <c r="E3035" s="3">
        <v>-123221.558</v>
      </c>
      <c r="F3035" s="4" t="str">
        <f>HYPERLINK("http://141.218.60.56/~jnz1568/getInfo.php?workbook=14_04.xlsx&amp;sheet=A0&amp;row=3035&amp;col=6&amp;number=2.016&amp;sourceID=14","2.016")</f>
        <v>2.016</v>
      </c>
      <c r="G3035" s="4" t="str">
        <f>HYPERLINK("http://141.218.60.56/~jnz1568/getInfo.php?workbook=14_04.xlsx&amp;sheet=A0&amp;row=3035&amp;col=7&amp;number=0&amp;sourceID=14","0")</f>
        <v>0</v>
      </c>
    </row>
    <row r="3036" spans="1:7">
      <c r="A3036" s="3">
        <v>14</v>
      </c>
      <c r="B3036" s="3">
        <v>4</v>
      </c>
      <c r="C3036" s="3">
        <v>70</v>
      </c>
      <c r="D3036" s="3">
        <v>68</v>
      </c>
      <c r="E3036" s="3">
        <v>-23557.953</v>
      </c>
      <c r="F3036" s="4" t="str">
        <f>HYPERLINK("http://141.218.60.56/~jnz1568/getInfo.php?workbook=14_04.xlsx&amp;sheet=A0&amp;row=3036&amp;col=6&amp;number=167.7&amp;sourceID=14","167.7")</f>
        <v>167.7</v>
      </c>
      <c r="G3036" s="4" t="str">
        <f>HYPERLINK("http://141.218.60.56/~jnz1568/getInfo.php?workbook=14_04.xlsx&amp;sheet=A0&amp;row=3036&amp;col=7&amp;number=0&amp;sourceID=14","0")</f>
        <v>0</v>
      </c>
    </row>
    <row r="3037" spans="1:7">
      <c r="A3037" s="3">
        <v>14</v>
      </c>
      <c r="B3037" s="3">
        <v>4</v>
      </c>
      <c r="C3037" s="3">
        <v>71</v>
      </c>
      <c r="D3037" s="3">
        <v>68</v>
      </c>
      <c r="E3037" s="3">
        <v>-17679.366</v>
      </c>
      <c r="F3037" s="4" t="str">
        <f>HYPERLINK("http://141.218.60.56/~jnz1568/getInfo.php?workbook=14_04.xlsx&amp;sheet=A0&amp;row=3037&amp;col=6&amp;number=1920&amp;sourceID=14","1920")</f>
        <v>1920</v>
      </c>
      <c r="G3037" s="4" t="str">
        <f>HYPERLINK("http://141.218.60.56/~jnz1568/getInfo.php?workbook=14_04.xlsx&amp;sheet=A0&amp;row=3037&amp;col=7&amp;number=0&amp;sourceID=14","0")</f>
        <v>0</v>
      </c>
    </row>
    <row r="3038" spans="1:7">
      <c r="A3038" s="3">
        <v>14</v>
      </c>
      <c r="B3038" s="3">
        <v>4</v>
      </c>
      <c r="C3038" s="3">
        <v>72</v>
      </c>
      <c r="D3038" s="3">
        <v>68</v>
      </c>
      <c r="E3038" s="3">
        <v>-12765.342</v>
      </c>
      <c r="F3038" s="4" t="str">
        <f>HYPERLINK("http://141.218.60.56/~jnz1568/getInfo.php?workbook=14_04.xlsx&amp;sheet=A0&amp;row=3038&amp;col=6&amp;number=0.8394&amp;sourceID=14","0.8394")</f>
        <v>0.8394</v>
      </c>
      <c r="G3038" s="4" t="str">
        <f>HYPERLINK("http://141.218.60.56/~jnz1568/getInfo.php?workbook=14_04.xlsx&amp;sheet=A0&amp;row=3038&amp;col=7&amp;number=0&amp;sourceID=14","0")</f>
        <v>0</v>
      </c>
    </row>
    <row r="3039" spans="1:7">
      <c r="A3039" s="3">
        <v>14</v>
      </c>
      <c r="B3039" s="3">
        <v>4</v>
      </c>
      <c r="C3039" s="3">
        <v>74</v>
      </c>
      <c r="D3039" s="3">
        <v>68</v>
      </c>
      <c r="E3039" s="3">
        <v>-9379.511</v>
      </c>
      <c r="F3039" s="4" t="str">
        <f>HYPERLINK("http://141.218.60.56/~jnz1568/getInfo.php?workbook=14_04.xlsx&amp;sheet=A0&amp;row=3039&amp;col=6&amp;number=749.8&amp;sourceID=14","749.8")</f>
        <v>749.8</v>
      </c>
      <c r="G3039" s="4" t="str">
        <f>HYPERLINK("http://141.218.60.56/~jnz1568/getInfo.php?workbook=14_04.xlsx&amp;sheet=A0&amp;row=3039&amp;col=7&amp;number=0&amp;sourceID=14","0")</f>
        <v>0</v>
      </c>
    </row>
    <row r="3040" spans="1:7">
      <c r="A3040" s="3">
        <v>14</v>
      </c>
      <c r="B3040" s="3">
        <v>4</v>
      </c>
      <c r="C3040" s="3">
        <v>75</v>
      </c>
      <c r="D3040" s="3">
        <v>68</v>
      </c>
      <c r="E3040" s="3">
        <v>-7949.444</v>
      </c>
      <c r="F3040" s="4" t="str">
        <f>HYPERLINK("http://141.218.60.56/~jnz1568/getInfo.php?workbook=14_04.xlsx&amp;sheet=A0&amp;row=3040&amp;col=6&amp;number=299700&amp;sourceID=14","299700")</f>
        <v>299700</v>
      </c>
      <c r="G3040" s="4" t="str">
        <f>HYPERLINK("http://141.218.60.56/~jnz1568/getInfo.php?workbook=14_04.xlsx&amp;sheet=A0&amp;row=3040&amp;col=7&amp;number=0&amp;sourceID=14","0")</f>
        <v>0</v>
      </c>
    </row>
    <row r="3041" spans="1:7">
      <c r="A3041" s="3">
        <v>14</v>
      </c>
      <c r="B3041" s="3">
        <v>4</v>
      </c>
      <c r="C3041" s="3">
        <v>76</v>
      </c>
      <c r="D3041" s="3">
        <v>68</v>
      </c>
      <c r="E3041" s="3">
        <v>-6545.814</v>
      </c>
      <c r="F3041" s="4" t="str">
        <f>HYPERLINK("http://141.218.60.56/~jnz1568/getInfo.php?workbook=14_04.xlsx&amp;sheet=A0&amp;row=3041&amp;col=6&amp;number=7102000&amp;sourceID=14","7102000")</f>
        <v>7102000</v>
      </c>
      <c r="G3041" s="4" t="str">
        <f>HYPERLINK("http://141.218.60.56/~jnz1568/getInfo.php?workbook=14_04.xlsx&amp;sheet=A0&amp;row=3041&amp;col=7&amp;number=0&amp;sourceID=14","0")</f>
        <v>0</v>
      </c>
    </row>
    <row r="3042" spans="1:7">
      <c r="A3042" s="3">
        <v>14</v>
      </c>
      <c r="B3042" s="3">
        <v>4</v>
      </c>
      <c r="C3042" s="3">
        <v>77</v>
      </c>
      <c r="D3042" s="3">
        <v>68</v>
      </c>
      <c r="E3042" s="3">
        <v>-5643.246</v>
      </c>
      <c r="F3042" s="4" t="str">
        <f>HYPERLINK("http://141.218.60.56/~jnz1568/getInfo.php?workbook=14_04.xlsx&amp;sheet=A0&amp;row=3042&amp;col=6&amp;number=6427000&amp;sourceID=14","6427000")</f>
        <v>6427000</v>
      </c>
      <c r="G3042" s="4" t="str">
        <f>HYPERLINK("http://141.218.60.56/~jnz1568/getInfo.php?workbook=14_04.xlsx&amp;sheet=A0&amp;row=3042&amp;col=7&amp;number=0&amp;sourceID=14","0")</f>
        <v>0</v>
      </c>
    </row>
    <row r="3043" spans="1:7">
      <c r="A3043" s="3">
        <v>14</v>
      </c>
      <c r="B3043" s="3">
        <v>4</v>
      </c>
      <c r="C3043" s="3">
        <v>78</v>
      </c>
      <c r="D3043" s="3">
        <v>68</v>
      </c>
      <c r="E3043" s="3">
        <v>-5407.931</v>
      </c>
      <c r="F3043" s="4" t="str">
        <f>HYPERLINK("http://141.218.60.56/~jnz1568/getInfo.php?workbook=14_04.xlsx&amp;sheet=A0&amp;row=3043&amp;col=6&amp;number=3841000&amp;sourceID=14","3841000")</f>
        <v>3841000</v>
      </c>
      <c r="G3043" s="4" t="str">
        <f>HYPERLINK("http://141.218.60.56/~jnz1568/getInfo.php?workbook=14_04.xlsx&amp;sheet=A0&amp;row=3043&amp;col=7&amp;number=0&amp;sourceID=14","0")</f>
        <v>0</v>
      </c>
    </row>
    <row r="3044" spans="1:7">
      <c r="A3044" s="3">
        <v>14</v>
      </c>
      <c r="B3044" s="3">
        <v>4</v>
      </c>
      <c r="C3044" s="3">
        <v>80</v>
      </c>
      <c r="D3044" s="3">
        <v>68</v>
      </c>
      <c r="E3044" s="3">
        <v>-4688.477</v>
      </c>
      <c r="F3044" s="4" t="str">
        <f>HYPERLINK("http://141.218.60.56/~jnz1568/getInfo.php?workbook=14_04.xlsx&amp;sheet=A0&amp;row=3044&amp;col=6&amp;number=0.1209&amp;sourceID=14","0.1209")</f>
        <v>0.1209</v>
      </c>
      <c r="G3044" s="4" t="str">
        <f>HYPERLINK("http://141.218.60.56/~jnz1568/getInfo.php?workbook=14_04.xlsx&amp;sheet=A0&amp;row=3044&amp;col=7&amp;number=0&amp;sourceID=14","0")</f>
        <v>0</v>
      </c>
    </row>
    <row r="3045" spans="1:7">
      <c r="A3045" s="3">
        <v>14</v>
      </c>
      <c r="B3045" s="3">
        <v>4</v>
      </c>
      <c r="C3045" s="3">
        <v>81</v>
      </c>
      <c r="D3045" s="3">
        <v>68</v>
      </c>
      <c r="E3045" s="3">
        <v>-3442.994</v>
      </c>
      <c r="F3045" s="4" t="str">
        <f>HYPERLINK("http://141.218.60.56/~jnz1568/getInfo.php?workbook=14_04.xlsx&amp;sheet=A0&amp;row=3045&amp;col=6&amp;number=863300&amp;sourceID=14","863300")</f>
        <v>863300</v>
      </c>
      <c r="G3045" s="4" t="str">
        <f>HYPERLINK("http://141.218.60.56/~jnz1568/getInfo.php?workbook=14_04.xlsx&amp;sheet=A0&amp;row=3045&amp;col=7&amp;number=0&amp;sourceID=14","0")</f>
        <v>0</v>
      </c>
    </row>
    <row r="3046" spans="1:7">
      <c r="A3046" s="3">
        <v>14</v>
      </c>
      <c r="B3046" s="3">
        <v>4</v>
      </c>
      <c r="C3046" s="3">
        <v>82</v>
      </c>
      <c r="D3046" s="3">
        <v>68</v>
      </c>
      <c r="E3046" s="3">
        <v>-3249.325</v>
      </c>
      <c r="F3046" s="4" t="str">
        <f>HYPERLINK("http://141.218.60.56/~jnz1568/getInfo.php?workbook=14_04.xlsx&amp;sheet=A0&amp;row=3046&amp;col=6&amp;number=40270&amp;sourceID=14","40270")</f>
        <v>40270</v>
      </c>
      <c r="G3046" s="4" t="str">
        <f>HYPERLINK("http://141.218.60.56/~jnz1568/getInfo.php?workbook=14_04.xlsx&amp;sheet=A0&amp;row=3046&amp;col=7&amp;number=0&amp;sourceID=14","0")</f>
        <v>0</v>
      </c>
    </row>
    <row r="3047" spans="1:7">
      <c r="A3047" s="3">
        <v>14</v>
      </c>
      <c r="B3047" s="3">
        <v>4</v>
      </c>
      <c r="C3047" s="3">
        <v>83</v>
      </c>
      <c r="D3047" s="3">
        <v>68</v>
      </c>
      <c r="E3047" s="3">
        <v>-1090.589</v>
      </c>
      <c r="F3047" s="4" t="str">
        <f>HYPERLINK("http://141.218.60.56/~jnz1568/getInfo.php?workbook=14_04.xlsx&amp;sheet=A0&amp;row=3047&amp;col=6&amp;number=0.449&amp;sourceID=14","0.449")</f>
        <v>0.449</v>
      </c>
      <c r="G3047" s="4" t="str">
        <f>HYPERLINK("http://141.218.60.56/~jnz1568/getInfo.php?workbook=14_04.xlsx&amp;sheet=A0&amp;row=3047&amp;col=7&amp;number=0&amp;sourceID=14","0")</f>
        <v>0</v>
      </c>
    </row>
    <row r="3048" spans="1:7">
      <c r="A3048" s="3">
        <v>14</v>
      </c>
      <c r="B3048" s="3">
        <v>4</v>
      </c>
      <c r="C3048" s="3">
        <v>84</v>
      </c>
      <c r="D3048" s="3">
        <v>68</v>
      </c>
      <c r="E3048" s="3">
        <v>-1011.29</v>
      </c>
      <c r="F3048" s="4" t="str">
        <f>HYPERLINK("http://141.218.60.56/~jnz1568/getInfo.php?workbook=14_04.xlsx&amp;sheet=A0&amp;row=3048&amp;col=6&amp;number=7.775&amp;sourceID=14","7.775")</f>
        <v>7.775</v>
      </c>
      <c r="G3048" s="4" t="str">
        <f>HYPERLINK("http://141.218.60.56/~jnz1568/getInfo.php?workbook=14_04.xlsx&amp;sheet=A0&amp;row=3048&amp;col=7&amp;number=0&amp;sourceID=14","0")</f>
        <v>0</v>
      </c>
    </row>
    <row r="3049" spans="1:7">
      <c r="A3049" s="3">
        <v>14</v>
      </c>
      <c r="B3049" s="3">
        <v>4</v>
      </c>
      <c r="C3049" s="3">
        <v>86</v>
      </c>
      <c r="D3049" s="3">
        <v>68</v>
      </c>
      <c r="E3049" s="3">
        <v>-940.404</v>
      </c>
      <c r="F3049" s="4" t="str">
        <f>HYPERLINK("http://141.218.60.56/~jnz1568/getInfo.php?workbook=14_04.xlsx&amp;sheet=A0&amp;row=3049&amp;col=6&amp;number=1346000&amp;sourceID=14","1346000")</f>
        <v>1346000</v>
      </c>
      <c r="G3049" s="4" t="str">
        <f>HYPERLINK("http://141.218.60.56/~jnz1568/getInfo.php?workbook=14_04.xlsx&amp;sheet=A0&amp;row=3049&amp;col=7&amp;number=0&amp;sourceID=14","0")</f>
        <v>0</v>
      </c>
    </row>
    <row r="3050" spans="1:7">
      <c r="A3050" s="3">
        <v>14</v>
      </c>
      <c r="B3050" s="3">
        <v>4</v>
      </c>
      <c r="C3050" s="3">
        <v>87</v>
      </c>
      <c r="D3050" s="3">
        <v>68</v>
      </c>
      <c r="E3050" s="3">
        <v>-937.863</v>
      </c>
      <c r="F3050" s="4" t="str">
        <f>HYPERLINK("http://141.218.60.56/~jnz1568/getInfo.php?workbook=14_04.xlsx&amp;sheet=A0&amp;row=3050&amp;col=6&amp;number=1619000&amp;sourceID=14","1619000")</f>
        <v>1619000</v>
      </c>
      <c r="G3050" s="4" t="str">
        <f>HYPERLINK("http://141.218.60.56/~jnz1568/getInfo.php?workbook=14_04.xlsx&amp;sheet=A0&amp;row=3050&amp;col=7&amp;number=0&amp;sourceID=14","0")</f>
        <v>0</v>
      </c>
    </row>
    <row r="3051" spans="1:7">
      <c r="A3051" s="3">
        <v>14</v>
      </c>
      <c r="B3051" s="3">
        <v>4</v>
      </c>
      <c r="C3051" s="3">
        <v>88</v>
      </c>
      <c r="D3051" s="3">
        <v>68</v>
      </c>
      <c r="E3051" s="3">
        <v>-915.845</v>
      </c>
      <c r="F3051" s="4" t="str">
        <f>HYPERLINK("http://141.218.60.56/~jnz1568/getInfo.php?workbook=14_04.xlsx&amp;sheet=A0&amp;row=3051&amp;col=6&amp;number=864200&amp;sourceID=14","864200")</f>
        <v>864200</v>
      </c>
      <c r="G3051" s="4" t="str">
        <f>HYPERLINK("http://141.218.60.56/~jnz1568/getInfo.php?workbook=14_04.xlsx&amp;sheet=A0&amp;row=3051&amp;col=7&amp;number=0&amp;sourceID=14","0")</f>
        <v>0</v>
      </c>
    </row>
    <row r="3052" spans="1:7">
      <c r="A3052" s="3">
        <v>14</v>
      </c>
      <c r="B3052" s="3">
        <v>4</v>
      </c>
      <c r="C3052" s="3">
        <v>89</v>
      </c>
      <c r="D3052" s="3">
        <v>68</v>
      </c>
      <c r="E3052" s="3">
        <v>-871.117</v>
      </c>
      <c r="F3052" s="4" t="str">
        <f>HYPERLINK("http://141.218.60.56/~jnz1568/getInfo.php?workbook=14_04.xlsx&amp;sheet=A0&amp;row=3052&amp;col=6&amp;number=0.8087&amp;sourceID=14","0.8087")</f>
        <v>0.8087</v>
      </c>
      <c r="G3052" s="4" t="str">
        <f>HYPERLINK("http://141.218.60.56/~jnz1568/getInfo.php?workbook=14_04.xlsx&amp;sheet=A0&amp;row=3052&amp;col=7&amp;number=0&amp;sourceID=14","0")</f>
        <v>0</v>
      </c>
    </row>
    <row r="3053" spans="1:7">
      <c r="A3053" s="3">
        <v>14</v>
      </c>
      <c r="B3053" s="3">
        <v>4</v>
      </c>
      <c r="C3053" s="3">
        <v>90</v>
      </c>
      <c r="D3053" s="3">
        <v>68</v>
      </c>
      <c r="E3053" s="3">
        <v>-870.73</v>
      </c>
      <c r="F3053" s="4" t="str">
        <f>HYPERLINK("http://141.218.60.56/~jnz1568/getInfo.php?workbook=14_04.xlsx&amp;sheet=A0&amp;row=3053&amp;col=6&amp;number=0.7511&amp;sourceID=14","0.7511")</f>
        <v>0.7511</v>
      </c>
      <c r="G3053" s="4" t="str">
        <f>HYPERLINK("http://141.218.60.56/~jnz1568/getInfo.php?workbook=14_04.xlsx&amp;sheet=A0&amp;row=3053&amp;col=7&amp;number=0&amp;sourceID=14","0")</f>
        <v>0</v>
      </c>
    </row>
    <row r="3054" spans="1:7">
      <c r="A3054" s="3">
        <v>14</v>
      </c>
      <c r="B3054" s="3">
        <v>4</v>
      </c>
      <c r="C3054" s="3">
        <v>91</v>
      </c>
      <c r="D3054" s="3">
        <v>68</v>
      </c>
      <c r="E3054" s="3">
        <v>-870.134</v>
      </c>
      <c r="F3054" s="4" t="str">
        <f>HYPERLINK("http://141.218.60.56/~jnz1568/getInfo.php?workbook=14_04.xlsx&amp;sheet=A0&amp;row=3054&amp;col=6&amp;number=0.008578&amp;sourceID=14","0.008578")</f>
        <v>0.008578</v>
      </c>
      <c r="G3054" s="4" t="str">
        <f>HYPERLINK("http://141.218.60.56/~jnz1568/getInfo.php?workbook=14_04.xlsx&amp;sheet=A0&amp;row=3054&amp;col=7&amp;number=0&amp;sourceID=14","0")</f>
        <v>0</v>
      </c>
    </row>
    <row r="3055" spans="1:7">
      <c r="A3055" s="3">
        <v>14</v>
      </c>
      <c r="B3055" s="3">
        <v>4</v>
      </c>
      <c r="C3055" s="3">
        <v>92</v>
      </c>
      <c r="D3055" s="3">
        <v>68</v>
      </c>
      <c r="E3055" s="3">
        <v>-834.835</v>
      </c>
      <c r="F3055" s="4" t="str">
        <f>HYPERLINK("http://141.218.60.56/~jnz1568/getInfo.php?workbook=14_04.xlsx&amp;sheet=A0&amp;row=3055&amp;col=6&amp;number=1.045&amp;sourceID=14","1.045")</f>
        <v>1.045</v>
      </c>
      <c r="G3055" s="4" t="str">
        <f>HYPERLINK("http://141.218.60.56/~jnz1568/getInfo.php?workbook=14_04.xlsx&amp;sheet=A0&amp;row=3055&amp;col=7&amp;number=0&amp;sourceID=14","0")</f>
        <v>0</v>
      </c>
    </row>
    <row r="3056" spans="1:7">
      <c r="A3056" s="3">
        <v>14</v>
      </c>
      <c r="B3056" s="3">
        <v>4</v>
      </c>
      <c r="C3056" s="3">
        <v>70</v>
      </c>
      <c r="D3056" s="3">
        <v>69</v>
      </c>
      <c r="E3056" s="3">
        <v>-29126.458</v>
      </c>
      <c r="F3056" s="4" t="str">
        <f>HYPERLINK("http://141.218.60.56/~jnz1568/getInfo.php?workbook=14_04.xlsx&amp;sheet=A0&amp;row=3056&amp;col=6&amp;number=0.7413&amp;sourceID=14","0.7413")</f>
        <v>0.7413</v>
      </c>
      <c r="G3056" s="4" t="str">
        <f>HYPERLINK("http://141.218.60.56/~jnz1568/getInfo.php?workbook=14_04.xlsx&amp;sheet=A0&amp;row=3056&amp;col=7&amp;number=0&amp;sourceID=14","0")</f>
        <v>0</v>
      </c>
    </row>
    <row r="3057" spans="1:7">
      <c r="A3057" s="3">
        <v>14</v>
      </c>
      <c r="B3057" s="3">
        <v>4</v>
      </c>
      <c r="C3057" s="3">
        <v>71</v>
      </c>
      <c r="D3057" s="3">
        <v>69</v>
      </c>
      <c r="E3057" s="3">
        <v>-20640.836</v>
      </c>
      <c r="F3057" s="4" t="str">
        <f>HYPERLINK("http://141.218.60.56/~jnz1568/getInfo.php?workbook=14_04.xlsx&amp;sheet=A0&amp;row=3057&amp;col=6&amp;number=0.3066&amp;sourceID=14","0.3066")</f>
        <v>0.3066</v>
      </c>
      <c r="G3057" s="4" t="str">
        <f>HYPERLINK("http://141.218.60.56/~jnz1568/getInfo.php?workbook=14_04.xlsx&amp;sheet=A0&amp;row=3057&amp;col=7&amp;number=0&amp;sourceID=14","0")</f>
        <v>0</v>
      </c>
    </row>
    <row r="3058" spans="1:7">
      <c r="A3058" s="3">
        <v>14</v>
      </c>
      <c r="B3058" s="3">
        <v>4</v>
      </c>
      <c r="C3058" s="3">
        <v>72</v>
      </c>
      <c r="D3058" s="3">
        <v>69</v>
      </c>
      <c r="E3058" s="3">
        <v>-14240.623</v>
      </c>
      <c r="F3058" s="4" t="str">
        <f>HYPERLINK("http://141.218.60.56/~jnz1568/getInfo.php?workbook=14_04.xlsx&amp;sheet=A0&amp;row=3058&amp;col=6&amp;number=17230&amp;sourceID=14","17230")</f>
        <v>17230</v>
      </c>
      <c r="G3058" s="4" t="str">
        <f>HYPERLINK("http://141.218.60.56/~jnz1568/getInfo.php?workbook=14_04.xlsx&amp;sheet=A0&amp;row=3058&amp;col=7&amp;number=0&amp;sourceID=14","0")</f>
        <v>0</v>
      </c>
    </row>
    <row r="3059" spans="1:7">
      <c r="A3059" s="3">
        <v>14</v>
      </c>
      <c r="B3059" s="3">
        <v>4</v>
      </c>
      <c r="C3059" s="3">
        <v>73</v>
      </c>
      <c r="D3059" s="3">
        <v>69</v>
      </c>
      <c r="E3059" s="3">
        <v>-11991.729</v>
      </c>
      <c r="F3059" s="4" t="str">
        <f>HYPERLINK("http://141.218.60.56/~jnz1568/getInfo.php?workbook=14_04.xlsx&amp;sheet=A0&amp;row=3059&amp;col=6&amp;number=1.359e-05&amp;sourceID=14","1.359e-05")</f>
        <v>1.359e-05</v>
      </c>
      <c r="G3059" s="4" t="str">
        <f>HYPERLINK("http://141.218.60.56/~jnz1568/getInfo.php?workbook=14_04.xlsx&amp;sheet=A0&amp;row=3059&amp;col=7&amp;number=0&amp;sourceID=14","0")</f>
        <v>0</v>
      </c>
    </row>
    <row r="3060" spans="1:7">
      <c r="A3060" s="3">
        <v>14</v>
      </c>
      <c r="B3060" s="3">
        <v>4</v>
      </c>
      <c r="C3060" s="3">
        <v>74</v>
      </c>
      <c r="D3060" s="3">
        <v>69</v>
      </c>
      <c r="E3060" s="3">
        <v>-10152.294</v>
      </c>
      <c r="F3060" s="4" t="str">
        <f>HYPERLINK("http://141.218.60.56/~jnz1568/getInfo.php?workbook=14_04.xlsx&amp;sheet=A0&amp;row=3060&amp;col=6&amp;number=0.1665&amp;sourceID=14","0.1665")</f>
        <v>0.1665</v>
      </c>
      <c r="G3060" s="4" t="str">
        <f>HYPERLINK("http://141.218.60.56/~jnz1568/getInfo.php?workbook=14_04.xlsx&amp;sheet=A0&amp;row=3060&amp;col=7&amp;number=0&amp;sourceID=14","0")</f>
        <v>0</v>
      </c>
    </row>
    <row r="3061" spans="1:7">
      <c r="A3061" s="3">
        <v>14</v>
      </c>
      <c r="B3061" s="3">
        <v>4</v>
      </c>
      <c r="C3061" s="3">
        <v>75</v>
      </c>
      <c r="D3061" s="3">
        <v>69</v>
      </c>
      <c r="E3061" s="3">
        <v>-8497.657</v>
      </c>
      <c r="F3061" s="4" t="str">
        <f>HYPERLINK("http://141.218.60.56/~jnz1568/getInfo.php?workbook=14_04.xlsx&amp;sheet=A0&amp;row=3061&amp;col=6&amp;number=1.273&amp;sourceID=14","1.273")</f>
        <v>1.273</v>
      </c>
      <c r="G3061" s="4" t="str">
        <f>HYPERLINK("http://141.218.60.56/~jnz1568/getInfo.php?workbook=14_04.xlsx&amp;sheet=A0&amp;row=3061&amp;col=7&amp;number=0&amp;sourceID=14","0")</f>
        <v>0</v>
      </c>
    </row>
    <row r="3062" spans="1:7">
      <c r="A3062" s="3">
        <v>14</v>
      </c>
      <c r="B3062" s="3">
        <v>4</v>
      </c>
      <c r="C3062" s="3">
        <v>76</v>
      </c>
      <c r="D3062" s="3">
        <v>69</v>
      </c>
      <c r="E3062" s="3">
        <v>-6913.051</v>
      </c>
      <c r="F3062" s="4" t="str">
        <f>HYPERLINK("http://141.218.60.56/~jnz1568/getInfo.php?workbook=14_04.xlsx&amp;sheet=A0&amp;row=3062&amp;col=6&amp;number=2.147&amp;sourceID=14","2.147")</f>
        <v>2.147</v>
      </c>
      <c r="G3062" s="4" t="str">
        <f>HYPERLINK("http://141.218.60.56/~jnz1568/getInfo.php?workbook=14_04.xlsx&amp;sheet=A0&amp;row=3062&amp;col=7&amp;number=0&amp;sourceID=14","0")</f>
        <v>0</v>
      </c>
    </row>
    <row r="3063" spans="1:7">
      <c r="A3063" s="3">
        <v>14</v>
      </c>
      <c r="B3063" s="3">
        <v>4</v>
      </c>
      <c r="C3063" s="3">
        <v>77</v>
      </c>
      <c r="D3063" s="3">
        <v>69</v>
      </c>
      <c r="E3063" s="3">
        <v>-5914.098</v>
      </c>
      <c r="F3063" s="4" t="str">
        <f>HYPERLINK("http://141.218.60.56/~jnz1568/getInfo.php?workbook=14_04.xlsx&amp;sheet=A0&amp;row=3063&amp;col=6&amp;number=2.266&amp;sourceID=14","2.266")</f>
        <v>2.266</v>
      </c>
      <c r="G3063" s="4" t="str">
        <f>HYPERLINK("http://141.218.60.56/~jnz1568/getInfo.php?workbook=14_04.xlsx&amp;sheet=A0&amp;row=3063&amp;col=7&amp;number=0&amp;sourceID=14","0")</f>
        <v>0</v>
      </c>
    </row>
    <row r="3064" spans="1:7">
      <c r="A3064" s="3">
        <v>14</v>
      </c>
      <c r="B3064" s="3">
        <v>4</v>
      </c>
      <c r="C3064" s="3">
        <v>78</v>
      </c>
      <c r="D3064" s="3">
        <v>69</v>
      </c>
      <c r="E3064" s="3">
        <v>-5656.168</v>
      </c>
      <c r="F3064" s="4" t="str">
        <f>HYPERLINK("http://141.218.60.56/~jnz1568/getInfo.php?workbook=14_04.xlsx&amp;sheet=A0&amp;row=3064&amp;col=6&amp;number=1.507&amp;sourceID=14","1.507")</f>
        <v>1.507</v>
      </c>
      <c r="G3064" s="4" t="str">
        <f>HYPERLINK("http://141.218.60.56/~jnz1568/getInfo.php?workbook=14_04.xlsx&amp;sheet=A0&amp;row=3064&amp;col=7&amp;number=0&amp;sourceID=14","0")</f>
        <v>0</v>
      </c>
    </row>
    <row r="3065" spans="1:7">
      <c r="A3065" s="3">
        <v>14</v>
      </c>
      <c r="B3065" s="3">
        <v>4</v>
      </c>
      <c r="C3065" s="3">
        <v>79</v>
      </c>
      <c r="D3065" s="3">
        <v>69</v>
      </c>
      <c r="E3065" s="3">
        <v>-5519.205</v>
      </c>
      <c r="F3065" s="4" t="str">
        <f>HYPERLINK("http://141.218.60.56/~jnz1568/getInfo.php?workbook=14_04.xlsx&amp;sheet=A0&amp;row=3065&amp;col=6&amp;number=0.05262&amp;sourceID=14","0.05262")</f>
        <v>0.05262</v>
      </c>
      <c r="G3065" s="4" t="str">
        <f>HYPERLINK("http://141.218.60.56/~jnz1568/getInfo.php?workbook=14_04.xlsx&amp;sheet=A0&amp;row=3065&amp;col=7&amp;number=0&amp;sourceID=14","0")</f>
        <v>0</v>
      </c>
    </row>
    <row r="3066" spans="1:7">
      <c r="A3066" s="3">
        <v>14</v>
      </c>
      <c r="B3066" s="3">
        <v>4</v>
      </c>
      <c r="C3066" s="3">
        <v>81</v>
      </c>
      <c r="D3066" s="3">
        <v>69</v>
      </c>
      <c r="E3066" s="3">
        <v>-3541.961</v>
      </c>
      <c r="F3066" s="4" t="str">
        <f>HYPERLINK("http://141.218.60.56/~jnz1568/getInfo.php?workbook=14_04.xlsx&amp;sheet=A0&amp;row=3066&amp;col=6&amp;number=6.802&amp;sourceID=14","6.802")</f>
        <v>6.802</v>
      </c>
      <c r="G3066" s="4" t="str">
        <f>HYPERLINK("http://141.218.60.56/~jnz1568/getInfo.php?workbook=14_04.xlsx&amp;sheet=A0&amp;row=3066&amp;col=7&amp;number=0&amp;sourceID=14","0")</f>
        <v>0</v>
      </c>
    </row>
    <row r="3067" spans="1:7">
      <c r="A3067" s="3">
        <v>14</v>
      </c>
      <c r="B3067" s="3">
        <v>4</v>
      </c>
      <c r="C3067" s="3">
        <v>82</v>
      </c>
      <c r="D3067" s="3">
        <v>69</v>
      </c>
      <c r="E3067" s="3">
        <v>-3337.329</v>
      </c>
      <c r="F3067" s="4" t="str">
        <f>HYPERLINK("http://141.218.60.56/~jnz1568/getInfo.php?workbook=14_04.xlsx&amp;sheet=A0&amp;row=3067&amp;col=6&amp;number=1.287&amp;sourceID=14","1.287")</f>
        <v>1.287</v>
      </c>
      <c r="G3067" s="4" t="str">
        <f>HYPERLINK("http://141.218.60.56/~jnz1568/getInfo.php?workbook=14_04.xlsx&amp;sheet=A0&amp;row=3067&amp;col=7&amp;number=0&amp;sourceID=14","0")</f>
        <v>0</v>
      </c>
    </row>
    <row r="3068" spans="1:7">
      <c r="A3068" s="3">
        <v>14</v>
      </c>
      <c r="B3068" s="3">
        <v>4</v>
      </c>
      <c r="C3068" s="3">
        <v>83</v>
      </c>
      <c r="D3068" s="3">
        <v>69</v>
      </c>
      <c r="E3068" s="3">
        <v>-1100.327</v>
      </c>
      <c r="F3068" s="4" t="str">
        <f>HYPERLINK("http://141.218.60.56/~jnz1568/getInfo.php?workbook=14_04.xlsx&amp;sheet=A0&amp;row=3068&amp;col=6&amp;number=20400&amp;sourceID=14","20400")</f>
        <v>20400</v>
      </c>
      <c r="G3068" s="4" t="str">
        <f>HYPERLINK("http://141.218.60.56/~jnz1568/getInfo.php?workbook=14_04.xlsx&amp;sheet=A0&amp;row=3068&amp;col=7&amp;number=0&amp;sourceID=14","0")</f>
        <v>0</v>
      </c>
    </row>
    <row r="3069" spans="1:7">
      <c r="A3069" s="3">
        <v>14</v>
      </c>
      <c r="B3069" s="3">
        <v>4</v>
      </c>
      <c r="C3069" s="3">
        <v>85</v>
      </c>
      <c r="D3069" s="3">
        <v>69</v>
      </c>
      <c r="E3069" s="3">
        <v>-948.728</v>
      </c>
      <c r="F3069" s="4" t="str">
        <f>HYPERLINK("http://141.218.60.56/~jnz1568/getInfo.php?workbook=14_04.xlsx&amp;sheet=A0&amp;row=3069&amp;col=6&amp;number=146.8&amp;sourceID=14","146.8")</f>
        <v>146.8</v>
      </c>
      <c r="G3069" s="4" t="str">
        <f>HYPERLINK("http://141.218.60.56/~jnz1568/getInfo.php?workbook=14_04.xlsx&amp;sheet=A0&amp;row=3069&amp;col=7&amp;number=0&amp;sourceID=14","0")</f>
        <v>0</v>
      </c>
    </row>
    <row r="3070" spans="1:7">
      <c r="A3070" s="3">
        <v>14</v>
      </c>
      <c r="B3070" s="3">
        <v>4</v>
      </c>
      <c r="C3070" s="3">
        <v>86</v>
      </c>
      <c r="D3070" s="3">
        <v>69</v>
      </c>
      <c r="E3070" s="3">
        <v>-947.637</v>
      </c>
      <c r="F3070" s="4" t="str">
        <f>HYPERLINK("http://141.218.60.56/~jnz1568/getInfo.php?workbook=14_04.xlsx&amp;sheet=A0&amp;row=3070&amp;col=6&amp;number=32.61&amp;sourceID=14","32.61")</f>
        <v>32.61</v>
      </c>
      <c r="G3070" s="4" t="str">
        <f>HYPERLINK("http://141.218.60.56/~jnz1568/getInfo.php?workbook=14_04.xlsx&amp;sheet=A0&amp;row=3070&amp;col=7&amp;number=0&amp;sourceID=14","0")</f>
        <v>0</v>
      </c>
    </row>
    <row r="3071" spans="1:7">
      <c r="A3071" s="3">
        <v>14</v>
      </c>
      <c r="B3071" s="3">
        <v>4</v>
      </c>
      <c r="C3071" s="3">
        <v>87</v>
      </c>
      <c r="D3071" s="3">
        <v>69</v>
      </c>
      <c r="E3071" s="3">
        <v>-945.056</v>
      </c>
      <c r="F3071" s="4" t="str">
        <f>HYPERLINK("http://141.218.60.56/~jnz1568/getInfo.php?workbook=14_04.xlsx&amp;sheet=A0&amp;row=3071&amp;col=6&amp;number=6.998&amp;sourceID=14","6.998")</f>
        <v>6.998</v>
      </c>
      <c r="G3071" s="4" t="str">
        <f>HYPERLINK("http://141.218.60.56/~jnz1568/getInfo.php?workbook=14_04.xlsx&amp;sheet=A0&amp;row=3071&amp;col=7&amp;number=0&amp;sourceID=14","0")</f>
        <v>0</v>
      </c>
    </row>
    <row r="3072" spans="1:7">
      <c r="A3072" s="3">
        <v>14</v>
      </c>
      <c r="B3072" s="3">
        <v>4</v>
      </c>
      <c r="C3072" s="3">
        <v>88</v>
      </c>
      <c r="D3072" s="3">
        <v>69</v>
      </c>
      <c r="E3072" s="3">
        <v>-922.703</v>
      </c>
      <c r="F3072" s="4" t="str">
        <f>HYPERLINK("http://141.218.60.56/~jnz1568/getInfo.php?workbook=14_04.xlsx&amp;sheet=A0&amp;row=3072&amp;col=6&amp;number=4.108&amp;sourceID=14","4.108")</f>
        <v>4.108</v>
      </c>
      <c r="G3072" s="4" t="str">
        <f>HYPERLINK("http://141.218.60.56/~jnz1568/getInfo.php?workbook=14_04.xlsx&amp;sheet=A0&amp;row=3072&amp;col=7&amp;number=0&amp;sourceID=14","0")</f>
        <v>0</v>
      </c>
    </row>
    <row r="3073" spans="1:7">
      <c r="A3073" s="3">
        <v>14</v>
      </c>
      <c r="B3073" s="3">
        <v>4</v>
      </c>
      <c r="C3073" s="3">
        <v>89</v>
      </c>
      <c r="D3073" s="3">
        <v>69</v>
      </c>
      <c r="E3073" s="3">
        <v>-877.32</v>
      </c>
      <c r="F3073" s="4" t="str">
        <f>HYPERLINK("http://141.218.60.56/~jnz1568/getInfo.php?workbook=14_04.xlsx&amp;sheet=A0&amp;row=3073&amp;col=6&amp;number=19310000&amp;sourceID=14","19310000")</f>
        <v>19310000</v>
      </c>
      <c r="G3073" s="4" t="str">
        <f>HYPERLINK("http://141.218.60.56/~jnz1568/getInfo.php?workbook=14_04.xlsx&amp;sheet=A0&amp;row=3073&amp;col=7&amp;number=0&amp;sourceID=14","0")</f>
        <v>0</v>
      </c>
    </row>
    <row r="3074" spans="1:7">
      <c r="A3074" s="3">
        <v>14</v>
      </c>
      <c r="B3074" s="3">
        <v>4</v>
      </c>
      <c r="C3074" s="3">
        <v>90</v>
      </c>
      <c r="D3074" s="3">
        <v>69</v>
      </c>
      <c r="E3074" s="3">
        <v>-876.927</v>
      </c>
      <c r="F3074" s="4" t="str">
        <f>HYPERLINK("http://141.218.60.56/~jnz1568/getInfo.php?workbook=14_04.xlsx&amp;sheet=A0&amp;row=3074&amp;col=6&amp;number=1413000&amp;sourceID=14","1413000")</f>
        <v>1413000</v>
      </c>
      <c r="G3074" s="4" t="str">
        <f>HYPERLINK("http://141.218.60.56/~jnz1568/getInfo.php?workbook=14_04.xlsx&amp;sheet=A0&amp;row=3074&amp;col=7&amp;number=0&amp;sourceID=14","0")</f>
        <v>0</v>
      </c>
    </row>
    <row r="3075" spans="1:7">
      <c r="A3075" s="3">
        <v>14</v>
      </c>
      <c r="B3075" s="3">
        <v>4</v>
      </c>
      <c r="C3075" s="3">
        <v>91</v>
      </c>
      <c r="D3075" s="3">
        <v>69</v>
      </c>
      <c r="E3075" s="3">
        <v>-876.322</v>
      </c>
      <c r="F3075" s="4" t="str">
        <f>HYPERLINK("http://141.218.60.56/~jnz1568/getInfo.php?workbook=14_04.xlsx&amp;sheet=A0&amp;row=3075&amp;col=6&amp;number=444700&amp;sourceID=14","444700")</f>
        <v>444700</v>
      </c>
      <c r="G3075" s="4" t="str">
        <f>HYPERLINK("http://141.218.60.56/~jnz1568/getInfo.php?workbook=14_04.xlsx&amp;sheet=A0&amp;row=3075&amp;col=7&amp;number=0&amp;sourceID=14","0")</f>
        <v>0</v>
      </c>
    </row>
    <row r="3076" spans="1:7">
      <c r="A3076" s="3">
        <v>14</v>
      </c>
      <c r="B3076" s="3">
        <v>4</v>
      </c>
      <c r="C3076" s="3">
        <v>92</v>
      </c>
      <c r="D3076" s="3">
        <v>69</v>
      </c>
      <c r="E3076" s="3">
        <v>-840.53</v>
      </c>
      <c r="F3076" s="4" t="str">
        <f>HYPERLINK("http://141.218.60.56/~jnz1568/getInfo.php?workbook=14_04.xlsx&amp;sheet=A0&amp;row=3076&amp;col=6&amp;number=66680&amp;sourceID=14","66680")</f>
        <v>66680</v>
      </c>
      <c r="G3076" s="4" t="str">
        <f>HYPERLINK("http://141.218.60.56/~jnz1568/getInfo.php?workbook=14_04.xlsx&amp;sheet=A0&amp;row=3076&amp;col=7&amp;number=0&amp;sourceID=14","0")</f>
        <v>0</v>
      </c>
    </row>
    <row r="3077" spans="1:7">
      <c r="A3077" s="3">
        <v>14</v>
      </c>
      <c r="B3077" s="3">
        <v>4</v>
      </c>
      <c r="C3077" s="3">
        <v>71</v>
      </c>
      <c r="D3077" s="3">
        <v>70</v>
      </c>
      <c r="E3077" s="3">
        <v>-70848.6</v>
      </c>
      <c r="F3077" s="4" t="str">
        <f>HYPERLINK("http://141.218.60.56/~jnz1568/getInfo.php?workbook=14_04.xlsx&amp;sheet=A0&amp;row=3077&amp;col=6&amp;number=0.02364&amp;sourceID=14","0.02364")</f>
        <v>0.02364</v>
      </c>
      <c r="G3077" s="4" t="str">
        <f>HYPERLINK("http://141.218.60.56/~jnz1568/getInfo.php?workbook=14_04.xlsx&amp;sheet=A0&amp;row=3077&amp;col=7&amp;number=0&amp;sourceID=14","0")</f>
        <v>0</v>
      </c>
    </row>
    <row r="3078" spans="1:7">
      <c r="A3078" s="3">
        <v>14</v>
      </c>
      <c r="B3078" s="3">
        <v>4</v>
      </c>
      <c r="C3078" s="3">
        <v>72</v>
      </c>
      <c r="D3078" s="3">
        <v>70</v>
      </c>
      <c r="E3078" s="3">
        <v>-27864.001</v>
      </c>
      <c r="F3078" s="4" t="str">
        <f>HYPERLINK("http://141.218.60.56/~jnz1568/getInfo.php?workbook=14_04.xlsx&amp;sheet=A0&amp;row=3078&amp;col=6&amp;number=93.47&amp;sourceID=14","93.47")</f>
        <v>93.47</v>
      </c>
      <c r="G3078" s="4" t="str">
        <f>HYPERLINK("http://141.218.60.56/~jnz1568/getInfo.php?workbook=14_04.xlsx&amp;sheet=A0&amp;row=3078&amp;col=7&amp;number=0&amp;sourceID=14","0")</f>
        <v>0</v>
      </c>
    </row>
    <row r="3079" spans="1:7">
      <c r="A3079" s="3">
        <v>14</v>
      </c>
      <c r="B3079" s="3">
        <v>4</v>
      </c>
      <c r="C3079" s="3">
        <v>73</v>
      </c>
      <c r="D3079" s="3">
        <v>70</v>
      </c>
      <c r="E3079" s="3">
        <v>-20384.134</v>
      </c>
      <c r="F3079" s="4" t="str">
        <f>HYPERLINK("http://141.218.60.56/~jnz1568/getInfo.php?workbook=14_04.xlsx&amp;sheet=A0&amp;row=3079&amp;col=6&amp;number=2.179&amp;sourceID=14","2.179")</f>
        <v>2.179</v>
      </c>
      <c r="G3079" s="4" t="str">
        <f>HYPERLINK("http://141.218.60.56/~jnz1568/getInfo.php?workbook=14_04.xlsx&amp;sheet=A0&amp;row=3079&amp;col=7&amp;number=0&amp;sourceID=14","0")</f>
        <v>0</v>
      </c>
    </row>
    <row r="3080" spans="1:7">
      <c r="A3080" s="3">
        <v>14</v>
      </c>
      <c r="B3080" s="3">
        <v>4</v>
      </c>
      <c r="C3080" s="3">
        <v>74</v>
      </c>
      <c r="D3080" s="3">
        <v>70</v>
      </c>
      <c r="E3080" s="3">
        <v>-15584.368</v>
      </c>
      <c r="F3080" s="4" t="str">
        <f>HYPERLINK("http://141.218.60.56/~jnz1568/getInfo.php?workbook=14_04.xlsx&amp;sheet=A0&amp;row=3080&amp;col=6&amp;number=0.0002315&amp;sourceID=14","0.0002315")</f>
        <v>0.0002315</v>
      </c>
      <c r="G3080" s="4" t="str">
        <f>HYPERLINK("http://141.218.60.56/~jnz1568/getInfo.php?workbook=14_04.xlsx&amp;sheet=A0&amp;row=3080&amp;col=7&amp;number=0&amp;sourceID=14","0")</f>
        <v>0</v>
      </c>
    </row>
    <row r="3081" spans="1:7">
      <c r="A3081" s="3">
        <v>14</v>
      </c>
      <c r="B3081" s="3">
        <v>4</v>
      </c>
      <c r="C3081" s="3">
        <v>75</v>
      </c>
      <c r="D3081" s="3">
        <v>70</v>
      </c>
      <c r="E3081" s="3">
        <v>-11998.111</v>
      </c>
      <c r="F3081" s="4" t="str">
        <f>HYPERLINK("http://141.218.60.56/~jnz1568/getInfo.php?workbook=14_04.xlsx&amp;sheet=A0&amp;row=3081&amp;col=6&amp;number=0.1707&amp;sourceID=14","0.1707")</f>
        <v>0.1707</v>
      </c>
      <c r="G3081" s="4" t="str">
        <f>HYPERLINK("http://141.218.60.56/~jnz1568/getInfo.php?workbook=14_04.xlsx&amp;sheet=A0&amp;row=3081&amp;col=7&amp;number=0&amp;sourceID=14","0")</f>
        <v>0</v>
      </c>
    </row>
    <row r="3082" spans="1:7">
      <c r="A3082" s="3">
        <v>14</v>
      </c>
      <c r="B3082" s="3">
        <v>4</v>
      </c>
      <c r="C3082" s="3">
        <v>76</v>
      </c>
      <c r="D3082" s="3">
        <v>70</v>
      </c>
      <c r="E3082" s="3">
        <v>-9064.467</v>
      </c>
      <c r="F3082" s="4" t="str">
        <f>HYPERLINK("http://141.218.60.56/~jnz1568/getInfo.php?workbook=14_04.xlsx&amp;sheet=A0&amp;row=3082&amp;col=6&amp;number=1.607&amp;sourceID=14","1.607")</f>
        <v>1.607</v>
      </c>
      <c r="G3082" s="4" t="str">
        <f>HYPERLINK("http://141.218.60.56/~jnz1568/getInfo.php?workbook=14_04.xlsx&amp;sheet=A0&amp;row=3082&amp;col=7&amp;number=0&amp;sourceID=14","0")</f>
        <v>0</v>
      </c>
    </row>
    <row r="3083" spans="1:7">
      <c r="A3083" s="3">
        <v>14</v>
      </c>
      <c r="B3083" s="3">
        <v>4</v>
      </c>
      <c r="C3083" s="3">
        <v>77</v>
      </c>
      <c r="D3083" s="3">
        <v>70</v>
      </c>
      <c r="E3083" s="3">
        <v>-7420.905</v>
      </c>
      <c r="F3083" s="4" t="str">
        <f>HYPERLINK("http://141.218.60.56/~jnz1568/getInfo.php?workbook=14_04.xlsx&amp;sheet=A0&amp;row=3083&amp;col=6&amp;number=0.4&amp;sourceID=14","0.4")</f>
        <v>0.4</v>
      </c>
      <c r="G3083" s="4" t="str">
        <f>HYPERLINK("http://141.218.60.56/~jnz1568/getInfo.php?workbook=14_04.xlsx&amp;sheet=A0&amp;row=3083&amp;col=7&amp;number=0&amp;sourceID=14","0")</f>
        <v>0</v>
      </c>
    </row>
    <row r="3084" spans="1:7">
      <c r="A3084" s="3">
        <v>14</v>
      </c>
      <c r="B3084" s="3">
        <v>4</v>
      </c>
      <c r="C3084" s="3">
        <v>78</v>
      </c>
      <c r="D3084" s="3">
        <v>70</v>
      </c>
      <c r="E3084" s="3">
        <v>-7019.263</v>
      </c>
      <c r="F3084" s="4" t="str">
        <f>HYPERLINK("http://141.218.60.56/~jnz1568/getInfo.php?workbook=14_04.xlsx&amp;sheet=A0&amp;row=3084&amp;col=6&amp;number=0.02535&amp;sourceID=14","0.02535")</f>
        <v>0.02535</v>
      </c>
      <c r="G3084" s="4" t="str">
        <f>HYPERLINK("http://141.218.60.56/~jnz1568/getInfo.php?workbook=14_04.xlsx&amp;sheet=A0&amp;row=3084&amp;col=7&amp;number=0&amp;sourceID=14","0")</f>
        <v>0</v>
      </c>
    </row>
    <row r="3085" spans="1:7">
      <c r="A3085" s="3">
        <v>14</v>
      </c>
      <c r="B3085" s="3">
        <v>4</v>
      </c>
      <c r="C3085" s="3">
        <v>81</v>
      </c>
      <c r="D3085" s="3">
        <v>70</v>
      </c>
      <c r="E3085" s="3">
        <v>-4032.317</v>
      </c>
      <c r="F3085" s="4" t="str">
        <f>HYPERLINK("http://141.218.60.56/~jnz1568/getInfo.php?workbook=14_04.xlsx&amp;sheet=A0&amp;row=3085&amp;col=6&amp;number=2.097&amp;sourceID=14","2.097")</f>
        <v>2.097</v>
      </c>
      <c r="G3085" s="4" t="str">
        <f>HYPERLINK("http://141.218.60.56/~jnz1568/getInfo.php?workbook=14_04.xlsx&amp;sheet=A0&amp;row=3085&amp;col=7&amp;number=0&amp;sourceID=14","0")</f>
        <v>0</v>
      </c>
    </row>
    <row r="3086" spans="1:7">
      <c r="A3086" s="3">
        <v>14</v>
      </c>
      <c r="B3086" s="3">
        <v>4</v>
      </c>
      <c r="C3086" s="3">
        <v>82</v>
      </c>
      <c r="D3086" s="3">
        <v>70</v>
      </c>
      <c r="E3086" s="3">
        <v>-3769.208</v>
      </c>
      <c r="F3086" s="4" t="str">
        <f>HYPERLINK("http://141.218.60.56/~jnz1568/getInfo.php?workbook=14_04.xlsx&amp;sheet=A0&amp;row=3086&amp;col=6&amp;number=0.0003942&amp;sourceID=14","0.0003942")</f>
        <v>0.0003942</v>
      </c>
      <c r="G3086" s="4" t="str">
        <f>HYPERLINK("http://141.218.60.56/~jnz1568/getInfo.php?workbook=14_04.xlsx&amp;sheet=A0&amp;row=3086&amp;col=7&amp;number=0&amp;sourceID=14","0")</f>
        <v>0</v>
      </c>
    </row>
    <row r="3087" spans="1:7">
      <c r="A3087" s="3">
        <v>14</v>
      </c>
      <c r="B3087" s="3">
        <v>4</v>
      </c>
      <c r="C3087" s="3">
        <v>86</v>
      </c>
      <c r="D3087" s="3">
        <v>70</v>
      </c>
      <c r="E3087" s="3">
        <v>-979.505</v>
      </c>
      <c r="F3087" s="4" t="str">
        <f>HYPERLINK("http://141.218.60.56/~jnz1568/getInfo.php?workbook=14_04.xlsx&amp;sheet=A0&amp;row=3087&amp;col=6&amp;number=80.53&amp;sourceID=14","80.53")</f>
        <v>80.53</v>
      </c>
      <c r="G3087" s="4" t="str">
        <f>HYPERLINK("http://141.218.60.56/~jnz1568/getInfo.php?workbook=14_04.xlsx&amp;sheet=A0&amp;row=3087&amp;col=7&amp;number=0&amp;sourceID=14","0")</f>
        <v>0</v>
      </c>
    </row>
    <row r="3088" spans="1:7">
      <c r="A3088" s="3">
        <v>14</v>
      </c>
      <c r="B3088" s="3">
        <v>4</v>
      </c>
      <c r="C3088" s="3">
        <v>87</v>
      </c>
      <c r="D3088" s="3">
        <v>70</v>
      </c>
      <c r="E3088" s="3">
        <v>-976.749</v>
      </c>
      <c r="F3088" s="4" t="str">
        <f>HYPERLINK("http://141.218.60.56/~jnz1568/getInfo.php?workbook=14_04.xlsx&amp;sheet=A0&amp;row=3088&amp;col=6&amp;number=34.16&amp;sourceID=14","34.16")</f>
        <v>34.16</v>
      </c>
      <c r="G3088" s="4" t="str">
        <f>HYPERLINK("http://141.218.60.56/~jnz1568/getInfo.php?workbook=14_04.xlsx&amp;sheet=A0&amp;row=3088&amp;col=7&amp;number=0&amp;sourceID=14","0")</f>
        <v>0</v>
      </c>
    </row>
    <row r="3089" spans="1:7">
      <c r="A3089" s="3">
        <v>14</v>
      </c>
      <c r="B3089" s="3">
        <v>4</v>
      </c>
      <c r="C3089" s="3">
        <v>88</v>
      </c>
      <c r="D3089" s="3">
        <v>70</v>
      </c>
      <c r="E3089" s="3">
        <v>-952.89</v>
      </c>
      <c r="F3089" s="4" t="str">
        <f>HYPERLINK("http://141.218.60.56/~jnz1568/getInfo.php?workbook=14_04.xlsx&amp;sheet=A0&amp;row=3089&amp;col=6&amp;number=29.77&amp;sourceID=14","29.77")</f>
        <v>29.77</v>
      </c>
      <c r="G3089" s="4" t="str">
        <f>HYPERLINK("http://141.218.60.56/~jnz1568/getInfo.php?workbook=14_04.xlsx&amp;sheet=A0&amp;row=3089&amp;col=7&amp;number=0&amp;sourceID=14","0")</f>
        <v>0</v>
      </c>
    </row>
    <row r="3090" spans="1:7">
      <c r="A3090" s="3">
        <v>14</v>
      </c>
      <c r="B3090" s="3">
        <v>4</v>
      </c>
      <c r="C3090" s="3">
        <v>90</v>
      </c>
      <c r="D3090" s="3">
        <v>70</v>
      </c>
      <c r="E3090" s="3">
        <v>-904.148</v>
      </c>
      <c r="F3090" s="4" t="str">
        <f>HYPERLINK("http://141.218.60.56/~jnz1568/getInfo.php?workbook=14_04.xlsx&amp;sheet=A0&amp;row=3090&amp;col=6&amp;number=19410000&amp;sourceID=14","19410000")</f>
        <v>19410000</v>
      </c>
      <c r="G3090" s="4" t="str">
        <f>HYPERLINK("http://141.218.60.56/~jnz1568/getInfo.php?workbook=14_04.xlsx&amp;sheet=A0&amp;row=3090&amp;col=7&amp;number=0&amp;sourceID=14","0")</f>
        <v>0</v>
      </c>
    </row>
    <row r="3091" spans="1:7">
      <c r="A3091" s="3">
        <v>14</v>
      </c>
      <c r="B3091" s="3">
        <v>4</v>
      </c>
      <c r="C3091" s="3">
        <v>91</v>
      </c>
      <c r="D3091" s="3">
        <v>70</v>
      </c>
      <c r="E3091" s="3">
        <v>-903.506</v>
      </c>
      <c r="F3091" s="4" t="str">
        <f>HYPERLINK("http://141.218.60.56/~jnz1568/getInfo.php?workbook=14_04.xlsx&amp;sheet=A0&amp;row=3091&amp;col=6&amp;number=1644000&amp;sourceID=14","1644000")</f>
        <v>1644000</v>
      </c>
      <c r="G3091" s="4" t="str">
        <f>HYPERLINK("http://141.218.60.56/~jnz1568/getInfo.php?workbook=14_04.xlsx&amp;sheet=A0&amp;row=3091&amp;col=7&amp;number=0&amp;sourceID=14","0")</f>
        <v>0</v>
      </c>
    </row>
    <row r="3092" spans="1:7">
      <c r="A3092" s="3">
        <v>14</v>
      </c>
      <c r="B3092" s="3">
        <v>4</v>
      </c>
      <c r="C3092" s="3">
        <v>92</v>
      </c>
      <c r="D3092" s="3">
        <v>70</v>
      </c>
      <c r="E3092" s="3">
        <v>-865.507</v>
      </c>
      <c r="F3092" s="4" t="str">
        <f>HYPERLINK("http://141.218.60.56/~jnz1568/getInfo.php?workbook=14_04.xlsx&amp;sheet=A0&amp;row=3092&amp;col=6&amp;number=2320000&amp;sourceID=14","2320000")</f>
        <v>2320000</v>
      </c>
      <c r="G3092" s="4" t="str">
        <f>HYPERLINK("http://141.218.60.56/~jnz1568/getInfo.php?workbook=14_04.xlsx&amp;sheet=A0&amp;row=3092&amp;col=7&amp;number=0&amp;sourceID=14","0")</f>
        <v>0</v>
      </c>
    </row>
    <row r="3093" spans="1:7">
      <c r="A3093" s="3">
        <v>14</v>
      </c>
      <c r="B3093" s="3">
        <v>4</v>
      </c>
      <c r="C3093" s="3">
        <v>72</v>
      </c>
      <c r="D3093" s="3">
        <v>71</v>
      </c>
      <c r="E3093" s="3">
        <v>-45926.343</v>
      </c>
      <c r="F3093" s="4" t="str">
        <f>HYPERLINK("http://141.218.60.56/~jnz1568/getInfo.php?workbook=14_04.xlsx&amp;sheet=A0&amp;row=3093&amp;col=6&amp;number=2939&amp;sourceID=14","2939")</f>
        <v>2939</v>
      </c>
      <c r="G3093" s="4" t="str">
        <f>HYPERLINK("http://141.218.60.56/~jnz1568/getInfo.php?workbook=14_04.xlsx&amp;sheet=A0&amp;row=3093&amp;col=7&amp;number=0&amp;sourceID=14","0")</f>
        <v>0</v>
      </c>
    </row>
    <row r="3094" spans="1:7">
      <c r="A3094" s="3">
        <v>14</v>
      </c>
      <c r="B3094" s="3">
        <v>4</v>
      </c>
      <c r="C3094" s="3">
        <v>73</v>
      </c>
      <c r="D3094" s="3">
        <v>71</v>
      </c>
      <c r="E3094" s="3">
        <v>-28617.907</v>
      </c>
      <c r="F3094" s="4" t="str">
        <f>HYPERLINK("http://141.218.60.56/~jnz1568/getInfo.php?workbook=14_04.xlsx&amp;sheet=A0&amp;row=3094&amp;col=6&amp;number=9.384e-07&amp;sourceID=14","9.384e-07")</f>
        <v>9.384e-07</v>
      </c>
      <c r="G3094" s="4" t="str">
        <f>HYPERLINK("http://141.218.60.56/~jnz1568/getInfo.php?workbook=14_04.xlsx&amp;sheet=A0&amp;row=3094&amp;col=7&amp;number=0&amp;sourceID=14","0")</f>
        <v>0</v>
      </c>
    </row>
    <row r="3095" spans="1:7">
      <c r="A3095" s="3">
        <v>14</v>
      </c>
      <c r="B3095" s="3">
        <v>4</v>
      </c>
      <c r="C3095" s="3">
        <v>74</v>
      </c>
      <c r="D3095" s="3">
        <v>71</v>
      </c>
      <c r="E3095" s="3">
        <v>-19979.12</v>
      </c>
      <c r="F3095" s="4" t="str">
        <f>HYPERLINK("http://141.218.60.56/~jnz1568/getInfo.php?workbook=14_04.xlsx&amp;sheet=A0&amp;row=3095&amp;col=6&amp;number=0.8363&amp;sourceID=14","0.8363")</f>
        <v>0.8363</v>
      </c>
      <c r="G3095" s="4" t="str">
        <f>HYPERLINK("http://141.218.60.56/~jnz1568/getInfo.php?workbook=14_04.xlsx&amp;sheet=A0&amp;row=3095&amp;col=7&amp;number=0&amp;sourceID=14","0")</f>
        <v>0</v>
      </c>
    </row>
    <row r="3096" spans="1:7">
      <c r="A3096" s="3">
        <v>14</v>
      </c>
      <c r="B3096" s="3">
        <v>4</v>
      </c>
      <c r="C3096" s="3">
        <v>75</v>
      </c>
      <c r="D3096" s="3">
        <v>71</v>
      </c>
      <c r="E3096" s="3">
        <v>-14444.219</v>
      </c>
      <c r="F3096" s="4" t="str">
        <f>HYPERLINK("http://141.218.60.56/~jnz1568/getInfo.php?workbook=14_04.xlsx&amp;sheet=A0&amp;row=3096&amp;col=6&amp;number=1.342&amp;sourceID=14","1.342")</f>
        <v>1.342</v>
      </c>
      <c r="G3096" s="4" t="str">
        <f>HYPERLINK("http://141.218.60.56/~jnz1568/getInfo.php?workbook=14_04.xlsx&amp;sheet=A0&amp;row=3096&amp;col=7&amp;number=0&amp;sourceID=14","0")</f>
        <v>0</v>
      </c>
    </row>
    <row r="3097" spans="1:7">
      <c r="A3097" s="3">
        <v>14</v>
      </c>
      <c r="B3097" s="3">
        <v>4</v>
      </c>
      <c r="C3097" s="3">
        <v>76</v>
      </c>
      <c r="D3097" s="3">
        <v>71</v>
      </c>
      <c r="E3097" s="3">
        <v>-10394.332</v>
      </c>
      <c r="F3097" s="4" t="str">
        <f>HYPERLINK("http://141.218.60.56/~jnz1568/getInfo.php?workbook=14_04.xlsx&amp;sheet=A0&amp;row=3097&amp;col=6&amp;number=0.6068&amp;sourceID=14","0.6068")</f>
        <v>0.6068</v>
      </c>
      <c r="G3097" s="4" t="str">
        <f>HYPERLINK("http://141.218.60.56/~jnz1568/getInfo.php?workbook=14_04.xlsx&amp;sheet=A0&amp;row=3097&amp;col=7&amp;number=0&amp;sourceID=14","0")</f>
        <v>0</v>
      </c>
    </row>
    <row r="3098" spans="1:7">
      <c r="A3098" s="3">
        <v>14</v>
      </c>
      <c r="B3098" s="3">
        <v>4</v>
      </c>
      <c r="C3098" s="3">
        <v>77</v>
      </c>
      <c r="D3098" s="3">
        <v>71</v>
      </c>
      <c r="E3098" s="3">
        <v>-8289.135</v>
      </c>
      <c r="F3098" s="4" t="str">
        <f>HYPERLINK("http://141.218.60.56/~jnz1568/getInfo.php?workbook=14_04.xlsx&amp;sheet=A0&amp;row=3098&amp;col=6&amp;number=2.314&amp;sourceID=14","2.314")</f>
        <v>2.314</v>
      </c>
      <c r="G3098" s="4" t="str">
        <f>HYPERLINK("http://141.218.60.56/~jnz1568/getInfo.php?workbook=14_04.xlsx&amp;sheet=A0&amp;row=3098&amp;col=7&amp;number=0&amp;sourceID=14","0")</f>
        <v>0</v>
      </c>
    </row>
    <row r="3099" spans="1:7">
      <c r="A3099" s="3">
        <v>14</v>
      </c>
      <c r="B3099" s="3">
        <v>4</v>
      </c>
      <c r="C3099" s="3">
        <v>78</v>
      </c>
      <c r="D3099" s="3">
        <v>71</v>
      </c>
      <c r="E3099" s="3">
        <v>-7791.166</v>
      </c>
      <c r="F3099" s="4" t="str">
        <f>HYPERLINK("http://141.218.60.56/~jnz1568/getInfo.php?workbook=14_04.xlsx&amp;sheet=A0&amp;row=3099&amp;col=6&amp;number=0.7375&amp;sourceID=14","0.7375")</f>
        <v>0.7375</v>
      </c>
      <c r="G3099" s="4" t="str">
        <f>HYPERLINK("http://141.218.60.56/~jnz1568/getInfo.php?workbook=14_04.xlsx&amp;sheet=A0&amp;row=3099&amp;col=7&amp;number=0&amp;sourceID=14","0")</f>
        <v>0</v>
      </c>
    </row>
    <row r="3100" spans="1:7">
      <c r="A3100" s="3">
        <v>14</v>
      </c>
      <c r="B3100" s="3">
        <v>4</v>
      </c>
      <c r="C3100" s="3">
        <v>79</v>
      </c>
      <c r="D3100" s="3">
        <v>71</v>
      </c>
      <c r="E3100" s="3">
        <v>-7533.645</v>
      </c>
      <c r="F3100" s="4" t="str">
        <f>HYPERLINK("http://141.218.60.56/~jnz1568/getInfo.php?workbook=14_04.xlsx&amp;sheet=A0&amp;row=3100&amp;col=6&amp;number=0.007293&amp;sourceID=14","0.007293")</f>
        <v>0.007293</v>
      </c>
      <c r="G3100" s="4" t="str">
        <f>HYPERLINK("http://141.218.60.56/~jnz1568/getInfo.php?workbook=14_04.xlsx&amp;sheet=A0&amp;row=3100&amp;col=7&amp;number=0&amp;sourceID=14","0")</f>
        <v>0</v>
      </c>
    </row>
    <row r="3101" spans="1:7">
      <c r="A3101" s="3">
        <v>14</v>
      </c>
      <c r="B3101" s="3">
        <v>4</v>
      </c>
      <c r="C3101" s="3">
        <v>81</v>
      </c>
      <c r="D3101" s="3">
        <v>71</v>
      </c>
      <c r="E3101" s="3">
        <v>-4275.664</v>
      </c>
      <c r="F3101" s="4" t="str">
        <f>HYPERLINK("http://141.218.60.56/~jnz1568/getInfo.php?workbook=14_04.xlsx&amp;sheet=A0&amp;row=3101&amp;col=6&amp;number=3.025&amp;sourceID=14","3.025")</f>
        <v>3.025</v>
      </c>
      <c r="G3101" s="4" t="str">
        <f>HYPERLINK("http://141.218.60.56/~jnz1568/getInfo.php?workbook=14_04.xlsx&amp;sheet=A0&amp;row=3101&amp;col=7&amp;number=0&amp;sourceID=14","0")</f>
        <v>0</v>
      </c>
    </row>
    <row r="3102" spans="1:7">
      <c r="A3102" s="3">
        <v>14</v>
      </c>
      <c r="B3102" s="3">
        <v>4</v>
      </c>
      <c r="C3102" s="3">
        <v>82</v>
      </c>
      <c r="D3102" s="3">
        <v>71</v>
      </c>
      <c r="E3102" s="3">
        <v>-3981.001</v>
      </c>
      <c r="F3102" s="4" t="str">
        <f>HYPERLINK("http://141.218.60.56/~jnz1568/getInfo.php?workbook=14_04.xlsx&amp;sheet=A0&amp;row=3102&amp;col=6&amp;number=6.99&amp;sourceID=14","6.99")</f>
        <v>6.99</v>
      </c>
      <c r="G3102" s="4" t="str">
        <f>HYPERLINK("http://141.218.60.56/~jnz1568/getInfo.php?workbook=14_04.xlsx&amp;sheet=A0&amp;row=3102&amp;col=7&amp;number=0&amp;sourceID=14","0")</f>
        <v>0</v>
      </c>
    </row>
    <row r="3103" spans="1:7">
      <c r="A3103" s="3">
        <v>14</v>
      </c>
      <c r="B3103" s="3">
        <v>4</v>
      </c>
      <c r="C3103" s="3">
        <v>83</v>
      </c>
      <c r="D3103" s="3">
        <v>71</v>
      </c>
      <c r="E3103" s="3">
        <v>-1162.286</v>
      </c>
      <c r="F3103" s="4" t="str">
        <f>HYPERLINK("http://141.218.60.56/~jnz1568/getInfo.php?workbook=14_04.xlsx&amp;sheet=A0&amp;row=3103&amp;col=6&amp;number=396900&amp;sourceID=14","396900")</f>
        <v>396900</v>
      </c>
      <c r="G3103" s="4" t="str">
        <f>HYPERLINK("http://141.218.60.56/~jnz1568/getInfo.php?workbook=14_04.xlsx&amp;sheet=A0&amp;row=3103&amp;col=7&amp;number=0&amp;sourceID=14","0")</f>
        <v>0</v>
      </c>
    </row>
    <row r="3104" spans="1:7">
      <c r="A3104" s="3">
        <v>14</v>
      </c>
      <c r="B3104" s="3">
        <v>4</v>
      </c>
      <c r="C3104" s="3">
        <v>85</v>
      </c>
      <c r="D3104" s="3">
        <v>71</v>
      </c>
      <c r="E3104" s="3">
        <v>-994.436</v>
      </c>
      <c r="F3104" s="4" t="str">
        <f>HYPERLINK("http://141.218.60.56/~jnz1568/getInfo.php?workbook=14_04.xlsx&amp;sheet=A0&amp;row=3104&amp;col=6&amp;number=0.1002&amp;sourceID=14","0.1002")</f>
        <v>0.1002</v>
      </c>
      <c r="G3104" s="4" t="str">
        <f>HYPERLINK("http://141.218.60.56/~jnz1568/getInfo.php?workbook=14_04.xlsx&amp;sheet=A0&amp;row=3104&amp;col=7&amp;number=0&amp;sourceID=14","0")</f>
        <v>0</v>
      </c>
    </row>
    <row r="3105" spans="1:7">
      <c r="A3105" s="3">
        <v>14</v>
      </c>
      <c r="B3105" s="3">
        <v>4</v>
      </c>
      <c r="C3105" s="3">
        <v>86</v>
      </c>
      <c r="D3105" s="3">
        <v>71</v>
      </c>
      <c r="E3105" s="3">
        <v>-993.237</v>
      </c>
      <c r="F3105" s="4" t="str">
        <f>HYPERLINK("http://141.218.60.56/~jnz1568/getInfo.php?workbook=14_04.xlsx&amp;sheet=A0&amp;row=3105&amp;col=6&amp;number=47.69&amp;sourceID=14","47.69")</f>
        <v>47.69</v>
      </c>
      <c r="G3105" s="4" t="str">
        <f>HYPERLINK("http://141.218.60.56/~jnz1568/getInfo.php?workbook=14_04.xlsx&amp;sheet=A0&amp;row=3105&amp;col=7&amp;number=0&amp;sourceID=14","0")</f>
        <v>0</v>
      </c>
    </row>
    <row r="3106" spans="1:7">
      <c r="A3106" s="3">
        <v>14</v>
      </c>
      <c r="B3106" s="3">
        <v>4</v>
      </c>
      <c r="C3106" s="3">
        <v>87</v>
      </c>
      <c r="D3106" s="3">
        <v>71</v>
      </c>
      <c r="E3106" s="3">
        <v>-990.403</v>
      </c>
      <c r="F3106" s="4" t="str">
        <f>HYPERLINK("http://141.218.60.56/~jnz1568/getInfo.php?workbook=14_04.xlsx&amp;sheet=A0&amp;row=3106&amp;col=6&amp;number=1.197&amp;sourceID=14","1.197")</f>
        <v>1.197</v>
      </c>
      <c r="G3106" s="4" t="str">
        <f>HYPERLINK("http://141.218.60.56/~jnz1568/getInfo.php?workbook=14_04.xlsx&amp;sheet=A0&amp;row=3106&amp;col=7&amp;number=0&amp;sourceID=14","0")</f>
        <v>0</v>
      </c>
    </row>
    <row r="3107" spans="1:7">
      <c r="A3107" s="3">
        <v>14</v>
      </c>
      <c r="B3107" s="3">
        <v>4</v>
      </c>
      <c r="C3107" s="3">
        <v>88</v>
      </c>
      <c r="D3107" s="3">
        <v>71</v>
      </c>
      <c r="E3107" s="3">
        <v>-965.881</v>
      </c>
      <c r="F3107" s="4" t="str">
        <f>HYPERLINK("http://141.218.60.56/~jnz1568/getInfo.php?workbook=14_04.xlsx&amp;sheet=A0&amp;row=3107&amp;col=6&amp;number=2.821&amp;sourceID=14","2.821")</f>
        <v>2.821</v>
      </c>
      <c r="G3107" s="4" t="str">
        <f>HYPERLINK("http://141.218.60.56/~jnz1568/getInfo.php?workbook=14_04.xlsx&amp;sheet=A0&amp;row=3107&amp;col=7&amp;number=0&amp;sourceID=14","0")</f>
        <v>0</v>
      </c>
    </row>
    <row r="3108" spans="1:7">
      <c r="A3108" s="3">
        <v>14</v>
      </c>
      <c r="B3108" s="3">
        <v>4</v>
      </c>
      <c r="C3108" s="3">
        <v>89</v>
      </c>
      <c r="D3108" s="3">
        <v>71</v>
      </c>
      <c r="E3108" s="3">
        <v>-916.265</v>
      </c>
      <c r="F3108" s="4" t="str">
        <f>HYPERLINK("http://141.218.60.56/~jnz1568/getInfo.php?workbook=14_04.xlsx&amp;sheet=A0&amp;row=3108&amp;col=6&amp;number=3063000&amp;sourceID=14","3063000")</f>
        <v>3063000</v>
      </c>
      <c r="G3108" s="4" t="str">
        <f>HYPERLINK("http://141.218.60.56/~jnz1568/getInfo.php?workbook=14_04.xlsx&amp;sheet=A0&amp;row=3108&amp;col=7&amp;number=0&amp;sourceID=14","0")</f>
        <v>0</v>
      </c>
    </row>
    <row r="3109" spans="1:7">
      <c r="A3109" s="3">
        <v>14</v>
      </c>
      <c r="B3109" s="3">
        <v>4</v>
      </c>
      <c r="C3109" s="3">
        <v>90</v>
      </c>
      <c r="D3109" s="3">
        <v>71</v>
      </c>
      <c r="E3109" s="3">
        <v>-915.836</v>
      </c>
      <c r="F3109" s="4" t="str">
        <f>HYPERLINK("http://141.218.60.56/~jnz1568/getInfo.php?workbook=14_04.xlsx&amp;sheet=A0&amp;row=3109&amp;col=6&amp;number=2860000&amp;sourceID=14","2860000")</f>
        <v>2860000</v>
      </c>
      <c r="G3109" s="4" t="str">
        <f>HYPERLINK("http://141.218.60.56/~jnz1568/getInfo.php?workbook=14_04.xlsx&amp;sheet=A0&amp;row=3109&amp;col=7&amp;number=0&amp;sourceID=14","0")</f>
        <v>0</v>
      </c>
    </row>
    <row r="3110" spans="1:7">
      <c r="A3110" s="3">
        <v>14</v>
      </c>
      <c r="B3110" s="3">
        <v>4</v>
      </c>
      <c r="C3110" s="3">
        <v>91</v>
      </c>
      <c r="D3110" s="3">
        <v>71</v>
      </c>
      <c r="E3110" s="3">
        <v>-915.177</v>
      </c>
      <c r="F3110" s="4" t="str">
        <f>HYPERLINK("http://141.218.60.56/~jnz1568/getInfo.php?workbook=14_04.xlsx&amp;sheet=A0&amp;row=3110&amp;col=6&amp;number=3975000&amp;sourceID=14","3975000")</f>
        <v>3975000</v>
      </c>
      <c r="G3110" s="4" t="str">
        <f>HYPERLINK("http://141.218.60.56/~jnz1568/getInfo.php?workbook=14_04.xlsx&amp;sheet=A0&amp;row=3110&amp;col=7&amp;number=0&amp;sourceID=14","0")</f>
        <v>0</v>
      </c>
    </row>
    <row r="3111" spans="1:7">
      <c r="A3111" s="3">
        <v>14</v>
      </c>
      <c r="B3111" s="3">
        <v>4</v>
      </c>
      <c r="C3111" s="3">
        <v>92</v>
      </c>
      <c r="D3111" s="3">
        <v>71</v>
      </c>
      <c r="E3111" s="3">
        <v>-876.211</v>
      </c>
      <c r="F3111" s="4" t="str">
        <f>HYPERLINK("http://141.218.60.56/~jnz1568/getInfo.php?workbook=14_04.xlsx&amp;sheet=A0&amp;row=3111&amp;col=6&amp;number=126100&amp;sourceID=14","126100")</f>
        <v>126100</v>
      </c>
      <c r="G3111" s="4" t="str">
        <f>HYPERLINK("http://141.218.60.56/~jnz1568/getInfo.php?workbook=14_04.xlsx&amp;sheet=A0&amp;row=3111&amp;col=7&amp;number=0&amp;sourceID=14","0")</f>
        <v>0</v>
      </c>
    </row>
    <row r="3112" spans="1:7">
      <c r="A3112" s="3">
        <v>14</v>
      </c>
      <c r="B3112" s="3">
        <v>4</v>
      </c>
      <c r="C3112" s="3">
        <v>74</v>
      </c>
      <c r="D3112" s="3">
        <v>72</v>
      </c>
      <c r="E3112" s="3">
        <v>-35362.855</v>
      </c>
      <c r="F3112" s="4" t="str">
        <f>HYPERLINK("http://141.218.60.56/~jnz1568/getInfo.php?workbook=14_04.xlsx&amp;sheet=A0&amp;row=3112&amp;col=6&amp;number=838.9&amp;sourceID=14","838.9")</f>
        <v>838.9</v>
      </c>
      <c r="G3112" s="4" t="str">
        <f>HYPERLINK("http://141.218.60.56/~jnz1568/getInfo.php?workbook=14_04.xlsx&amp;sheet=A0&amp;row=3112&amp;col=7&amp;number=0&amp;sourceID=14","0")</f>
        <v>0</v>
      </c>
    </row>
    <row r="3113" spans="1:7">
      <c r="A3113" s="3">
        <v>14</v>
      </c>
      <c r="B3113" s="3">
        <v>4</v>
      </c>
      <c r="C3113" s="3">
        <v>75</v>
      </c>
      <c r="D3113" s="3">
        <v>72</v>
      </c>
      <c r="E3113" s="3">
        <v>-21071.327</v>
      </c>
      <c r="F3113" s="4" t="str">
        <f>HYPERLINK("http://141.218.60.56/~jnz1568/getInfo.php?workbook=14_04.xlsx&amp;sheet=A0&amp;row=3113&amp;col=6&amp;number=14780&amp;sourceID=14","14780")</f>
        <v>14780</v>
      </c>
      <c r="G3113" s="4" t="str">
        <f>HYPERLINK("http://141.218.60.56/~jnz1568/getInfo.php?workbook=14_04.xlsx&amp;sheet=A0&amp;row=3113&amp;col=7&amp;number=0&amp;sourceID=14","0")</f>
        <v>0</v>
      </c>
    </row>
    <row r="3114" spans="1:7">
      <c r="A3114" s="3">
        <v>14</v>
      </c>
      <c r="B3114" s="3">
        <v>4</v>
      </c>
      <c r="C3114" s="3">
        <v>76</v>
      </c>
      <c r="D3114" s="3">
        <v>72</v>
      </c>
      <c r="E3114" s="3">
        <v>-13435.03</v>
      </c>
      <c r="F3114" s="4" t="str">
        <f>HYPERLINK("http://141.218.60.56/~jnz1568/getInfo.php?workbook=14_04.xlsx&amp;sheet=A0&amp;row=3114&amp;col=6&amp;number=7040&amp;sourceID=14","7040")</f>
        <v>7040</v>
      </c>
      <c r="G3114" s="4" t="str">
        <f>HYPERLINK("http://141.218.60.56/~jnz1568/getInfo.php?workbook=14_04.xlsx&amp;sheet=A0&amp;row=3114&amp;col=7&amp;number=0&amp;sourceID=14","0")</f>
        <v>0</v>
      </c>
    </row>
    <row r="3115" spans="1:7">
      <c r="A3115" s="3">
        <v>14</v>
      </c>
      <c r="B3115" s="3">
        <v>4</v>
      </c>
      <c r="C3115" s="3">
        <v>77</v>
      </c>
      <c r="D3115" s="3">
        <v>72</v>
      </c>
      <c r="E3115" s="3">
        <v>-10114.715</v>
      </c>
      <c r="F3115" s="4" t="str">
        <f>HYPERLINK("http://141.218.60.56/~jnz1568/getInfo.php?workbook=14_04.xlsx&amp;sheet=A0&amp;row=3115&amp;col=6&amp;number=86880&amp;sourceID=14","86880")</f>
        <v>86880</v>
      </c>
      <c r="G3115" s="4" t="str">
        <f>HYPERLINK("http://141.218.60.56/~jnz1568/getInfo.php?workbook=14_04.xlsx&amp;sheet=A0&amp;row=3115&amp;col=7&amp;number=0&amp;sourceID=14","0")</f>
        <v>0</v>
      </c>
    </row>
    <row r="3116" spans="1:7">
      <c r="A3116" s="3">
        <v>14</v>
      </c>
      <c r="B3116" s="3">
        <v>4</v>
      </c>
      <c r="C3116" s="3">
        <v>78</v>
      </c>
      <c r="D3116" s="3">
        <v>72</v>
      </c>
      <c r="E3116" s="3">
        <v>-9382.932</v>
      </c>
      <c r="F3116" s="4" t="str">
        <f>HYPERLINK("http://141.218.60.56/~jnz1568/getInfo.php?workbook=14_04.xlsx&amp;sheet=A0&amp;row=3116&amp;col=6&amp;number=2710&amp;sourceID=14","2710")</f>
        <v>2710</v>
      </c>
      <c r="G3116" s="4" t="str">
        <f>HYPERLINK("http://141.218.60.56/~jnz1568/getInfo.php?workbook=14_04.xlsx&amp;sheet=A0&amp;row=3116&amp;col=7&amp;number=0&amp;sourceID=14","0")</f>
        <v>0</v>
      </c>
    </row>
    <row r="3117" spans="1:7">
      <c r="A3117" s="3">
        <v>14</v>
      </c>
      <c r="B3117" s="3">
        <v>4</v>
      </c>
      <c r="C3117" s="3">
        <v>80</v>
      </c>
      <c r="D3117" s="3">
        <v>72</v>
      </c>
      <c r="E3117" s="3">
        <v>-7410.056</v>
      </c>
      <c r="F3117" s="4" t="str">
        <f>HYPERLINK("http://141.218.60.56/~jnz1568/getInfo.php?workbook=14_04.xlsx&amp;sheet=A0&amp;row=3117&amp;col=6&amp;number=0.5597&amp;sourceID=14","0.5597")</f>
        <v>0.5597</v>
      </c>
      <c r="G3117" s="4" t="str">
        <f>HYPERLINK("http://141.218.60.56/~jnz1568/getInfo.php?workbook=14_04.xlsx&amp;sheet=A0&amp;row=3117&amp;col=7&amp;number=0&amp;sourceID=14","0")</f>
        <v>0</v>
      </c>
    </row>
    <row r="3118" spans="1:7">
      <c r="A3118" s="3">
        <v>14</v>
      </c>
      <c r="B3118" s="3">
        <v>4</v>
      </c>
      <c r="C3118" s="3">
        <v>81</v>
      </c>
      <c r="D3118" s="3">
        <v>72</v>
      </c>
      <c r="E3118" s="3">
        <v>-4714.584</v>
      </c>
      <c r="F3118" s="4" t="str">
        <f>HYPERLINK("http://141.218.60.56/~jnz1568/getInfo.php?workbook=14_04.xlsx&amp;sheet=A0&amp;row=3118&amp;col=6&amp;number=26970000&amp;sourceID=14","26970000")</f>
        <v>26970000</v>
      </c>
      <c r="G3118" s="4" t="str">
        <f>HYPERLINK("http://141.218.60.56/~jnz1568/getInfo.php?workbook=14_04.xlsx&amp;sheet=A0&amp;row=3118&amp;col=7&amp;number=0&amp;sourceID=14","0")</f>
        <v>0</v>
      </c>
    </row>
    <row r="3119" spans="1:7">
      <c r="A3119" s="3">
        <v>14</v>
      </c>
      <c r="B3119" s="3">
        <v>4</v>
      </c>
      <c r="C3119" s="3">
        <v>82</v>
      </c>
      <c r="D3119" s="3">
        <v>72</v>
      </c>
      <c r="E3119" s="3">
        <v>-4358.834</v>
      </c>
      <c r="F3119" s="4" t="str">
        <f>HYPERLINK("http://141.218.60.56/~jnz1568/getInfo.php?workbook=14_04.xlsx&amp;sheet=A0&amp;row=3119&amp;col=6&amp;number=2024000&amp;sourceID=14","2024000")</f>
        <v>2024000</v>
      </c>
      <c r="G3119" s="4" t="str">
        <f>HYPERLINK("http://141.218.60.56/~jnz1568/getInfo.php?workbook=14_04.xlsx&amp;sheet=A0&amp;row=3119&amp;col=7&amp;number=0&amp;sourceID=14","0")</f>
        <v>0</v>
      </c>
    </row>
    <row r="3120" spans="1:7">
      <c r="A3120" s="3">
        <v>14</v>
      </c>
      <c r="B3120" s="3">
        <v>4</v>
      </c>
      <c r="C3120" s="3">
        <v>83</v>
      </c>
      <c r="D3120" s="3">
        <v>72</v>
      </c>
      <c r="E3120" s="3">
        <v>-1192.465</v>
      </c>
      <c r="F3120" s="4" t="str">
        <f>HYPERLINK("http://141.218.60.56/~jnz1568/getInfo.php?workbook=14_04.xlsx&amp;sheet=A0&amp;row=3120&amp;col=6&amp;number=0.07876&amp;sourceID=14","0.07876")</f>
        <v>0.07876</v>
      </c>
      <c r="G3120" s="4" t="str">
        <f>HYPERLINK("http://141.218.60.56/~jnz1568/getInfo.php?workbook=14_04.xlsx&amp;sheet=A0&amp;row=3120&amp;col=7&amp;number=0&amp;sourceID=14","0")</f>
        <v>0</v>
      </c>
    </row>
    <row r="3121" spans="1:7">
      <c r="A3121" s="3">
        <v>14</v>
      </c>
      <c r="B3121" s="3">
        <v>4</v>
      </c>
      <c r="C3121" s="3">
        <v>84</v>
      </c>
      <c r="D3121" s="3">
        <v>72</v>
      </c>
      <c r="E3121" s="3">
        <v>-1098.299</v>
      </c>
      <c r="F3121" s="4" t="str">
        <f>HYPERLINK("http://141.218.60.56/~jnz1568/getInfo.php?workbook=14_04.xlsx&amp;sheet=A0&amp;row=3121&amp;col=6&amp;number=167.8&amp;sourceID=14","167.8")</f>
        <v>167.8</v>
      </c>
      <c r="G3121" s="4" t="str">
        <f>HYPERLINK("http://141.218.60.56/~jnz1568/getInfo.php?workbook=14_04.xlsx&amp;sheet=A0&amp;row=3121&amp;col=7&amp;number=0&amp;sourceID=14","0")</f>
        <v>0</v>
      </c>
    </row>
    <row r="3122" spans="1:7">
      <c r="A3122" s="3">
        <v>14</v>
      </c>
      <c r="B3122" s="3">
        <v>4</v>
      </c>
      <c r="C3122" s="3">
        <v>86</v>
      </c>
      <c r="D3122" s="3">
        <v>72</v>
      </c>
      <c r="E3122" s="3">
        <v>-1015.192</v>
      </c>
      <c r="F3122" s="4" t="str">
        <f>HYPERLINK("http://141.218.60.56/~jnz1568/getInfo.php?workbook=14_04.xlsx&amp;sheet=A0&amp;row=3122&amp;col=6&amp;number=36880&amp;sourceID=14","36880")</f>
        <v>36880</v>
      </c>
      <c r="G3122" s="4" t="str">
        <f>HYPERLINK("http://141.218.60.56/~jnz1568/getInfo.php?workbook=14_04.xlsx&amp;sheet=A0&amp;row=3122&amp;col=7&amp;number=0&amp;sourceID=14","0")</f>
        <v>0</v>
      </c>
    </row>
    <row r="3123" spans="1:7">
      <c r="A3123" s="3">
        <v>14</v>
      </c>
      <c r="B3123" s="3">
        <v>4</v>
      </c>
      <c r="C3123" s="3">
        <v>87</v>
      </c>
      <c r="D3123" s="3">
        <v>72</v>
      </c>
      <c r="E3123" s="3">
        <v>-1012.232</v>
      </c>
      <c r="F3123" s="4" t="str">
        <f>HYPERLINK("http://141.218.60.56/~jnz1568/getInfo.php?workbook=14_04.xlsx&amp;sheet=A0&amp;row=3123&amp;col=6&amp;number=113700&amp;sourceID=14","113700")</f>
        <v>113700</v>
      </c>
      <c r="G3123" s="4" t="str">
        <f>HYPERLINK("http://141.218.60.56/~jnz1568/getInfo.php?workbook=14_04.xlsx&amp;sheet=A0&amp;row=3123&amp;col=7&amp;number=0&amp;sourceID=14","0")</f>
        <v>0</v>
      </c>
    </row>
    <row r="3124" spans="1:7">
      <c r="A3124" s="3">
        <v>14</v>
      </c>
      <c r="B3124" s="3">
        <v>4</v>
      </c>
      <c r="C3124" s="3">
        <v>88</v>
      </c>
      <c r="D3124" s="3">
        <v>72</v>
      </c>
      <c r="E3124" s="3">
        <v>-986.631</v>
      </c>
      <c r="F3124" s="4" t="str">
        <f>HYPERLINK("http://141.218.60.56/~jnz1568/getInfo.php?workbook=14_04.xlsx&amp;sheet=A0&amp;row=3124&amp;col=6&amp;number=24140000&amp;sourceID=14","24140000")</f>
        <v>24140000</v>
      </c>
      <c r="G3124" s="4" t="str">
        <f>HYPERLINK("http://141.218.60.56/~jnz1568/getInfo.php?workbook=14_04.xlsx&amp;sheet=A0&amp;row=3124&amp;col=7&amp;number=0&amp;sourceID=14","0")</f>
        <v>0</v>
      </c>
    </row>
    <row r="3125" spans="1:7">
      <c r="A3125" s="3">
        <v>14</v>
      </c>
      <c r="B3125" s="3">
        <v>4</v>
      </c>
      <c r="C3125" s="3">
        <v>89</v>
      </c>
      <c r="D3125" s="3">
        <v>72</v>
      </c>
      <c r="E3125" s="3">
        <v>-934.917</v>
      </c>
      <c r="F3125" s="4" t="str">
        <f>HYPERLINK("http://141.218.60.56/~jnz1568/getInfo.php?workbook=14_04.xlsx&amp;sheet=A0&amp;row=3125&amp;col=6&amp;number=0.08232&amp;sourceID=14","0.08232")</f>
        <v>0.08232</v>
      </c>
      <c r="G3125" s="4" t="str">
        <f>HYPERLINK("http://141.218.60.56/~jnz1568/getInfo.php?workbook=14_04.xlsx&amp;sheet=A0&amp;row=3125&amp;col=7&amp;number=0&amp;sourceID=14","0")</f>
        <v>0</v>
      </c>
    </row>
    <row r="3126" spans="1:7">
      <c r="A3126" s="3">
        <v>14</v>
      </c>
      <c r="B3126" s="3">
        <v>4</v>
      </c>
      <c r="C3126" s="3">
        <v>90</v>
      </c>
      <c r="D3126" s="3">
        <v>72</v>
      </c>
      <c r="E3126" s="3">
        <v>-934.471</v>
      </c>
      <c r="F3126" s="4" t="str">
        <f>HYPERLINK("http://141.218.60.56/~jnz1568/getInfo.php?workbook=14_04.xlsx&amp;sheet=A0&amp;row=3126&amp;col=6&amp;number=0.02848&amp;sourceID=14","0.02848")</f>
        <v>0.02848</v>
      </c>
      <c r="G3126" s="4" t="str">
        <f>HYPERLINK("http://141.218.60.56/~jnz1568/getInfo.php?workbook=14_04.xlsx&amp;sheet=A0&amp;row=3126&amp;col=7&amp;number=0&amp;sourceID=14","0")</f>
        <v>0</v>
      </c>
    </row>
    <row r="3127" spans="1:7">
      <c r="A3127" s="3">
        <v>14</v>
      </c>
      <c r="B3127" s="3">
        <v>4</v>
      </c>
      <c r="C3127" s="3">
        <v>91</v>
      </c>
      <c r="D3127" s="3">
        <v>72</v>
      </c>
      <c r="E3127" s="3">
        <v>-933.785</v>
      </c>
      <c r="F3127" s="4" t="str">
        <f>HYPERLINK("http://141.218.60.56/~jnz1568/getInfo.php?workbook=14_04.xlsx&amp;sheet=A0&amp;row=3127&amp;col=6&amp;number=0.1133&amp;sourceID=14","0.1133")</f>
        <v>0.1133</v>
      </c>
      <c r="G3127" s="4" t="str">
        <f>HYPERLINK("http://141.218.60.56/~jnz1568/getInfo.php?workbook=14_04.xlsx&amp;sheet=A0&amp;row=3127&amp;col=7&amp;number=0&amp;sourceID=14","0")</f>
        <v>0</v>
      </c>
    </row>
    <row r="3128" spans="1:7">
      <c r="A3128" s="3">
        <v>14</v>
      </c>
      <c r="B3128" s="3">
        <v>4</v>
      </c>
      <c r="C3128" s="3">
        <v>92</v>
      </c>
      <c r="D3128" s="3">
        <v>72</v>
      </c>
      <c r="E3128" s="3">
        <v>-893.253</v>
      </c>
      <c r="F3128" s="4" t="str">
        <f>HYPERLINK("http://141.218.60.56/~jnz1568/getInfo.php?workbook=14_04.xlsx&amp;sheet=A0&amp;row=3128&amp;col=6&amp;number=15.3&amp;sourceID=14","15.3")</f>
        <v>15.3</v>
      </c>
      <c r="G3128" s="4" t="str">
        <f>HYPERLINK("http://141.218.60.56/~jnz1568/getInfo.php?workbook=14_04.xlsx&amp;sheet=A0&amp;row=3128&amp;col=7&amp;number=0&amp;sourceID=14","0")</f>
        <v>0</v>
      </c>
    </row>
    <row r="3129" spans="1:7">
      <c r="A3129" s="3">
        <v>14</v>
      </c>
      <c r="B3129" s="3">
        <v>4</v>
      </c>
      <c r="C3129" s="3">
        <v>75</v>
      </c>
      <c r="D3129" s="3">
        <v>73</v>
      </c>
      <c r="E3129" s="3">
        <v>-29164.131</v>
      </c>
      <c r="F3129" s="4" t="str">
        <f>HYPERLINK("http://141.218.60.56/~jnz1568/getInfo.php?workbook=14_04.xlsx&amp;sheet=A0&amp;row=3129&amp;col=6&amp;number=5.43e-07&amp;sourceID=14","5.43e-07")</f>
        <v>5.43e-07</v>
      </c>
      <c r="G3129" s="4" t="str">
        <f>HYPERLINK("http://141.218.60.56/~jnz1568/getInfo.php?workbook=14_04.xlsx&amp;sheet=A0&amp;row=3129&amp;col=7&amp;number=0&amp;sourceID=14","0")</f>
        <v>0</v>
      </c>
    </row>
    <row r="3130" spans="1:7">
      <c r="A3130" s="3">
        <v>14</v>
      </c>
      <c r="B3130" s="3">
        <v>4</v>
      </c>
      <c r="C3130" s="3">
        <v>76</v>
      </c>
      <c r="D3130" s="3">
        <v>73</v>
      </c>
      <c r="E3130" s="3">
        <v>-16323.033</v>
      </c>
      <c r="F3130" s="4" t="str">
        <f>HYPERLINK("http://141.218.60.56/~jnz1568/getInfo.php?workbook=14_04.xlsx&amp;sheet=A0&amp;row=3130&amp;col=6&amp;number=0.4534&amp;sourceID=14","0.4534")</f>
        <v>0.4534</v>
      </c>
      <c r="G3130" s="4" t="str">
        <f>HYPERLINK("http://141.218.60.56/~jnz1568/getInfo.php?workbook=14_04.xlsx&amp;sheet=A0&amp;row=3130&amp;col=7&amp;number=0&amp;sourceID=14","0")</f>
        <v>0</v>
      </c>
    </row>
    <row r="3131" spans="1:7">
      <c r="A3131" s="3">
        <v>14</v>
      </c>
      <c r="B3131" s="3">
        <v>4</v>
      </c>
      <c r="C3131" s="3">
        <v>77</v>
      </c>
      <c r="D3131" s="3">
        <v>73</v>
      </c>
      <c r="E3131" s="3">
        <v>-11669.061</v>
      </c>
      <c r="F3131" s="4" t="str">
        <f>HYPERLINK("http://141.218.60.56/~jnz1568/getInfo.php?workbook=14_04.xlsx&amp;sheet=A0&amp;row=3131&amp;col=6&amp;number=0.005146&amp;sourceID=14","0.005146")</f>
        <v>0.005146</v>
      </c>
      <c r="G3131" s="4" t="str">
        <f>HYPERLINK("http://141.218.60.56/~jnz1568/getInfo.php?workbook=14_04.xlsx&amp;sheet=A0&amp;row=3131&amp;col=7&amp;number=0&amp;sourceID=14","0")</f>
        <v>0</v>
      </c>
    </row>
    <row r="3132" spans="1:7">
      <c r="A3132" s="3">
        <v>14</v>
      </c>
      <c r="B3132" s="3">
        <v>4</v>
      </c>
      <c r="C3132" s="3">
        <v>81</v>
      </c>
      <c r="D3132" s="3">
        <v>73</v>
      </c>
      <c r="E3132" s="3">
        <v>-5026.676</v>
      </c>
      <c r="F3132" s="4" t="str">
        <f>HYPERLINK("http://141.218.60.56/~jnz1568/getInfo.php?workbook=14_04.xlsx&amp;sheet=A0&amp;row=3132&amp;col=6&amp;number=2.505&amp;sourceID=14","2.505")</f>
        <v>2.505</v>
      </c>
      <c r="G3132" s="4" t="str">
        <f>HYPERLINK("http://141.218.60.56/~jnz1568/getInfo.php?workbook=14_04.xlsx&amp;sheet=A0&amp;row=3132&amp;col=7&amp;number=0&amp;sourceID=14","0")</f>
        <v>0</v>
      </c>
    </row>
    <row r="3133" spans="1:7">
      <c r="A3133" s="3">
        <v>14</v>
      </c>
      <c r="B3133" s="3">
        <v>4</v>
      </c>
      <c r="C3133" s="3">
        <v>87</v>
      </c>
      <c r="D3133" s="3">
        <v>73</v>
      </c>
      <c r="E3133" s="3">
        <v>-1025.907</v>
      </c>
      <c r="F3133" s="4" t="str">
        <f>HYPERLINK("http://141.218.60.56/~jnz1568/getInfo.php?workbook=14_04.xlsx&amp;sheet=A0&amp;row=3133&amp;col=6&amp;number=103&amp;sourceID=14","103")</f>
        <v>103</v>
      </c>
      <c r="G3133" s="4" t="str">
        <f>HYPERLINK("http://141.218.60.56/~jnz1568/getInfo.php?workbook=14_04.xlsx&amp;sheet=A0&amp;row=3133&amp;col=7&amp;number=0&amp;sourceID=14","0")</f>
        <v>0</v>
      </c>
    </row>
    <row r="3134" spans="1:7">
      <c r="A3134" s="3">
        <v>14</v>
      </c>
      <c r="B3134" s="3">
        <v>4</v>
      </c>
      <c r="C3134" s="3">
        <v>91</v>
      </c>
      <c r="D3134" s="3">
        <v>73</v>
      </c>
      <c r="E3134" s="3">
        <v>-945.41</v>
      </c>
      <c r="F3134" s="4" t="str">
        <f>HYPERLINK("http://141.218.60.56/~jnz1568/getInfo.php?workbook=14_04.xlsx&amp;sheet=A0&amp;row=3134&amp;col=6&amp;number=20840000&amp;sourceID=14","20840000")</f>
        <v>20840000</v>
      </c>
      <c r="G3134" s="4" t="str">
        <f>HYPERLINK("http://141.218.60.56/~jnz1568/getInfo.php?workbook=14_04.xlsx&amp;sheet=A0&amp;row=3134&amp;col=7&amp;number=0&amp;sourceID=14","0")</f>
        <v>0</v>
      </c>
    </row>
    <row r="3135" spans="1:7">
      <c r="A3135" s="3">
        <v>14</v>
      </c>
      <c r="B3135" s="3">
        <v>4</v>
      </c>
      <c r="C3135" s="3">
        <v>75</v>
      </c>
      <c r="D3135" s="3">
        <v>74</v>
      </c>
      <c r="E3135" s="3">
        <v>-52138.742</v>
      </c>
      <c r="F3135" s="4" t="str">
        <f>HYPERLINK("http://141.218.60.56/~jnz1568/getInfo.php?workbook=14_04.xlsx&amp;sheet=A0&amp;row=3135&amp;col=6&amp;number=0.1102&amp;sourceID=14","0.1102")</f>
        <v>0.1102</v>
      </c>
      <c r="G3135" s="4" t="str">
        <f>HYPERLINK("http://141.218.60.56/~jnz1568/getInfo.php?workbook=14_04.xlsx&amp;sheet=A0&amp;row=3135&amp;col=7&amp;number=0&amp;sourceID=14","0")</f>
        <v>0</v>
      </c>
    </row>
    <row r="3136" spans="1:7">
      <c r="A3136" s="3">
        <v>14</v>
      </c>
      <c r="B3136" s="3">
        <v>4</v>
      </c>
      <c r="C3136" s="3">
        <v>76</v>
      </c>
      <c r="D3136" s="3">
        <v>74</v>
      </c>
      <c r="E3136" s="3">
        <v>-21666.582</v>
      </c>
      <c r="F3136" s="4" t="str">
        <f>HYPERLINK("http://141.218.60.56/~jnz1568/getInfo.php?workbook=14_04.xlsx&amp;sheet=A0&amp;row=3136&amp;col=6&amp;number=1.413e-08&amp;sourceID=14","1.413e-08")</f>
        <v>1.413e-08</v>
      </c>
      <c r="G3136" s="4" t="str">
        <f>HYPERLINK("http://141.218.60.56/~jnz1568/getInfo.php?workbook=14_04.xlsx&amp;sheet=A0&amp;row=3136&amp;col=7&amp;number=0&amp;sourceID=14","0")</f>
        <v>0</v>
      </c>
    </row>
    <row r="3137" spans="1:7">
      <c r="A3137" s="3">
        <v>14</v>
      </c>
      <c r="B3137" s="3">
        <v>4</v>
      </c>
      <c r="C3137" s="3">
        <v>77</v>
      </c>
      <c r="D3137" s="3">
        <v>74</v>
      </c>
      <c r="E3137" s="3">
        <v>-14166.795</v>
      </c>
      <c r="F3137" s="4" t="str">
        <f>HYPERLINK("http://141.218.60.56/~jnz1568/getInfo.php?workbook=14_04.xlsx&amp;sheet=A0&amp;row=3137&amp;col=6&amp;number=0.7816&amp;sourceID=14","0.7816")</f>
        <v>0.7816</v>
      </c>
      <c r="G3137" s="4" t="str">
        <f>HYPERLINK("http://141.218.60.56/~jnz1568/getInfo.php?workbook=14_04.xlsx&amp;sheet=A0&amp;row=3137&amp;col=7&amp;number=0&amp;sourceID=14","0")</f>
        <v>0</v>
      </c>
    </row>
    <row r="3138" spans="1:7">
      <c r="A3138" s="3">
        <v>14</v>
      </c>
      <c r="B3138" s="3">
        <v>4</v>
      </c>
      <c r="C3138" s="3">
        <v>78</v>
      </c>
      <c r="D3138" s="3">
        <v>74</v>
      </c>
      <c r="E3138" s="3">
        <v>-12771.679</v>
      </c>
      <c r="F3138" s="4" t="str">
        <f>HYPERLINK("http://141.218.60.56/~jnz1568/getInfo.php?workbook=14_04.xlsx&amp;sheet=A0&amp;row=3138&amp;col=6&amp;number=2.924&amp;sourceID=14","2.924")</f>
        <v>2.924</v>
      </c>
      <c r="G3138" s="4" t="str">
        <f>HYPERLINK("http://141.218.60.56/~jnz1568/getInfo.php?workbook=14_04.xlsx&amp;sheet=A0&amp;row=3138&amp;col=7&amp;number=0&amp;sourceID=14","0")</f>
        <v>0</v>
      </c>
    </row>
    <row r="3139" spans="1:7">
      <c r="A3139" s="3">
        <v>14</v>
      </c>
      <c r="B3139" s="3">
        <v>4</v>
      </c>
      <c r="C3139" s="3">
        <v>79</v>
      </c>
      <c r="D3139" s="3">
        <v>74</v>
      </c>
      <c r="E3139" s="3">
        <v>-12094.003</v>
      </c>
      <c r="F3139" s="4" t="str">
        <f>HYPERLINK("http://141.218.60.56/~jnz1568/getInfo.php?workbook=14_04.xlsx&amp;sheet=A0&amp;row=3139&amp;col=6&amp;number=3.89&amp;sourceID=14","3.89")</f>
        <v>3.89</v>
      </c>
      <c r="G3139" s="4" t="str">
        <f>HYPERLINK("http://141.218.60.56/~jnz1568/getInfo.php?workbook=14_04.xlsx&amp;sheet=A0&amp;row=3139&amp;col=7&amp;number=0&amp;sourceID=14","0")</f>
        <v>0</v>
      </c>
    </row>
    <row r="3140" spans="1:7">
      <c r="A3140" s="3">
        <v>14</v>
      </c>
      <c r="B3140" s="3">
        <v>4</v>
      </c>
      <c r="C3140" s="3">
        <v>80</v>
      </c>
      <c r="D3140" s="3">
        <v>74</v>
      </c>
      <c r="E3140" s="3">
        <v>-9374.4</v>
      </c>
      <c r="F3140" s="4" t="str">
        <f>HYPERLINK("http://141.218.60.56/~jnz1568/getInfo.php?workbook=14_04.xlsx&amp;sheet=A0&amp;row=3140&amp;col=6&amp;number=8852&amp;sourceID=14","8852")</f>
        <v>8852</v>
      </c>
      <c r="G3140" s="4" t="str">
        <f>HYPERLINK("http://141.218.60.56/~jnz1568/getInfo.php?workbook=14_04.xlsx&amp;sheet=A0&amp;row=3140&amp;col=7&amp;number=0&amp;sourceID=14","0")</f>
        <v>0</v>
      </c>
    </row>
    <row r="3141" spans="1:7">
      <c r="A3141" s="3">
        <v>14</v>
      </c>
      <c r="B3141" s="3">
        <v>4</v>
      </c>
      <c r="C3141" s="3">
        <v>81</v>
      </c>
      <c r="D3141" s="3">
        <v>74</v>
      </c>
      <c r="E3141" s="3">
        <v>-5439.822</v>
      </c>
      <c r="F3141" s="4" t="str">
        <f>HYPERLINK("http://141.218.60.56/~jnz1568/getInfo.php?workbook=14_04.xlsx&amp;sheet=A0&amp;row=3141&amp;col=6&amp;number=7.686e-05&amp;sourceID=14","7.686e-05")</f>
        <v>7.686e-05</v>
      </c>
      <c r="G3141" s="4" t="str">
        <f>HYPERLINK("http://141.218.60.56/~jnz1568/getInfo.php?workbook=14_04.xlsx&amp;sheet=A0&amp;row=3141&amp;col=7&amp;number=0&amp;sourceID=14","0")</f>
        <v>0</v>
      </c>
    </row>
    <row r="3142" spans="1:7">
      <c r="A3142" s="3">
        <v>14</v>
      </c>
      <c r="B3142" s="3">
        <v>4</v>
      </c>
      <c r="C3142" s="3">
        <v>82</v>
      </c>
      <c r="D3142" s="3">
        <v>74</v>
      </c>
      <c r="E3142" s="3">
        <v>-4971.64</v>
      </c>
      <c r="F3142" s="4" t="str">
        <f>HYPERLINK("http://141.218.60.56/~jnz1568/getInfo.php?workbook=14_04.xlsx&amp;sheet=A0&amp;row=3142&amp;col=6&amp;number=1.23&amp;sourceID=14","1.23")</f>
        <v>1.23</v>
      </c>
      <c r="G3142" s="4" t="str">
        <f>HYPERLINK("http://141.218.60.56/~jnz1568/getInfo.php?workbook=14_04.xlsx&amp;sheet=A0&amp;row=3142&amp;col=7&amp;number=0&amp;sourceID=14","0")</f>
        <v>0</v>
      </c>
    </row>
    <row r="3143" spans="1:7">
      <c r="A3143" s="3">
        <v>14</v>
      </c>
      <c r="B3143" s="3">
        <v>4</v>
      </c>
      <c r="C3143" s="3">
        <v>83</v>
      </c>
      <c r="D3143" s="3">
        <v>74</v>
      </c>
      <c r="E3143" s="3">
        <v>-1234.079</v>
      </c>
      <c r="F3143" s="4" t="str">
        <f>HYPERLINK("http://141.218.60.56/~jnz1568/getInfo.php?workbook=14_04.xlsx&amp;sheet=A0&amp;row=3143&amp;col=6&amp;number=273400&amp;sourceID=14","273400")</f>
        <v>273400</v>
      </c>
      <c r="G3143" s="4" t="str">
        <f>HYPERLINK("http://141.218.60.56/~jnz1568/getInfo.php?workbook=14_04.xlsx&amp;sheet=A0&amp;row=3143&amp;col=7&amp;number=0&amp;sourceID=14","0")</f>
        <v>0</v>
      </c>
    </row>
    <row r="3144" spans="1:7">
      <c r="A3144" s="3">
        <v>14</v>
      </c>
      <c r="B3144" s="3">
        <v>4</v>
      </c>
      <c r="C3144" s="3">
        <v>84</v>
      </c>
      <c r="D3144" s="3">
        <v>74</v>
      </c>
      <c r="E3144" s="3">
        <v>-1133.503</v>
      </c>
      <c r="F3144" s="4" t="str">
        <f>HYPERLINK("http://141.218.60.56/~jnz1568/getInfo.php?workbook=14_04.xlsx&amp;sheet=A0&amp;row=3144&amp;col=6&amp;number=56600&amp;sourceID=14","56600")</f>
        <v>56600</v>
      </c>
      <c r="G3144" s="4" t="str">
        <f>HYPERLINK("http://141.218.60.56/~jnz1568/getInfo.php?workbook=14_04.xlsx&amp;sheet=A0&amp;row=3144&amp;col=7&amp;number=0&amp;sourceID=14","0")</f>
        <v>0</v>
      </c>
    </row>
    <row r="3145" spans="1:7">
      <c r="A3145" s="3">
        <v>14</v>
      </c>
      <c r="B3145" s="3">
        <v>4</v>
      </c>
      <c r="C3145" s="3">
        <v>85</v>
      </c>
      <c r="D3145" s="3">
        <v>74</v>
      </c>
      <c r="E3145" s="3">
        <v>-1046.525</v>
      </c>
      <c r="F3145" s="4" t="str">
        <f>HYPERLINK("http://141.218.60.56/~jnz1568/getInfo.php?workbook=14_04.xlsx&amp;sheet=A0&amp;row=3145&amp;col=6&amp;number=0.1874&amp;sourceID=14","0.1874")</f>
        <v>0.1874</v>
      </c>
      <c r="G3145" s="4" t="str">
        <f>HYPERLINK("http://141.218.60.56/~jnz1568/getInfo.php?workbook=14_04.xlsx&amp;sheet=A0&amp;row=3145&amp;col=7&amp;number=0&amp;sourceID=14","0")</f>
        <v>0</v>
      </c>
    </row>
    <row r="3146" spans="1:7">
      <c r="A3146" s="3">
        <v>14</v>
      </c>
      <c r="B3146" s="3">
        <v>4</v>
      </c>
      <c r="C3146" s="3">
        <v>86</v>
      </c>
      <c r="D3146" s="3">
        <v>74</v>
      </c>
      <c r="E3146" s="3">
        <v>-1045.198</v>
      </c>
      <c r="F3146" s="4" t="str">
        <f>HYPERLINK("http://141.218.60.56/~jnz1568/getInfo.php?workbook=14_04.xlsx&amp;sheet=A0&amp;row=3146&amp;col=6&amp;number=11.08&amp;sourceID=14","11.08")</f>
        <v>11.08</v>
      </c>
      <c r="G3146" s="4" t="str">
        <f>HYPERLINK("http://141.218.60.56/~jnz1568/getInfo.php?workbook=14_04.xlsx&amp;sheet=A0&amp;row=3146&amp;col=7&amp;number=0&amp;sourceID=14","0")</f>
        <v>0</v>
      </c>
    </row>
    <row r="3147" spans="1:7">
      <c r="A3147" s="3">
        <v>14</v>
      </c>
      <c r="B3147" s="3">
        <v>4</v>
      </c>
      <c r="C3147" s="3">
        <v>87</v>
      </c>
      <c r="D3147" s="3">
        <v>74</v>
      </c>
      <c r="E3147" s="3">
        <v>-1042.06</v>
      </c>
      <c r="F3147" s="4" t="str">
        <f>HYPERLINK("http://141.218.60.56/~jnz1568/getInfo.php?workbook=14_04.xlsx&amp;sheet=A0&amp;row=3147&amp;col=6&amp;number=4.781&amp;sourceID=14","4.781")</f>
        <v>4.781</v>
      </c>
      <c r="G3147" s="4" t="str">
        <f>HYPERLINK("http://141.218.60.56/~jnz1568/getInfo.php?workbook=14_04.xlsx&amp;sheet=A0&amp;row=3147&amp;col=7&amp;number=0&amp;sourceID=14","0")</f>
        <v>0</v>
      </c>
    </row>
    <row r="3148" spans="1:7">
      <c r="A3148" s="3">
        <v>14</v>
      </c>
      <c r="B3148" s="3">
        <v>4</v>
      </c>
      <c r="C3148" s="3">
        <v>88</v>
      </c>
      <c r="D3148" s="3">
        <v>74</v>
      </c>
      <c r="E3148" s="3">
        <v>-1014.948</v>
      </c>
      <c r="F3148" s="4" t="str">
        <f>HYPERLINK("http://141.218.60.56/~jnz1568/getInfo.php?workbook=14_04.xlsx&amp;sheet=A0&amp;row=3148&amp;col=6&amp;number=2.795&amp;sourceID=14","2.795")</f>
        <v>2.795</v>
      </c>
      <c r="G3148" s="4" t="str">
        <f>HYPERLINK("http://141.218.60.56/~jnz1568/getInfo.php?workbook=14_04.xlsx&amp;sheet=A0&amp;row=3148&amp;col=7&amp;number=0&amp;sourceID=14","0")</f>
        <v>0</v>
      </c>
    </row>
    <row r="3149" spans="1:7">
      <c r="A3149" s="3">
        <v>14</v>
      </c>
      <c r="B3149" s="3">
        <v>4</v>
      </c>
      <c r="C3149" s="3">
        <v>89</v>
      </c>
      <c r="D3149" s="3">
        <v>74</v>
      </c>
      <c r="E3149" s="3">
        <v>-960.305</v>
      </c>
      <c r="F3149" s="4" t="str">
        <f>HYPERLINK("http://141.218.60.56/~jnz1568/getInfo.php?workbook=14_04.xlsx&amp;sheet=A0&amp;row=3149&amp;col=6&amp;number=1708000&amp;sourceID=14","1708000")</f>
        <v>1708000</v>
      </c>
      <c r="G3149" s="4" t="str">
        <f>HYPERLINK("http://141.218.60.56/~jnz1568/getInfo.php?workbook=14_04.xlsx&amp;sheet=A0&amp;row=3149&amp;col=7&amp;number=0&amp;sourceID=14","0")</f>
        <v>0</v>
      </c>
    </row>
    <row r="3150" spans="1:7">
      <c r="A3150" s="3">
        <v>14</v>
      </c>
      <c r="B3150" s="3">
        <v>4</v>
      </c>
      <c r="C3150" s="3">
        <v>90</v>
      </c>
      <c r="D3150" s="3">
        <v>74</v>
      </c>
      <c r="E3150" s="3">
        <v>-959.834</v>
      </c>
      <c r="F3150" s="4" t="str">
        <f>HYPERLINK("http://141.218.60.56/~jnz1568/getInfo.php?workbook=14_04.xlsx&amp;sheet=A0&amp;row=3150&amp;col=6&amp;number=3885000&amp;sourceID=14","3885000")</f>
        <v>3885000</v>
      </c>
      <c r="G3150" s="4" t="str">
        <f>HYPERLINK("http://141.218.60.56/~jnz1568/getInfo.php?workbook=14_04.xlsx&amp;sheet=A0&amp;row=3150&amp;col=7&amp;number=0&amp;sourceID=14","0")</f>
        <v>0</v>
      </c>
    </row>
    <row r="3151" spans="1:7">
      <c r="A3151" s="3">
        <v>14</v>
      </c>
      <c r="B3151" s="3">
        <v>4</v>
      </c>
      <c r="C3151" s="3">
        <v>92</v>
      </c>
      <c r="D3151" s="3">
        <v>74</v>
      </c>
      <c r="E3151" s="3">
        <v>-916.401</v>
      </c>
      <c r="F3151" s="4" t="str">
        <f>HYPERLINK("http://141.218.60.56/~jnz1568/getInfo.php?workbook=14_04.xlsx&amp;sheet=A0&amp;row=3151&amp;col=6&amp;number=2043000&amp;sourceID=14","2043000")</f>
        <v>2043000</v>
      </c>
      <c r="G3151" s="4" t="str">
        <f>HYPERLINK("http://141.218.60.56/~jnz1568/getInfo.php?workbook=14_04.xlsx&amp;sheet=A0&amp;row=3151&amp;col=7&amp;number=0&amp;sourceID=14","0")</f>
        <v>0</v>
      </c>
    </row>
    <row r="3152" spans="1:7">
      <c r="A3152" s="3">
        <v>14</v>
      </c>
      <c r="B3152" s="3">
        <v>4</v>
      </c>
      <c r="C3152" s="3">
        <v>76</v>
      </c>
      <c r="D3152" s="3">
        <v>75</v>
      </c>
      <c r="E3152" s="3">
        <v>-37072.145</v>
      </c>
      <c r="F3152" s="4" t="str">
        <f>HYPERLINK("http://141.218.60.56/~jnz1568/getInfo.php?workbook=14_04.xlsx&amp;sheet=A0&amp;row=3152&amp;col=6&amp;number=0.2217&amp;sourceID=14","0.2217")</f>
        <v>0.2217</v>
      </c>
      <c r="G3152" s="4" t="str">
        <f>HYPERLINK("http://141.218.60.56/~jnz1568/getInfo.php?workbook=14_04.xlsx&amp;sheet=A0&amp;row=3152&amp;col=7&amp;number=0&amp;sourceID=14","0")</f>
        <v>0</v>
      </c>
    </row>
    <row r="3153" spans="1:7">
      <c r="A3153" s="3">
        <v>14</v>
      </c>
      <c r="B3153" s="3">
        <v>4</v>
      </c>
      <c r="C3153" s="3">
        <v>77</v>
      </c>
      <c r="D3153" s="3">
        <v>75</v>
      </c>
      <c r="E3153" s="3">
        <v>-19452.225</v>
      </c>
      <c r="F3153" s="4" t="str">
        <f>HYPERLINK("http://141.218.60.56/~jnz1568/getInfo.php?workbook=14_04.xlsx&amp;sheet=A0&amp;row=3153&amp;col=6&amp;number=0.3707&amp;sourceID=14","0.3707")</f>
        <v>0.3707</v>
      </c>
      <c r="G3153" s="4" t="str">
        <f>HYPERLINK("http://141.218.60.56/~jnz1568/getInfo.php?workbook=14_04.xlsx&amp;sheet=A0&amp;row=3153&amp;col=7&amp;number=0&amp;sourceID=14","0")</f>
        <v>0</v>
      </c>
    </row>
    <row r="3154" spans="1:7">
      <c r="A3154" s="3">
        <v>14</v>
      </c>
      <c r="B3154" s="3">
        <v>4</v>
      </c>
      <c r="C3154" s="3">
        <v>78</v>
      </c>
      <c r="D3154" s="3">
        <v>75</v>
      </c>
      <c r="E3154" s="3">
        <v>-16915.138</v>
      </c>
      <c r="F3154" s="4" t="str">
        <f>HYPERLINK("http://141.218.60.56/~jnz1568/getInfo.php?workbook=14_04.xlsx&amp;sheet=A0&amp;row=3154&amp;col=6&amp;number=0.02476&amp;sourceID=14","0.02476")</f>
        <v>0.02476</v>
      </c>
      <c r="G3154" s="4" t="str">
        <f>HYPERLINK("http://141.218.60.56/~jnz1568/getInfo.php?workbook=14_04.xlsx&amp;sheet=A0&amp;row=3154&amp;col=7&amp;number=0&amp;sourceID=14","0")</f>
        <v>0</v>
      </c>
    </row>
    <row r="3155" spans="1:7">
      <c r="A3155" s="3">
        <v>14</v>
      </c>
      <c r="B3155" s="3">
        <v>4</v>
      </c>
      <c r="C3155" s="3">
        <v>79</v>
      </c>
      <c r="D3155" s="3">
        <v>75</v>
      </c>
      <c r="E3155" s="3">
        <v>-15746.541</v>
      </c>
      <c r="F3155" s="4" t="str">
        <f>HYPERLINK("http://141.218.60.56/~jnz1568/getInfo.php?workbook=14_04.xlsx&amp;sheet=A0&amp;row=3155&amp;col=6&amp;number=0.0003315&amp;sourceID=14","0.0003315")</f>
        <v>0.0003315</v>
      </c>
      <c r="G3155" s="4" t="str">
        <f>HYPERLINK("http://141.218.60.56/~jnz1568/getInfo.php?workbook=14_04.xlsx&amp;sheet=A0&amp;row=3155&amp;col=7&amp;number=0&amp;sourceID=14","0")</f>
        <v>0</v>
      </c>
    </row>
    <row r="3156" spans="1:7">
      <c r="A3156" s="3">
        <v>14</v>
      </c>
      <c r="B3156" s="3">
        <v>4</v>
      </c>
      <c r="C3156" s="3">
        <v>81</v>
      </c>
      <c r="D3156" s="3">
        <v>75</v>
      </c>
      <c r="E3156" s="3">
        <v>-6073.491</v>
      </c>
      <c r="F3156" s="4" t="str">
        <f>HYPERLINK("http://141.218.60.56/~jnz1568/getInfo.php?workbook=14_04.xlsx&amp;sheet=A0&amp;row=3156&amp;col=6&amp;number=0.3939&amp;sourceID=14","0.3939")</f>
        <v>0.3939</v>
      </c>
      <c r="G3156" s="4" t="str">
        <f>HYPERLINK("http://141.218.60.56/~jnz1568/getInfo.php?workbook=14_04.xlsx&amp;sheet=A0&amp;row=3156&amp;col=7&amp;number=0&amp;sourceID=14","0")</f>
        <v>0</v>
      </c>
    </row>
    <row r="3157" spans="1:7">
      <c r="A3157" s="3">
        <v>14</v>
      </c>
      <c r="B3157" s="3">
        <v>4</v>
      </c>
      <c r="C3157" s="3">
        <v>82</v>
      </c>
      <c r="D3157" s="3">
        <v>75</v>
      </c>
      <c r="E3157" s="3">
        <v>-5495.675</v>
      </c>
      <c r="F3157" s="4" t="str">
        <f>HYPERLINK("http://141.218.60.56/~jnz1568/getInfo.php?workbook=14_04.xlsx&amp;sheet=A0&amp;row=3157&amp;col=6&amp;number=6.868&amp;sourceID=14","6.868")</f>
        <v>6.868</v>
      </c>
      <c r="G3157" s="4" t="str">
        <f>HYPERLINK("http://141.218.60.56/~jnz1568/getInfo.php?workbook=14_04.xlsx&amp;sheet=A0&amp;row=3157&amp;col=7&amp;number=0&amp;sourceID=14","0")</f>
        <v>0</v>
      </c>
    </row>
    <row r="3158" spans="1:7">
      <c r="A3158" s="3">
        <v>14</v>
      </c>
      <c r="B3158" s="3">
        <v>4</v>
      </c>
      <c r="C3158" s="3">
        <v>83</v>
      </c>
      <c r="D3158" s="3">
        <v>75</v>
      </c>
      <c r="E3158" s="3">
        <v>-1263.997</v>
      </c>
      <c r="F3158" s="4" t="str">
        <f>HYPERLINK("http://141.218.60.56/~jnz1568/getInfo.php?workbook=14_04.xlsx&amp;sheet=A0&amp;row=3158&amp;col=6&amp;number=761500&amp;sourceID=14","761500")</f>
        <v>761500</v>
      </c>
      <c r="G3158" s="4" t="str">
        <f>HYPERLINK("http://141.218.60.56/~jnz1568/getInfo.php?workbook=14_04.xlsx&amp;sheet=A0&amp;row=3158&amp;col=7&amp;number=0&amp;sourceID=14","0")</f>
        <v>0</v>
      </c>
    </row>
    <row r="3159" spans="1:7">
      <c r="A3159" s="3">
        <v>14</v>
      </c>
      <c r="B3159" s="3">
        <v>4</v>
      </c>
      <c r="C3159" s="3">
        <v>85</v>
      </c>
      <c r="D3159" s="3">
        <v>75</v>
      </c>
      <c r="E3159" s="3">
        <v>-1067.961</v>
      </c>
      <c r="F3159" s="4" t="str">
        <f>HYPERLINK("http://141.218.60.56/~jnz1568/getInfo.php?workbook=14_04.xlsx&amp;sheet=A0&amp;row=3159&amp;col=6&amp;number=94.37&amp;sourceID=14","94.37")</f>
        <v>94.37</v>
      </c>
      <c r="G3159" s="4" t="str">
        <f>HYPERLINK("http://141.218.60.56/~jnz1568/getInfo.php?workbook=14_04.xlsx&amp;sheet=A0&amp;row=3159&amp;col=7&amp;number=0&amp;sourceID=14","0")</f>
        <v>0</v>
      </c>
    </row>
    <row r="3160" spans="1:7">
      <c r="A3160" s="3">
        <v>14</v>
      </c>
      <c r="B3160" s="3">
        <v>4</v>
      </c>
      <c r="C3160" s="3">
        <v>86</v>
      </c>
      <c r="D3160" s="3">
        <v>75</v>
      </c>
      <c r="E3160" s="3">
        <v>-1066.579</v>
      </c>
      <c r="F3160" s="4" t="str">
        <f>HYPERLINK("http://141.218.60.56/~jnz1568/getInfo.php?workbook=14_04.xlsx&amp;sheet=A0&amp;row=3160&amp;col=6&amp;number=11.45&amp;sourceID=14","11.45")</f>
        <v>11.45</v>
      </c>
      <c r="G3160" s="4" t="str">
        <f>HYPERLINK("http://141.218.60.56/~jnz1568/getInfo.php?workbook=14_04.xlsx&amp;sheet=A0&amp;row=3160&amp;col=7&amp;number=0&amp;sourceID=14","0")</f>
        <v>0</v>
      </c>
    </row>
    <row r="3161" spans="1:7">
      <c r="A3161" s="3">
        <v>14</v>
      </c>
      <c r="B3161" s="3">
        <v>4</v>
      </c>
      <c r="C3161" s="3">
        <v>87</v>
      </c>
      <c r="D3161" s="3">
        <v>75</v>
      </c>
      <c r="E3161" s="3">
        <v>-1063.311</v>
      </c>
      <c r="F3161" s="4" t="str">
        <f>HYPERLINK("http://141.218.60.56/~jnz1568/getInfo.php?workbook=14_04.xlsx&amp;sheet=A0&amp;row=3161&amp;col=6&amp;number=7.428&amp;sourceID=14","7.428")</f>
        <v>7.428</v>
      </c>
      <c r="G3161" s="4" t="str">
        <f>HYPERLINK("http://141.218.60.56/~jnz1568/getInfo.php?workbook=14_04.xlsx&amp;sheet=A0&amp;row=3161&amp;col=7&amp;number=0&amp;sourceID=14","0")</f>
        <v>0</v>
      </c>
    </row>
    <row r="3162" spans="1:7">
      <c r="A3162" s="3">
        <v>14</v>
      </c>
      <c r="B3162" s="3">
        <v>4</v>
      </c>
      <c r="C3162" s="3">
        <v>88</v>
      </c>
      <c r="D3162" s="3">
        <v>75</v>
      </c>
      <c r="E3162" s="3">
        <v>-1035.097</v>
      </c>
      <c r="F3162" s="4" t="str">
        <f>HYPERLINK("http://141.218.60.56/~jnz1568/getInfo.php?workbook=14_04.xlsx&amp;sheet=A0&amp;row=3162&amp;col=6&amp;number=1.622&amp;sourceID=14","1.622")</f>
        <v>1.622</v>
      </c>
      <c r="G3162" s="4" t="str">
        <f>HYPERLINK("http://141.218.60.56/~jnz1568/getInfo.php?workbook=14_04.xlsx&amp;sheet=A0&amp;row=3162&amp;col=7&amp;number=0&amp;sourceID=14","0")</f>
        <v>0</v>
      </c>
    </row>
    <row r="3163" spans="1:7">
      <c r="A3163" s="3">
        <v>14</v>
      </c>
      <c r="B3163" s="3">
        <v>4</v>
      </c>
      <c r="C3163" s="3">
        <v>89</v>
      </c>
      <c r="D3163" s="3">
        <v>75</v>
      </c>
      <c r="E3163" s="3">
        <v>-978.324</v>
      </c>
      <c r="F3163" s="4" t="str">
        <f>HYPERLINK("http://141.218.60.56/~jnz1568/getInfo.php?workbook=14_04.xlsx&amp;sheet=A0&amp;row=3163&amp;col=6&amp;number=2732000&amp;sourceID=14","2732000")</f>
        <v>2732000</v>
      </c>
      <c r="G3163" s="4" t="str">
        <f>HYPERLINK("http://141.218.60.56/~jnz1568/getInfo.php?workbook=14_04.xlsx&amp;sheet=A0&amp;row=3163&amp;col=7&amp;number=0&amp;sourceID=14","0")</f>
        <v>0</v>
      </c>
    </row>
    <row r="3164" spans="1:7">
      <c r="A3164" s="3">
        <v>14</v>
      </c>
      <c r="B3164" s="3">
        <v>4</v>
      </c>
      <c r="C3164" s="3">
        <v>90</v>
      </c>
      <c r="D3164" s="3">
        <v>75</v>
      </c>
      <c r="E3164" s="3">
        <v>-977.836</v>
      </c>
      <c r="F3164" s="4" t="str">
        <f>HYPERLINK("http://141.218.60.56/~jnz1568/getInfo.php?workbook=14_04.xlsx&amp;sheet=A0&amp;row=3164&amp;col=6&amp;number=928400&amp;sourceID=14","928400")</f>
        <v>928400</v>
      </c>
      <c r="G3164" s="4" t="str">
        <f>HYPERLINK("http://141.218.60.56/~jnz1568/getInfo.php?workbook=14_04.xlsx&amp;sheet=A0&amp;row=3164&amp;col=7&amp;number=0&amp;sourceID=14","0")</f>
        <v>0</v>
      </c>
    </row>
    <row r="3165" spans="1:7">
      <c r="A3165" s="3">
        <v>14</v>
      </c>
      <c r="B3165" s="3">
        <v>4</v>
      </c>
      <c r="C3165" s="3">
        <v>91</v>
      </c>
      <c r="D3165" s="3">
        <v>75</v>
      </c>
      <c r="E3165" s="3">
        <v>-977.085</v>
      </c>
      <c r="F3165" s="4" t="str">
        <f>HYPERLINK("http://141.218.60.56/~jnz1568/getInfo.php?workbook=14_04.xlsx&amp;sheet=A0&amp;row=3165&amp;col=6&amp;number=9061000&amp;sourceID=14","9061000")</f>
        <v>9061000</v>
      </c>
      <c r="G3165" s="4" t="str">
        <f>HYPERLINK("http://141.218.60.56/~jnz1568/getInfo.php?workbook=14_04.xlsx&amp;sheet=A0&amp;row=3165&amp;col=7&amp;number=0&amp;sourceID=14","0")</f>
        <v>0</v>
      </c>
    </row>
    <row r="3166" spans="1:7">
      <c r="A3166" s="3">
        <v>14</v>
      </c>
      <c r="B3166" s="3">
        <v>4</v>
      </c>
      <c r="C3166" s="3">
        <v>92</v>
      </c>
      <c r="D3166" s="3">
        <v>75</v>
      </c>
      <c r="E3166" s="3">
        <v>-932.796</v>
      </c>
      <c r="F3166" s="4" t="str">
        <f>HYPERLINK("http://141.218.60.56/~jnz1568/getInfo.php?workbook=14_04.xlsx&amp;sheet=A0&amp;row=3166&amp;col=6&amp;number=40890&amp;sourceID=14","40890")</f>
        <v>40890</v>
      </c>
      <c r="G3166" s="4" t="str">
        <f>HYPERLINK("http://141.218.60.56/~jnz1568/getInfo.php?workbook=14_04.xlsx&amp;sheet=A0&amp;row=3166&amp;col=7&amp;number=0&amp;sourceID=14","0")</f>
        <v>0</v>
      </c>
    </row>
    <row r="3167" spans="1:7">
      <c r="A3167" s="3">
        <v>14</v>
      </c>
      <c r="B3167" s="3">
        <v>4</v>
      </c>
      <c r="C3167" s="3">
        <v>77</v>
      </c>
      <c r="D3167" s="3">
        <v>76</v>
      </c>
      <c r="E3167" s="3">
        <v>109890.312</v>
      </c>
      <c r="F3167" s="4" t="str">
        <f>HYPERLINK("http://141.218.60.56/~jnz1568/getInfo.php?workbook=14_04.xlsx&amp;sheet=A0&amp;row=3167&amp;col=6&amp;number=0.006008&amp;sourceID=14","0.006008")</f>
        <v>0.006008</v>
      </c>
      <c r="G3167" s="4" t="str">
        <f>HYPERLINK("http://141.218.60.56/~jnz1568/getInfo.php?workbook=14_04.xlsx&amp;sheet=A0&amp;row=3167&amp;col=7&amp;number=0&amp;sourceID=14","0")</f>
        <v>0</v>
      </c>
    </row>
    <row r="3168" spans="1:7">
      <c r="A3168" s="3">
        <v>14</v>
      </c>
      <c r="B3168" s="3">
        <v>4</v>
      </c>
      <c r="C3168" s="3">
        <v>78</v>
      </c>
      <c r="D3168" s="3">
        <v>76</v>
      </c>
      <c r="E3168" s="3">
        <v>-31109.798</v>
      </c>
      <c r="F3168" s="4" t="str">
        <f>HYPERLINK("http://141.218.60.56/~jnz1568/getInfo.php?workbook=14_04.xlsx&amp;sheet=A0&amp;row=3168&amp;col=6&amp;number=6.151e-05&amp;sourceID=14","6.151e-05")</f>
        <v>6.151e-05</v>
      </c>
      <c r="G3168" s="4" t="str">
        <f>HYPERLINK("http://141.218.60.56/~jnz1568/getInfo.php?workbook=14_04.xlsx&amp;sheet=A0&amp;row=3168&amp;col=7&amp;number=0&amp;sourceID=14","0")</f>
        <v>0</v>
      </c>
    </row>
    <row r="3169" spans="1:7">
      <c r="A3169" s="3">
        <v>14</v>
      </c>
      <c r="B3169" s="3">
        <v>4</v>
      </c>
      <c r="C3169" s="3">
        <v>81</v>
      </c>
      <c r="D3169" s="3">
        <v>76</v>
      </c>
      <c r="E3169" s="3">
        <v>9062.092</v>
      </c>
      <c r="F3169" s="4" t="str">
        <f>HYPERLINK("http://141.218.60.56/~jnz1568/getInfo.php?workbook=14_04.xlsx&amp;sheet=A0&amp;row=3169&amp;col=6&amp;number=0.7318&amp;sourceID=14","0.7318")</f>
        <v>0.7318</v>
      </c>
      <c r="G3169" s="4" t="str">
        <f>HYPERLINK("http://141.218.60.56/~jnz1568/getInfo.php?workbook=14_04.xlsx&amp;sheet=A0&amp;row=3169&amp;col=7&amp;number=0&amp;sourceID=14","0")</f>
        <v>0</v>
      </c>
    </row>
    <row r="3170" spans="1:7">
      <c r="A3170" s="3">
        <v>14</v>
      </c>
      <c r="B3170" s="3">
        <v>4</v>
      </c>
      <c r="C3170" s="3">
        <v>82</v>
      </c>
      <c r="D3170" s="3">
        <v>76</v>
      </c>
      <c r="E3170" s="3">
        <v>-6452.161</v>
      </c>
      <c r="F3170" s="4" t="str">
        <f>HYPERLINK("http://141.218.60.56/~jnz1568/getInfo.php?workbook=14_04.xlsx&amp;sheet=A0&amp;row=3170&amp;col=6&amp;number=5.036e-05&amp;sourceID=14","5.036e-05")</f>
        <v>5.036e-05</v>
      </c>
      <c r="G3170" s="4" t="str">
        <f>HYPERLINK("http://141.218.60.56/~jnz1568/getInfo.php?workbook=14_04.xlsx&amp;sheet=A0&amp;row=3170&amp;col=7&amp;number=0&amp;sourceID=14","0")</f>
        <v>0</v>
      </c>
    </row>
    <row r="3171" spans="1:7">
      <c r="A3171" s="3">
        <v>14</v>
      </c>
      <c r="B3171" s="3">
        <v>4</v>
      </c>
      <c r="C3171" s="3">
        <v>86</v>
      </c>
      <c r="D3171" s="3">
        <v>76</v>
      </c>
      <c r="E3171" s="3">
        <v>-1098.174</v>
      </c>
      <c r="F3171" s="4" t="str">
        <f>HYPERLINK("http://141.218.60.56/~jnz1568/getInfo.php?workbook=14_04.xlsx&amp;sheet=A0&amp;row=3171&amp;col=6&amp;number=14.49&amp;sourceID=14","14.49")</f>
        <v>14.49</v>
      </c>
      <c r="G3171" s="4" t="str">
        <f>HYPERLINK("http://141.218.60.56/~jnz1568/getInfo.php?workbook=14_04.xlsx&amp;sheet=A0&amp;row=3171&amp;col=7&amp;number=0&amp;sourceID=14","0")</f>
        <v>0</v>
      </c>
    </row>
    <row r="3172" spans="1:7">
      <c r="A3172" s="3">
        <v>14</v>
      </c>
      <c r="B3172" s="3">
        <v>4</v>
      </c>
      <c r="C3172" s="3">
        <v>87</v>
      </c>
      <c r="D3172" s="3">
        <v>76</v>
      </c>
      <c r="E3172" s="3">
        <v>1048.363</v>
      </c>
      <c r="F3172" s="4" t="str">
        <f>HYPERLINK("http://141.218.60.56/~jnz1568/getInfo.php?workbook=14_04.xlsx&amp;sheet=A0&amp;row=3172&amp;col=6&amp;number=0.1373&amp;sourceID=14","0.1373")</f>
        <v>0.1373</v>
      </c>
      <c r="G3172" s="4" t="str">
        <f>HYPERLINK("http://141.218.60.56/~jnz1568/getInfo.php?workbook=14_04.xlsx&amp;sheet=A0&amp;row=3172&amp;col=7&amp;number=0&amp;sourceID=14","0")</f>
        <v>0</v>
      </c>
    </row>
    <row r="3173" spans="1:7">
      <c r="A3173" s="3">
        <v>14</v>
      </c>
      <c r="B3173" s="3">
        <v>4</v>
      </c>
      <c r="C3173" s="3">
        <v>88</v>
      </c>
      <c r="D3173" s="3">
        <v>76</v>
      </c>
      <c r="E3173" s="3">
        <v>-1064.829</v>
      </c>
      <c r="F3173" s="4" t="str">
        <f>HYPERLINK("http://141.218.60.56/~jnz1568/getInfo.php?workbook=14_04.xlsx&amp;sheet=A0&amp;row=3173&amp;col=6&amp;number=6.04&amp;sourceID=14","6.04")</f>
        <v>6.04</v>
      </c>
      <c r="G3173" s="4" t="str">
        <f>HYPERLINK("http://141.218.60.56/~jnz1568/getInfo.php?workbook=14_04.xlsx&amp;sheet=A0&amp;row=3173&amp;col=7&amp;number=0&amp;sourceID=14","0")</f>
        <v>0</v>
      </c>
    </row>
    <row r="3174" spans="1:7">
      <c r="A3174" s="3">
        <v>14</v>
      </c>
      <c r="B3174" s="3">
        <v>4</v>
      </c>
      <c r="C3174" s="3">
        <v>90</v>
      </c>
      <c r="D3174" s="3">
        <v>76</v>
      </c>
      <c r="E3174" s="3">
        <v>1000.322</v>
      </c>
      <c r="F3174" s="4" t="str">
        <f>HYPERLINK("http://141.218.60.56/~jnz1568/getInfo.php?workbook=14_04.xlsx&amp;sheet=A0&amp;row=3174&amp;col=6&amp;number=1344000&amp;sourceID=14","1344000")</f>
        <v>1344000</v>
      </c>
      <c r="G3174" s="4" t="str">
        <f>HYPERLINK("http://141.218.60.56/~jnz1568/getInfo.php?workbook=14_04.xlsx&amp;sheet=A0&amp;row=3174&amp;col=7&amp;number=0&amp;sourceID=14","0")</f>
        <v>0</v>
      </c>
    </row>
    <row r="3175" spans="1:7">
      <c r="A3175" s="3">
        <v>14</v>
      </c>
      <c r="B3175" s="3">
        <v>4</v>
      </c>
      <c r="C3175" s="3">
        <v>91</v>
      </c>
      <c r="D3175" s="3">
        <v>76</v>
      </c>
      <c r="E3175" s="3">
        <v>1001.153</v>
      </c>
      <c r="F3175" s="4" t="str">
        <f>HYPERLINK("http://141.218.60.56/~jnz1568/getInfo.php?workbook=14_04.xlsx&amp;sheet=A0&amp;row=3175&amp;col=6&amp;number=225500&amp;sourceID=14","225500")</f>
        <v>225500</v>
      </c>
      <c r="G3175" s="4" t="str">
        <f>HYPERLINK("http://141.218.60.56/~jnz1568/getInfo.php?workbook=14_04.xlsx&amp;sheet=A0&amp;row=3175&amp;col=7&amp;number=0&amp;sourceID=14","0")</f>
        <v>0</v>
      </c>
    </row>
    <row r="3176" spans="1:7">
      <c r="A3176" s="3">
        <v>14</v>
      </c>
      <c r="B3176" s="3">
        <v>4</v>
      </c>
      <c r="C3176" s="3">
        <v>92</v>
      </c>
      <c r="D3176" s="3">
        <v>76</v>
      </c>
      <c r="E3176" s="3">
        <v>963.272</v>
      </c>
      <c r="F3176" s="4" t="str">
        <f>HYPERLINK("http://141.218.60.56/~jnz1568/getInfo.php?workbook=14_04.xlsx&amp;sheet=A0&amp;row=3176&amp;col=6&amp;number=912800&amp;sourceID=14","912800")</f>
        <v>912800</v>
      </c>
      <c r="G3176" s="4" t="str">
        <f>HYPERLINK("http://141.218.60.56/~jnz1568/getInfo.php?workbook=14_04.xlsx&amp;sheet=A0&amp;row=3176&amp;col=7&amp;number=0&amp;sourceID=14","0")</f>
        <v>0</v>
      </c>
    </row>
    <row r="3177" spans="1:7">
      <c r="A3177" s="3">
        <v>14</v>
      </c>
      <c r="B3177" s="3">
        <v>4</v>
      </c>
      <c r="C3177" s="3">
        <v>78</v>
      </c>
      <c r="D3177" s="3">
        <v>77</v>
      </c>
      <c r="E3177" s="3">
        <v>-129690.856</v>
      </c>
      <c r="F3177" s="4" t="str">
        <f>HYPERLINK("http://141.218.60.56/~jnz1568/getInfo.php?workbook=14_04.xlsx&amp;sheet=A0&amp;row=3177&amp;col=6&amp;number=0.01109&amp;sourceID=14","0.01109")</f>
        <v>0.01109</v>
      </c>
      <c r="G3177" s="4" t="str">
        <f>HYPERLINK("http://141.218.60.56/~jnz1568/getInfo.php?workbook=14_04.xlsx&amp;sheet=A0&amp;row=3177&amp;col=7&amp;number=0&amp;sourceID=14","0")</f>
        <v>0</v>
      </c>
    </row>
    <row r="3178" spans="1:7">
      <c r="A3178" s="3">
        <v>14</v>
      </c>
      <c r="B3178" s="3">
        <v>4</v>
      </c>
      <c r="C3178" s="3">
        <v>79</v>
      </c>
      <c r="D3178" s="3">
        <v>77</v>
      </c>
      <c r="E3178" s="3">
        <v>-82658.217</v>
      </c>
      <c r="F3178" s="4" t="str">
        <f>HYPERLINK("http://141.218.60.56/~jnz1568/getInfo.php?workbook=14_04.xlsx&amp;sheet=A0&amp;row=3178&amp;col=6&amp;number=1.494e-06&amp;sourceID=14","1.494e-06")</f>
        <v>1.494e-06</v>
      </c>
      <c r="G3178" s="4" t="str">
        <f>HYPERLINK("http://141.218.60.56/~jnz1568/getInfo.php?workbook=14_04.xlsx&amp;sheet=A0&amp;row=3178&amp;col=7&amp;number=0&amp;sourceID=14","0")</f>
        <v>0</v>
      </c>
    </row>
    <row r="3179" spans="1:7">
      <c r="A3179" s="3">
        <v>14</v>
      </c>
      <c r="B3179" s="3">
        <v>4</v>
      </c>
      <c r="C3179" s="3">
        <v>81</v>
      </c>
      <c r="D3179" s="3">
        <v>77</v>
      </c>
      <c r="E3179" s="3">
        <v>9876.561</v>
      </c>
      <c r="F3179" s="4" t="str">
        <f>HYPERLINK("http://141.218.60.56/~jnz1568/getInfo.php?workbook=14_04.xlsx&amp;sheet=A0&amp;row=3179&amp;col=6&amp;number=0.092&amp;sourceID=14","0.092")</f>
        <v>0.092</v>
      </c>
      <c r="G3179" s="4" t="str">
        <f>HYPERLINK("http://141.218.60.56/~jnz1568/getInfo.php?workbook=14_04.xlsx&amp;sheet=A0&amp;row=3179&amp;col=7&amp;number=0&amp;sourceID=14","0")</f>
        <v>0</v>
      </c>
    </row>
    <row r="3180" spans="1:7">
      <c r="A3180" s="3">
        <v>14</v>
      </c>
      <c r="B3180" s="3">
        <v>4</v>
      </c>
      <c r="C3180" s="3">
        <v>82</v>
      </c>
      <c r="D3180" s="3">
        <v>77</v>
      </c>
      <c r="E3180" s="3">
        <v>-7659.708</v>
      </c>
      <c r="F3180" s="4" t="str">
        <f>HYPERLINK("http://141.218.60.56/~jnz1568/getInfo.php?workbook=14_04.xlsx&amp;sheet=A0&amp;row=3180&amp;col=6&amp;number=0.0377&amp;sourceID=14","0.0377")</f>
        <v>0.0377</v>
      </c>
      <c r="G3180" s="4" t="str">
        <f>HYPERLINK("http://141.218.60.56/~jnz1568/getInfo.php?workbook=14_04.xlsx&amp;sheet=A0&amp;row=3180&amp;col=7&amp;number=0&amp;sourceID=14","0")</f>
        <v>0</v>
      </c>
    </row>
    <row r="3181" spans="1:7">
      <c r="A3181" s="3">
        <v>14</v>
      </c>
      <c r="B3181" s="3">
        <v>4</v>
      </c>
      <c r="C3181" s="3">
        <v>83</v>
      </c>
      <c r="D3181" s="3">
        <v>77</v>
      </c>
      <c r="E3181" s="3">
        <v>-1351.839</v>
      </c>
      <c r="F3181" s="4" t="str">
        <f>HYPERLINK("http://141.218.60.56/~jnz1568/getInfo.php?workbook=14_04.xlsx&amp;sheet=A0&amp;row=3181&amp;col=6&amp;number=2021000&amp;sourceID=14","2021000")</f>
        <v>2021000</v>
      </c>
      <c r="G3181" s="4" t="str">
        <f>HYPERLINK("http://141.218.60.56/~jnz1568/getInfo.php?workbook=14_04.xlsx&amp;sheet=A0&amp;row=3181&amp;col=7&amp;number=0&amp;sourceID=14","0")</f>
        <v>0</v>
      </c>
    </row>
    <row r="3182" spans="1:7">
      <c r="A3182" s="3">
        <v>14</v>
      </c>
      <c r="B3182" s="3">
        <v>4</v>
      </c>
      <c r="C3182" s="3">
        <v>85</v>
      </c>
      <c r="D3182" s="3">
        <v>77</v>
      </c>
      <c r="E3182" s="3">
        <v>-1130</v>
      </c>
      <c r="F3182" s="4" t="str">
        <f>HYPERLINK("http://141.218.60.56/~jnz1568/getInfo.php?workbook=14_04.xlsx&amp;sheet=A0&amp;row=3182&amp;col=6&amp;number=43.16&amp;sourceID=14","43.16")</f>
        <v>43.16</v>
      </c>
      <c r="G3182" s="4" t="str">
        <f>HYPERLINK("http://141.218.60.56/~jnz1568/getInfo.php?workbook=14_04.xlsx&amp;sheet=A0&amp;row=3182&amp;col=7&amp;number=0&amp;sourceID=14","0")</f>
        <v>0</v>
      </c>
    </row>
    <row r="3183" spans="1:7">
      <c r="A3183" s="3">
        <v>14</v>
      </c>
      <c r="B3183" s="3">
        <v>4</v>
      </c>
      <c r="C3183" s="3">
        <v>86</v>
      </c>
      <c r="D3183" s="3">
        <v>77</v>
      </c>
      <c r="E3183" s="3">
        <v>-1128.453</v>
      </c>
      <c r="F3183" s="4" t="str">
        <f>HYPERLINK("http://141.218.60.56/~jnz1568/getInfo.php?workbook=14_04.xlsx&amp;sheet=A0&amp;row=3183&amp;col=6&amp;number=51.05&amp;sourceID=14","51.05")</f>
        <v>51.05</v>
      </c>
      <c r="G3183" s="4" t="str">
        <f>HYPERLINK("http://141.218.60.56/~jnz1568/getInfo.php?workbook=14_04.xlsx&amp;sheet=A0&amp;row=3183&amp;col=7&amp;number=0&amp;sourceID=14","0")</f>
        <v>0</v>
      </c>
    </row>
    <row r="3184" spans="1:7">
      <c r="A3184" s="3">
        <v>14</v>
      </c>
      <c r="B3184" s="3">
        <v>4</v>
      </c>
      <c r="C3184" s="3">
        <v>87</v>
      </c>
      <c r="D3184" s="3">
        <v>77</v>
      </c>
      <c r="E3184" s="3">
        <v>1058.461</v>
      </c>
      <c r="F3184" s="4" t="str">
        <f>HYPERLINK("http://141.218.60.56/~jnz1568/getInfo.php?workbook=14_04.xlsx&amp;sheet=A0&amp;row=3184&amp;col=6&amp;number=41.13&amp;sourceID=14","41.13")</f>
        <v>41.13</v>
      </c>
      <c r="G3184" s="4" t="str">
        <f>HYPERLINK("http://141.218.60.56/~jnz1568/getInfo.php?workbook=14_04.xlsx&amp;sheet=A0&amp;row=3184&amp;col=7&amp;number=0&amp;sourceID=14","0")</f>
        <v>0</v>
      </c>
    </row>
    <row r="3185" spans="1:7">
      <c r="A3185" s="3">
        <v>14</v>
      </c>
      <c r="B3185" s="3">
        <v>4</v>
      </c>
      <c r="C3185" s="3">
        <v>88</v>
      </c>
      <c r="D3185" s="3">
        <v>77</v>
      </c>
      <c r="E3185" s="3">
        <v>-1093.273</v>
      </c>
      <c r="F3185" s="4" t="str">
        <f>HYPERLINK("http://141.218.60.56/~jnz1568/getInfo.php?workbook=14_04.xlsx&amp;sheet=A0&amp;row=3185&amp;col=6&amp;number=0.6475&amp;sourceID=14","0.6475")</f>
        <v>0.6475</v>
      </c>
      <c r="G3185" s="4" t="str">
        <f>HYPERLINK("http://141.218.60.56/~jnz1568/getInfo.php?workbook=14_04.xlsx&amp;sheet=A0&amp;row=3185&amp;col=7&amp;number=0&amp;sourceID=14","0")</f>
        <v>0</v>
      </c>
    </row>
    <row r="3186" spans="1:7">
      <c r="A3186" s="3">
        <v>14</v>
      </c>
      <c r="B3186" s="3">
        <v>4</v>
      </c>
      <c r="C3186" s="3">
        <v>89</v>
      </c>
      <c r="D3186" s="3">
        <v>77</v>
      </c>
      <c r="E3186" s="3">
        <v>-1030.134</v>
      </c>
      <c r="F3186" s="4" t="str">
        <f>HYPERLINK("http://141.218.60.56/~jnz1568/getInfo.php?workbook=14_04.xlsx&amp;sheet=A0&amp;row=3186&amp;col=6&amp;number=317600&amp;sourceID=14","317600")</f>
        <v>317600</v>
      </c>
      <c r="G3186" s="4" t="str">
        <f>HYPERLINK("http://141.218.60.56/~jnz1568/getInfo.php?workbook=14_04.xlsx&amp;sheet=A0&amp;row=3186&amp;col=7&amp;number=0&amp;sourceID=14","0")</f>
        <v>0</v>
      </c>
    </row>
    <row r="3187" spans="1:7">
      <c r="A3187" s="3">
        <v>14</v>
      </c>
      <c r="B3187" s="3">
        <v>4</v>
      </c>
      <c r="C3187" s="3">
        <v>90</v>
      </c>
      <c r="D3187" s="3">
        <v>77</v>
      </c>
      <c r="E3187" s="3">
        <v>1009.511</v>
      </c>
      <c r="F3187" s="4" t="str">
        <f>HYPERLINK("http://141.218.60.56/~jnz1568/getInfo.php?workbook=14_04.xlsx&amp;sheet=A0&amp;row=3187&amp;col=6&amp;number=6778000&amp;sourceID=14","6778000")</f>
        <v>6778000</v>
      </c>
      <c r="G3187" s="4" t="str">
        <f>HYPERLINK("http://141.218.60.56/~jnz1568/getInfo.php?workbook=14_04.xlsx&amp;sheet=A0&amp;row=3187&amp;col=7&amp;number=0&amp;sourceID=14","0")</f>
        <v>0</v>
      </c>
    </row>
    <row r="3188" spans="1:7">
      <c r="A3188" s="3">
        <v>14</v>
      </c>
      <c r="B3188" s="3">
        <v>4</v>
      </c>
      <c r="C3188" s="3">
        <v>91</v>
      </c>
      <c r="D3188" s="3">
        <v>77</v>
      </c>
      <c r="E3188" s="3">
        <v>1010.358</v>
      </c>
      <c r="F3188" s="4" t="str">
        <f>HYPERLINK("http://141.218.60.56/~jnz1568/getInfo.php?workbook=14_04.xlsx&amp;sheet=A0&amp;row=3188&amp;col=6&amp;number=23660000&amp;sourceID=14","23660000")</f>
        <v>23660000</v>
      </c>
      <c r="G3188" s="4" t="str">
        <f>HYPERLINK("http://141.218.60.56/~jnz1568/getInfo.php?workbook=14_04.xlsx&amp;sheet=A0&amp;row=3188&amp;col=7&amp;number=0&amp;sourceID=14","0")</f>
        <v>0</v>
      </c>
    </row>
    <row r="3189" spans="1:7">
      <c r="A3189" s="3">
        <v>14</v>
      </c>
      <c r="B3189" s="3">
        <v>4</v>
      </c>
      <c r="C3189" s="3">
        <v>92</v>
      </c>
      <c r="D3189" s="3">
        <v>77</v>
      </c>
      <c r="E3189" s="3">
        <v>971.791</v>
      </c>
      <c r="F3189" s="4" t="str">
        <f>HYPERLINK("http://141.218.60.56/~jnz1568/getInfo.php?workbook=14_04.xlsx&amp;sheet=A0&amp;row=3189&amp;col=6&amp;number=7146&amp;sourceID=14","7146")</f>
        <v>7146</v>
      </c>
      <c r="G3189" s="4" t="str">
        <f>HYPERLINK("http://141.218.60.56/~jnz1568/getInfo.php?workbook=14_04.xlsx&amp;sheet=A0&amp;row=3189&amp;col=7&amp;number=0&amp;sourceID=14","0")</f>
        <v>0</v>
      </c>
    </row>
    <row r="3190" spans="1:7">
      <c r="A3190" s="3">
        <v>14</v>
      </c>
      <c r="B3190" s="3">
        <v>4</v>
      </c>
      <c r="C3190" s="3">
        <v>79</v>
      </c>
      <c r="D3190" s="3">
        <v>78</v>
      </c>
      <c r="E3190" s="3">
        <v>-227927.141</v>
      </c>
      <c r="F3190" s="4" t="str">
        <f>HYPERLINK("http://141.218.60.56/~jnz1568/getInfo.php?workbook=14_04.xlsx&amp;sheet=A0&amp;row=3190&amp;col=6&amp;number=0.003905&amp;sourceID=14","0.003905")</f>
        <v>0.003905</v>
      </c>
      <c r="G3190" s="4" t="str">
        <f>HYPERLINK("http://141.218.60.56/~jnz1568/getInfo.php?workbook=14_04.xlsx&amp;sheet=A0&amp;row=3190&amp;col=7&amp;number=0&amp;sourceID=14","0")</f>
        <v>0</v>
      </c>
    </row>
    <row r="3191" spans="1:7">
      <c r="A3191" s="3">
        <v>14</v>
      </c>
      <c r="B3191" s="3">
        <v>4</v>
      </c>
      <c r="C3191" s="3">
        <v>80</v>
      </c>
      <c r="D3191" s="3">
        <v>78</v>
      </c>
      <c r="E3191" s="3">
        <v>-35241.977</v>
      </c>
      <c r="F3191" s="4" t="str">
        <f>HYPERLINK("http://141.218.60.56/~jnz1568/getInfo.php?workbook=14_04.xlsx&amp;sheet=A0&amp;row=3191&amp;col=6&amp;number=203.8&amp;sourceID=14","203.8")</f>
        <v>203.8</v>
      </c>
      <c r="G3191" s="4" t="str">
        <f>HYPERLINK("http://141.218.60.56/~jnz1568/getInfo.php?workbook=14_04.xlsx&amp;sheet=A0&amp;row=3191&amp;col=7&amp;number=0&amp;sourceID=14","0")</f>
        <v>0</v>
      </c>
    </row>
    <row r="3192" spans="1:7">
      <c r="A3192" s="3">
        <v>14</v>
      </c>
      <c r="B3192" s="3">
        <v>4</v>
      </c>
      <c r="C3192" s="3">
        <v>81</v>
      </c>
      <c r="D3192" s="3">
        <v>78</v>
      </c>
      <c r="E3192" s="3">
        <v>-9475.862</v>
      </c>
      <c r="F3192" s="4" t="str">
        <f>HYPERLINK("http://141.218.60.56/~jnz1568/getInfo.php?workbook=14_04.xlsx&amp;sheet=A0&amp;row=3192&amp;col=6&amp;number=4.372e-09&amp;sourceID=14","4.372e-09")</f>
        <v>4.372e-09</v>
      </c>
      <c r="G3192" s="4" t="str">
        <f>HYPERLINK("http://141.218.60.56/~jnz1568/getInfo.php?workbook=14_04.xlsx&amp;sheet=A0&amp;row=3192&amp;col=7&amp;number=0&amp;sourceID=14","0")</f>
        <v>0</v>
      </c>
    </row>
    <row r="3193" spans="1:7">
      <c r="A3193" s="3">
        <v>14</v>
      </c>
      <c r="B3193" s="3">
        <v>4</v>
      </c>
      <c r="C3193" s="3">
        <v>82</v>
      </c>
      <c r="D3193" s="3">
        <v>78</v>
      </c>
      <c r="E3193" s="3">
        <v>-8140.497</v>
      </c>
      <c r="F3193" s="4" t="str">
        <f>HYPERLINK("http://141.218.60.56/~jnz1568/getInfo.php?workbook=14_04.xlsx&amp;sheet=A0&amp;row=3193&amp;col=6&amp;number=0.7692&amp;sourceID=14","0.7692")</f>
        <v>0.7692</v>
      </c>
      <c r="G3193" s="4" t="str">
        <f>HYPERLINK("http://141.218.60.56/~jnz1568/getInfo.php?workbook=14_04.xlsx&amp;sheet=A0&amp;row=3193&amp;col=7&amp;number=0&amp;sourceID=14","0")</f>
        <v>0</v>
      </c>
    </row>
    <row r="3194" spans="1:7">
      <c r="A3194" s="3">
        <v>14</v>
      </c>
      <c r="B3194" s="3">
        <v>4</v>
      </c>
      <c r="C3194" s="3">
        <v>83</v>
      </c>
      <c r="D3194" s="3">
        <v>78</v>
      </c>
      <c r="E3194" s="3">
        <v>-1366.078</v>
      </c>
      <c r="F3194" s="4" t="str">
        <f>HYPERLINK("http://141.218.60.56/~jnz1568/getInfo.php?workbook=14_04.xlsx&amp;sheet=A0&amp;row=3194&amp;col=6&amp;number=1592000&amp;sourceID=14","1592000")</f>
        <v>1592000</v>
      </c>
      <c r="G3194" s="4" t="str">
        <f>HYPERLINK("http://141.218.60.56/~jnz1568/getInfo.php?workbook=14_04.xlsx&amp;sheet=A0&amp;row=3194&amp;col=7&amp;number=0&amp;sourceID=14","0")</f>
        <v>0</v>
      </c>
    </row>
    <row r="3195" spans="1:7">
      <c r="A3195" s="3">
        <v>14</v>
      </c>
      <c r="B3195" s="3">
        <v>4</v>
      </c>
      <c r="C3195" s="3">
        <v>84</v>
      </c>
      <c r="D3195" s="3">
        <v>78</v>
      </c>
      <c r="E3195" s="3">
        <v>-1243.901</v>
      </c>
      <c r="F3195" s="4" t="str">
        <f>HYPERLINK("http://141.218.60.56/~jnz1568/getInfo.php?workbook=14_04.xlsx&amp;sheet=A0&amp;row=3195&amp;col=6&amp;number=3014&amp;sourceID=14","3014")</f>
        <v>3014</v>
      </c>
      <c r="G3195" s="4" t="str">
        <f>HYPERLINK("http://141.218.60.56/~jnz1568/getInfo.php?workbook=14_04.xlsx&amp;sheet=A0&amp;row=3195&amp;col=7&amp;number=0&amp;sourceID=14","0")</f>
        <v>0</v>
      </c>
    </row>
    <row r="3196" spans="1:7">
      <c r="A3196" s="3">
        <v>14</v>
      </c>
      <c r="B3196" s="3">
        <v>4</v>
      </c>
      <c r="C3196" s="3">
        <v>85</v>
      </c>
      <c r="D3196" s="3">
        <v>78</v>
      </c>
      <c r="E3196" s="3">
        <v>-1139.932</v>
      </c>
      <c r="F3196" s="4" t="str">
        <f>HYPERLINK("http://141.218.60.56/~jnz1568/getInfo.php?workbook=14_04.xlsx&amp;sheet=A0&amp;row=3196&amp;col=6&amp;number=0.003258&amp;sourceID=14","0.003258")</f>
        <v>0.003258</v>
      </c>
      <c r="G3196" s="4" t="str">
        <f>HYPERLINK("http://141.218.60.56/~jnz1568/getInfo.php?workbook=14_04.xlsx&amp;sheet=A0&amp;row=3196&amp;col=7&amp;number=0&amp;sourceID=14","0")</f>
        <v>0</v>
      </c>
    </row>
    <row r="3197" spans="1:7">
      <c r="A3197" s="3">
        <v>14</v>
      </c>
      <c r="B3197" s="3">
        <v>4</v>
      </c>
      <c r="C3197" s="3">
        <v>86</v>
      </c>
      <c r="D3197" s="3">
        <v>78</v>
      </c>
      <c r="E3197" s="3">
        <v>-1138.358</v>
      </c>
      <c r="F3197" s="4" t="str">
        <f>HYPERLINK("http://141.218.60.56/~jnz1568/getInfo.php?workbook=14_04.xlsx&amp;sheet=A0&amp;row=3197&amp;col=6&amp;number=17.07&amp;sourceID=14","17.07")</f>
        <v>17.07</v>
      </c>
      <c r="G3197" s="4" t="str">
        <f>HYPERLINK("http://141.218.60.56/~jnz1568/getInfo.php?workbook=14_04.xlsx&amp;sheet=A0&amp;row=3197&amp;col=7&amp;number=0&amp;sourceID=14","0")</f>
        <v>0</v>
      </c>
    </row>
    <row r="3198" spans="1:7">
      <c r="A3198" s="3">
        <v>14</v>
      </c>
      <c r="B3198" s="3">
        <v>4</v>
      </c>
      <c r="C3198" s="3">
        <v>87</v>
      </c>
      <c r="D3198" s="3">
        <v>78</v>
      </c>
      <c r="E3198" s="3">
        <v>-1134.636</v>
      </c>
      <c r="F3198" s="4" t="str">
        <f>HYPERLINK("http://141.218.60.56/~jnz1568/getInfo.php?workbook=14_04.xlsx&amp;sheet=A0&amp;row=3198&amp;col=6&amp;number=42.59&amp;sourceID=14","42.59")</f>
        <v>42.59</v>
      </c>
      <c r="G3198" s="4" t="str">
        <f>HYPERLINK("http://141.218.60.56/~jnz1568/getInfo.php?workbook=14_04.xlsx&amp;sheet=A0&amp;row=3198&amp;col=7&amp;number=0&amp;sourceID=14","0")</f>
        <v>0</v>
      </c>
    </row>
    <row r="3199" spans="1:7">
      <c r="A3199" s="3">
        <v>14</v>
      </c>
      <c r="B3199" s="3">
        <v>4</v>
      </c>
      <c r="C3199" s="3">
        <v>88</v>
      </c>
      <c r="D3199" s="3">
        <v>78</v>
      </c>
      <c r="E3199" s="3">
        <v>-1102.567</v>
      </c>
      <c r="F3199" s="4" t="str">
        <f>HYPERLINK("http://141.218.60.56/~jnz1568/getInfo.php?workbook=14_04.xlsx&amp;sheet=A0&amp;row=3199&amp;col=6&amp;number=0.6865&amp;sourceID=14","0.6865")</f>
        <v>0.6865</v>
      </c>
      <c r="G3199" s="4" t="str">
        <f>HYPERLINK("http://141.218.60.56/~jnz1568/getInfo.php?workbook=14_04.xlsx&amp;sheet=A0&amp;row=3199&amp;col=7&amp;number=0&amp;sourceID=14","0")</f>
        <v>0</v>
      </c>
    </row>
    <row r="3200" spans="1:7">
      <c r="A3200" s="3">
        <v>14</v>
      </c>
      <c r="B3200" s="3">
        <v>4</v>
      </c>
      <c r="C3200" s="3">
        <v>89</v>
      </c>
      <c r="D3200" s="3">
        <v>78</v>
      </c>
      <c r="E3200" s="3">
        <v>-1038.381</v>
      </c>
      <c r="F3200" s="4" t="str">
        <f>HYPERLINK("http://141.218.60.56/~jnz1568/getInfo.php?workbook=14_04.xlsx&amp;sheet=A0&amp;row=3200&amp;col=6&amp;number=12380000&amp;sourceID=14","12380000")</f>
        <v>12380000</v>
      </c>
      <c r="G3200" s="4" t="str">
        <f>HYPERLINK("http://141.218.60.56/~jnz1568/getInfo.php?workbook=14_04.xlsx&amp;sheet=A0&amp;row=3200&amp;col=7&amp;number=0&amp;sourceID=14","0")</f>
        <v>0</v>
      </c>
    </row>
    <row r="3201" spans="1:7">
      <c r="A3201" s="3">
        <v>14</v>
      </c>
      <c r="B3201" s="3">
        <v>4</v>
      </c>
      <c r="C3201" s="3">
        <v>90</v>
      </c>
      <c r="D3201" s="3">
        <v>78</v>
      </c>
      <c r="E3201" s="3">
        <v>-1037.831</v>
      </c>
      <c r="F3201" s="4" t="str">
        <f>HYPERLINK("http://141.218.60.56/~jnz1568/getInfo.php?workbook=14_04.xlsx&amp;sheet=A0&amp;row=3201&amp;col=6&amp;number=21710000&amp;sourceID=14","21710000")</f>
        <v>21710000</v>
      </c>
      <c r="G3201" s="4" t="str">
        <f>HYPERLINK("http://141.218.60.56/~jnz1568/getInfo.php?workbook=14_04.xlsx&amp;sheet=A0&amp;row=3201&amp;col=7&amp;number=0&amp;sourceID=14","0")</f>
        <v>0</v>
      </c>
    </row>
    <row r="3202" spans="1:7">
      <c r="A3202" s="3">
        <v>14</v>
      </c>
      <c r="B3202" s="3">
        <v>4</v>
      </c>
      <c r="C3202" s="3">
        <v>92</v>
      </c>
      <c r="D3202" s="3">
        <v>78</v>
      </c>
      <c r="E3202" s="3">
        <v>-987.238</v>
      </c>
      <c r="F3202" s="4" t="str">
        <f>HYPERLINK("http://141.218.60.56/~jnz1568/getInfo.php?workbook=14_04.xlsx&amp;sheet=A0&amp;row=3202&amp;col=6&amp;number=148300&amp;sourceID=14","148300")</f>
        <v>148300</v>
      </c>
      <c r="G3202" s="4" t="str">
        <f>HYPERLINK("http://141.218.60.56/~jnz1568/getInfo.php?workbook=14_04.xlsx&amp;sheet=A0&amp;row=3202&amp;col=7&amp;number=0&amp;sourceID=14","0")</f>
        <v>0</v>
      </c>
    </row>
    <row r="3203" spans="1:7">
      <c r="A3203" s="3">
        <v>14</v>
      </c>
      <c r="B3203" s="3">
        <v>4</v>
      </c>
      <c r="C3203" s="3">
        <v>82</v>
      </c>
      <c r="D3203" s="3">
        <v>79</v>
      </c>
      <c r="E3203" s="3">
        <v>-8442.006</v>
      </c>
      <c r="F3203" s="4" t="str">
        <f>HYPERLINK("http://141.218.60.56/~jnz1568/getInfo.php?workbook=14_04.xlsx&amp;sheet=A0&amp;row=3203&amp;col=6&amp;number=0.453&amp;sourceID=14","0.453")</f>
        <v>0.453</v>
      </c>
      <c r="G3203" s="4" t="str">
        <f>HYPERLINK("http://141.218.60.56/~jnz1568/getInfo.php?workbook=14_04.xlsx&amp;sheet=A0&amp;row=3203&amp;col=7&amp;number=0&amp;sourceID=14","0")</f>
        <v>0</v>
      </c>
    </row>
    <row r="3204" spans="1:7">
      <c r="A3204" s="3">
        <v>14</v>
      </c>
      <c r="B3204" s="3">
        <v>4</v>
      </c>
      <c r="C3204" s="3">
        <v>83</v>
      </c>
      <c r="D3204" s="3">
        <v>79</v>
      </c>
      <c r="E3204" s="3">
        <v>-1374.315</v>
      </c>
      <c r="F3204" s="4" t="str">
        <f>HYPERLINK("http://141.218.60.56/~jnz1568/getInfo.php?workbook=14_04.xlsx&amp;sheet=A0&amp;row=3204&amp;col=6&amp;number=620600&amp;sourceID=14","620600")</f>
        <v>620600</v>
      </c>
      <c r="G3204" s="4" t="str">
        <f>HYPERLINK("http://141.218.60.56/~jnz1568/getInfo.php?workbook=14_04.xlsx&amp;sheet=A0&amp;row=3204&amp;col=7&amp;number=0&amp;sourceID=14","0")</f>
        <v>0</v>
      </c>
    </row>
    <row r="3205" spans="1:7">
      <c r="A3205" s="3">
        <v>14</v>
      </c>
      <c r="B3205" s="3">
        <v>4</v>
      </c>
      <c r="C3205" s="3">
        <v>86</v>
      </c>
      <c r="D3205" s="3">
        <v>79</v>
      </c>
      <c r="E3205" s="3">
        <v>-1144.071</v>
      </c>
      <c r="F3205" s="4" t="str">
        <f>HYPERLINK("http://141.218.60.56/~jnz1568/getInfo.php?workbook=14_04.xlsx&amp;sheet=A0&amp;row=3205&amp;col=6&amp;number=0.01086&amp;sourceID=14","0.01086")</f>
        <v>0.01086</v>
      </c>
      <c r="G3205" s="4" t="str">
        <f>HYPERLINK("http://141.218.60.56/~jnz1568/getInfo.php?workbook=14_04.xlsx&amp;sheet=A0&amp;row=3205&amp;col=7&amp;number=0&amp;sourceID=14","0")</f>
        <v>0</v>
      </c>
    </row>
    <row r="3206" spans="1:7">
      <c r="A3206" s="3">
        <v>14</v>
      </c>
      <c r="B3206" s="3">
        <v>4</v>
      </c>
      <c r="C3206" s="3">
        <v>87</v>
      </c>
      <c r="D3206" s="3">
        <v>79</v>
      </c>
      <c r="E3206" s="3">
        <v>-1140.313</v>
      </c>
      <c r="F3206" s="4" t="str">
        <f>HYPERLINK("http://141.218.60.56/~jnz1568/getInfo.php?workbook=14_04.xlsx&amp;sheet=A0&amp;row=3206&amp;col=6&amp;number=20.32&amp;sourceID=14","20.32")</f>
        <v>20.32</v>
      </c>
      <c r="G3206" s="4" t="str">
        <f>HYPERLINK("http://141.218.60.56/~jnz1568/getInfo.php?workbook=14_04.xlsx&amp;sheet=A0&amp;row=3206&amp;col=7&amp;number=0&amp;sourceID=14","0")</f>
        <v>0</v>
      </c>
    </row>
    <row r="3207" spans="1:7">
      <c r="A3207" s="3">
        <v>14</v>
      </c>
      <c r="B3207" s="3">
        <v>4</v>
      </c>
      <c r="C3207" s="3">
        <v>88</v>
      </c>
      <c r="D3207" s="3">
        <v>79</v>
      </c>
      <c r="E3207" s="3">
        <v>-1107.927</v>
      </c>
      <c r="F3207" s="4" t="str">
        <f>HYPERLINK("http://141.218.60.56/~jnz1568/getInfo.php?workbook=14_04.xlsx&amp;sheet=A0&amp;row=3207&amp;col=6&amp;number=0.0179&amp;sourceID=14","0.0179")</f>
        <v>0.0179</v>
      </c>
      <c r="G3207" s="4" t="str">
        <f>HYPERLINK("http://141.218.60.56/~jnz1568/getInfo.php?workbook=14_04.xlsx&amp;sheet=A0&amp;row=3207&amp;col=7&amp;number=0&amp;sourceID=14","0")</f>
        <v>0</v>
      </c>
    </row>
    <row r="3208" spans="1:7">
      <c r="A3208" s="3">
        <v>14</v>
      </c>
      <c r="B3208" s="3">
        <v>4</v>
      </c>
      <c r="C3208" s="3">
        <v>89</v>
      </c>
      <c r="D3208" s="3">
        <v>79</v>
      </c>
      <c r="E3208" s="3">
        <v>-1043.134</v>
      </c>
      <c r="F3208" s="4" t="str">
        <f>HYPERLINK("http://141.218.60.56/~jnz1568/getInfo.php?workbook=14_04.xlsx&amp;sheet=A0&amp;row=3208&amp;col=6&amp;number=18680000&amp;sourceID=14","18680000")</f>
        <v>18680000</v>
      </c>
      <c r="G3208" s="4" t="str">
        <f>HYPERLINK("http://141.218.60.56/~jnz1568/getInfo.php?workbook=14_04.xlsx&amp;sheet=A0&amp;row=3208&amp;col=7&amp;number=0&amp;sourceID=14","0")</f>
        <v>0</v>
      </c>
    </row>
    <row r="3209" spans="1:7">
      <c r="A3209" s="3">
        <v>14</v>
      </c>
      <c r="B3209" s="3">
        <v>4</v>
      </c>
      <c r="C3209" s="3">
        <v>82</v>
      </c>
      <c r="D3209" s="3">
        <v>80</v>
      </c>
      <c r="E3209" s="3">
        <v>-10585.665</v>
      </c>
      <c r="F3209" s="4" t="str">
        <f>HYPERLINK("http://141.218.60.56/~jnz1568/getInfo.php?workbook=14_04.xlsx&amp;sheet=A0&amp;row=3209&amp;col=6&amp;number=1292000&amp;sourceID=14","1292000")</f>
        <v>1292000</v>
      </c>
      <c r="G3209" s="4" t="str">
        <f>HYPERLINK("http://141.218.60.56/~jnz1568/getInfo.php?workbook=14_04.xlsx&amp;sheet=A0&amp;row=3209&amp;col=7&amp;number=0&amp;sourceID=14","0")</f>
        <v>0</v>
      </c>
    </row>
    <row r="3210" spans="1:7">
      <c r="A3210" s="3">
        <v>14</v>
      </c>
      <c r="B3210" s="3">
        <v>4</v>
      </c>
      <c r="C3210" s="3">
        <v>83</v>
      </c>
      <c r="D3210" s="3">
        <v>80</v>
      </c>
      <c r="E3210" s="3">
        <v>-1421.167</v>
      </c>
      <c r="F3210" s="4" t="str">
        <f>HYPERLINK("http://141.218.60.56/~jnz1568/getInfo.php?workbook=14_04.xlsx&amp;sheet=A0&amp;row=3210&amp;col=6&amp;number=0.001203&amp;sourceID=14","0.001203")</f>
        <v>0.001203</v>
      </c>
      <c r="G3210" s="4" t="str">
        <f>HYPERLINK("http://141.218.60.56/~jnz1568/getInfo.php?workbook=14_04.xlsx&amp;sheet=A0&amp;row=3210&amp;col=7&amp;number=0&amp;sourceID=14","0")</f>
        <v>0</v>
      </c>
    </row>
    <row r="3211" spans="1:7">
      <c r="A3211" s="3">
        <v>14</v>
      </c>
      <c r="B3211" s="3">
        <v>4</v>
      </c>
      <c r="C3211" s="3">
        <v>86</v>
      </c>
      <c r="D3211" s="3">
        <v>80</v>
      </c>
      <c r="E3211" s="3">
        <v>-1176.355</v>
      </c>
      <c r="F3211" s="4" t="str">
        <f>HYPERLINK("http://141.218.60.56/~jnz1568/getInfo.php?workbook=14_04.xlsx&amp;sheet=A0&amp;row=3211&amp;col=6&amp;number=624600&amp;sourceID=14","624600")</f>
        <v>624600</v>
      </c>
      <c r="G3211" s="4" t="str">
        <f>HYPERLINK("http://141.218.60.56/~jnz1568/getInfo.php?workbook=14_04.xlsx&amp;sheet=A0&amp;row=3211&amp;col=7&amp;number=0&amp;sourceID=14","0")</f>
        <v>0</v>
      </c>
    </row>
    <row r="3212" spans="1:7">
      <c r="A3212" s="3">
        <v>14</v>
      </c>
      <c r="B3212" s="3">
        <v>4</v>
      </c>
      <c r="C3212" s="3">
        <v>88</v>
      </c>
      <c r="D3212" s="3">
        <v>80</v>
      </c>
      <c r="E3212" s="3">
        <v>-1138.176</v>
      </c>
      <c r="F3212" s="4" t="str">
        <f>HYPERLINK("http://141.218.60.56/~jnz1568/getInfo.php?workbook=14_04.xlsx&amp;sheet=A0&amp;row=3212&amp;col=6&amp;number=85940000&amp;sourceID=14","85940000")</f>
        <v>85940000</v>
      </c>
      <c r="G3212" s="4" t="str">
        <f>HYPERLINK("http://141.218.60.56/~jnz1568/getInfo.php?workbook=14_04.xlsx&amp;sheet=A0&amp;row=3212&amp;col=7&amp;number=0&amp;sourceID=14","0")</f>
        <v>0</v>
      </c>
    </row>
    <row r="3213" spans="1:7">
      <c r="A3213" s="3">
        <v>14</v>
      </c>
      <c r="B3213" s="3">
        <v>4</v>
      </c>
      <c r="C3213" s="3">
        <v>89</v>
      </c>
      <c r="D3213" s="3">
        <v>80</v>
      </c>
      <c r="E3213" s="3">
        <v>-1069.906</v>
      </c>
      <c r="F3213" s="4" t="str">
        <f>HYPERLINK("http://141.218.60.56/~jnz1568/getInfo.php?workbook=14_04.xlsx&amp;sheet=A0&amp;row=3213&amp;col=6&amp;number=1.061e-05&amp;sourceID=14","1.061e-05")</f>
        <v>1.061e-05</v>
      </c>
      <c r="G3213" s="4" t="str">
        <f>HYPERLINK("http://141.218.60.56/~jnz1568/getInfo.php?workbook=14_04.xlsx&amp;sheet=A0&amp;row=3213&amp;col=7&amp;number=0&amp;sourceID=14","0")</f>
        <v>0</v>
      </c>
    </row>
    <row r="3214" spans="1:7">
      <c r="A3214" s="3">
        <v>14</v>
      </c>
      <c r="B3214" s="3">
        <v>4</v>
      </c>
      <c r="C3214" s="3">
        <v>90</v>
      </c>
      <c r="D3214" s="3">
        <v>80</v>
      </c>
      <c r="E3214" s="3">
        <v>914.02</v>
      </c>
      <c r="F3214" s="4" t="str">
        <f>HYPERLINK("http://141.218.60.56/~jnz1568/getInfo.php?workbook=14_04.xlsx&amp;sheet=A0&amp;row=3214&amp;col=6&amp;number=0.2696&amp;sourceID=14","0.2696")</f>
        <v>0.2696</v>
      </c>
      <c r="G3214" s="4" t="str">
        <f>HYPERLINK("http://141.218.60.56/~jnz1568/getInfo.php?workbook=14_04.xlsx&amp;sheet=A0&amp;row=3214&amp;col=7&amp;number=0&amp;sourceID=14","0")</f>
        <v>0</v>
      </c>
    </row>
    <row r="3215" spans="1:7">
      <c r="A3215" s="3">
        <v>14</v>
      </c>
      <c r="B3215" s="3">
        <v>4</v>
      </c>
      <c r="C3215" s="3">
        <v>92</v>
      </c>
      <c r="D3215" s="3">
        <v>80</v>
      </c>
      <c r="E3215" s="3">
        <v>882.988</v>
      </c>
      <c r="F3215" s="4" t="str">
        <f>HYPERLINK("http://141.218.60.56/~jnz1568/getInfo.php?workbook=14_04.xlsx&amp;sheet=A0&amp;row=3215&amp;col=6&amp;number=2388&amp;sourceID=14","2388")</f>
        <v>2388</v>
      </c>
      <c r="G3215" s="4" t="str">
        <f>HYPERLINK("http://141.218.60.56/~jnz1568/getInfo.php?workbook=14_04.xlsx&amp;sheet=A0&amp;row=3215&amp;col=7&amp;number=0&amp;sourceID=14","0")</f>
        <v>0</v>
      </c>
    </row>
    <row r="3216" spans="1:7">
      <c r="A3216" s="3">
        <v>14</v>
      </c>
      <c r="B3216" s="3">
        <v>4</v>
      </c>
      <c r="C3216" s="3">
        <v>82</v>
      </c>
      <c r="D3216" s="3">
        <v>81</v>
      </c>
      <c r="E3216" s="3">
        <v>-57765.64</v>
      </c>
      <c r="F3216" s="4" t="str">
        <f>HYPERLINK("http://141.218.60.56/~jnz1568/getInfo.php?workbook=14_04.xlsx&amp;sheet=A0&amp;row=3216&amp;col=6&amp;number=3.689e-07&amp;sourceID=14","3.689e-07")</f>
        <v>3.689e-07</v>
      </c>
      <c r="G3216" s="4" t="str">
        <f>HYPERLINK("http://141.218.60.56/~jnz1568/getInfo.php?workbook=14_04.xlsx&amp;sheet=A0&amp;row=3216&amp;col=7&amp;number=0&amp;sourceID=14","0")</f>
        <v>0</v>
      </c>
    </row>
    <row r="3217" spans="1:7">
      <c r="A3217" s="3">
        <v>14</v>
      </c>
      <c r="B3217" s="3">
        <v>4</v>
      </c>
      <c r="C3217" s="3">
        <v>86</v>
      </c>
      <c r="D3217" s="3">
        <v>81</v>
      </c>
      <c r="E3217" s="3">
        <v>-1293.783</v>
      </c>
      <c r="F3217" s="4" t="str">
        <f>HYPERLINK("http://141.218.60.56/~jnz1568/getInfo.php?workbook=14_04.xlsx&amp;sheet=A0&amp;row=3217&amp;col=6&amp;number=3.478&amp;sourceID=14","3.478")</f>
        <v>3.478</v>
      </c>
      <c r="G3217" s="4" t="str">
        <f>HYPERLINK("http://141.218.60.56/~jnz1568/getInfo.php?workbook=14_04.xlsx&amp;sheet=A0&amp;row=3217&amp;col=7&amp;number=0&amp;sourceID=14","0")</f>
        <v>0</v>
      </c>
    </row>
    <row r="3218" spans="1:7">
      <c r="A3218" s="3">
        <v>14</v>
      </c>
      <c r="B3218" s="3">
        <v>4</v>
      </c>
      <c r="C3218" s="3">
        <v>87</v>
      </c>
      <c r="D3218" s="3">
        <v>81</v>
      </c>
      <c r="E3218" s="3">
        <v>1185.511</v>
      </c>
      <c r="F3218" s="4" t="str">
        <f>HYPERLINK("http://141.218.60.56/~jnz1568/getInfo.php?workbook=14_04.xlsx&amp;sheet=A0&amp;row=3218&amp;col=6&amp;number=0.4368&amp;sourceID=14","0.4368")</f>
        <v>0.4368</v>
      </c>
      <c r="G3218" s="4" t="str">
        <f>HYPERLINK("http://141.218.60.56/~jnz1568/getInfo.php?workbook=14_04.xlsx&amp;sheet=A0&amp;row=3218&amp;col=7&amp;number=0&amp;sourceID=14","0")</f>
        <v>0</v>
      </c>
    </row>
    <row r="3219" spans="1:7">
      <c r="A3219" s="3">
        <v>14</v>
      </c>
      <c r="B3219" s="3">
        <v>4</v>
      </c>
      <c r="C3219" s="3">
        <v>88</v>
      </c>
      <c r="D3219" s="3">
        <v>81</v>
      </c>
      <c r="E3219" s="3">
        <v>-1247.75</v>
      </c>
      <c r="F3219" s="4" t="str">
        <f>HYPERLINK("http://141.218.60.56/~jnz1568/getInfo.php?workbook=14_04.xlsx&amp;sheet=A0&amp;row=3219&amp;col=6&amp;number=394.3&amp;sourceID=14","394.3")</f>
        <v>394.3</v>
      </c>
      <c r="G3219" s="4" t="str">
        <f>HYPERLINK("http://141.218.60.56/~jnz1568/getInfo.php?workbook=14_04.xlsx&amp;sheet=A0&amp;row=3219&amp;col=7&amp;number=0&amp;sourceID=14","0")</f>
        <v>0</v>
      </c>
    </row>
    <row r="3220" spans="1:7">
      <c r="A3220" s="3">
        <v>14</v>
      </c>
      <c r="B3220" s="3">
        <v>4</v>
      </c>
      <c r="C3220" s="3">
        <v>90</v>
      </c>
      <c r="D3220" s="3">
        <v>81</v>
      </c>
      <c r="E3220" s="3">
        <v>1124.444</v>
      </c>
      <c r="F3220" s="4" t="str">
        <f>HYPERLINK("http://141.218.60.56/~jnz1568/getInfo.php?workbook=14_04.xlsx&amp;sheet=A0&amp;row=3220&amp;col=6&amp;number=332400&amp;sourceID=14","332400")</f>
        <v>332400</v>
      </c>
      <c r="G3220" s="4" t="str">
        <f>HYPERLINK("http://141.218.60.56/~jnz1568/getInfo.php?workbook=14_04.xlsx&amp;sheet=A0&amp;row=3220&amp;col=7&amp;number=0&amp;sourceID=14","0")</f>
        <v>0</v>
      </c>
    </row>
    <row r="3221" spans="1:7">
      <c r="A3221" s="3">
        <v>14</v>
      </c>
      <c r="B3221" s="3">
        <v>4</v>
      </c>
      <c r="C3221" s="3">
        <v>91</v>
      </c>
      <c r="D3221" s="3">
        <v>81</v>
      </c>
      <c r="E3221" s="3">
        <v>1125.495</v>
      </c>
      <c r="F3221" s="4" t="str">
        <f>HYPERLINK("http://141.218.60.56/~jnz1568/getInfo.php?workbook=14_04.xlsx&amp;sheet=A0&amp;row=3221&amp;col=6&amp;number=15820&amp;sourceID=14","15820")</f>
        <v>15820</v>
      </c>
      <c r="G3221" s="4" t="str">
        <f>HYPERLINK("http://141.218.60.56/~jnz1568/getInfo.php?workbook=14_04.xlsx&amp;sheet=A0&amp;row=3221&amp;col=7&amp;number=0&amp;sourceID=14","0")</f>
        <v>0</v>
      </c>
    </row>
    <row r="3222" spans="1:7">
      <c r="A3222" s="3">
        <v>14</v>
      </c>
      <c r="B3222" s="3">
        <v>4</v>
      </c>
      <c r="C3222" s="3">
        <v>92</v>
      </c>
      <c r="D3222" s="3">
        <v>81</v>
      </c>
      <c r="E3222" s="3">
        <v>1077.844</v>
      </c>
      <c r="F3222" s="4" t="str">
        <f>HYPERLINK("http://141.218.60.56/~jnz1568/getInfo.php?workbook=14_04.xlsx&amp;sheet=A0&amp;row=3222&amp;col=6&amp;number=79900000&amp;sourceID=14","79900000")</f>
        <v>79900000</v>
      </c>
      <c r="G3222" s="4" t="str">
        <f>HYPERLINK("http://141.218.60.56/~jnz1568/getInfo.php?workbook=14_04.xlsx&amp;sheet=A0&amp;row=3222&amp;col=7&amp;number=0&amp;sourceID=14","0")</f>
        <v>0</v>
      </c>
    </row>
    <row r="3223" spans="1:7">
      <c r="A3223" s="3">
        <v>14</v>
      </c>
      <c r="B3223" s="3">
        <v>4</v>
      </c>
      <c r="C3223" s="3">
        <v>83</v>
      </c>
      <c r="D3223" s="3">
        <v>82</v>
      </c>
      <c r="E3223" s="3">
        <v>-1641.551</v>
      </c>
      <c r="F3223" s="4" t="str">
        <f>HYPERLINK("http://141.218.60.56/~jnz1568/getInfo.php?workbook=14_04.xlsx&amp;sheet=A0&amp;row=3223&amp;col=6&amp;number=19980&amp;sourceID=14","19980")</f>
        <v>19980</v>
      </c>
      <c r="G3223" s="4" t="str">
        <f>HYPERLINK("http://141.218.60.56/~jnz1568/getInfo.php?workbook=14_04.xlsx&amp;sheet=A0&amp;row=3223&amp;col=7&amp;number=0&amp;sourceID=14","0")</f>
        <v>0</v>
      </c>
    </row>
    <row r="3224" spans="1:7">
      <c r="A3224" s="3">
        <v>14</v>
      </c>
      <c r="B3224" s="3">
        <v>4</v>
      </c>
      <c r="C3224" s="3">
        <v>84</v>
      </c>
      <c r="D3224" s="3">
        <v>82</v>
      </c>
      <c r="E3224" s="3">
        <v>-1468.256</v>
      </c>
      <c r="F3224" s="4" t="str">
        <f>HYPERLINK("http://141.218.60.56/~jnz1568/getInfo.php?workbook=14_04.xlsx&amp;sheet=A0&amp;row=3224&amp;col=6&amp;number=1284000&amp;sourceID=14","1284000")</f>
        <v>1284000</v>
      </c>
      <c r="G3224" s="4" t="str">
        <f>HYPERLINK("http://141.218.60.56/~jnz1568/getInfo.php?workbook=14_04.xlsx&amp;sheet=A0&amp;row=3224&amp;col=7&amp;number=0&amp;sourceID=14","0")</f>
        <v>0</v>
      </c>
    </row>
    <row r="3225" spans="1:7">
      <c r="A3225" s="3">
        <v>14</v>
      </c>
      <c r="B3225" s="3">
        <v>4</v>
      </c>
      <c r="C3225" s="3">
        <v>85</v>
      </c>
      <c r="D3225" s="3">
        <v>82</v>
      </c>
      <c r="E3225" s="3">
        <v>-1325.552</v>
      </c>
      <c r="F3225" s="4" t="str">
        <f>HYPERLINK("http://141.218.60.56/~jnz1568/getInfo.php?workbook=14_04.xlsx&amp;sheet=A0&amp;row=3225&amp;col=6&amp;number=0.02522&amp;sourceID=14","0.02522")</f>
        <v>0.02522</v>
      </c>
      <c r="G3225" s="4" t="str">
        <f>HYPERLINK("http://141.218.60.56/~jnz1568/getInfo.php?workbook=14_04.xlsx&amp;sheet=A0&amp;row=3225&amp;col=7&amp;number=0&amp;sourceID=14","0")</f>
        <v>0</v>
      </c>
    </row>
    <row r="3226" spans="1:7">
      <c r="A3226" s="3">
        <v>14</v>
      </c>
      <c r="B3226" s="3">
        <v>4</v>
      </c>
      <c r="C3226" s="3">
        <v>86</v>
      </c>
      <c r="D3226" s="3">
        <v>82</v>
      </c>
      <c r="E3226" s="3">
        <v>-1323.424</v>
      </c>
      <c r="F3226" s="4" t="str">
        <f>HYPERLINK("http://141.218.60.56/~jnz1568/getInfo.php?workbook=14_04.xlsx&amp;sheet=A0&amp;row=3226&amp;col=6&amp;number=0.9976&amp;sourceID=14","0.9976")</f>
        <v>0.9976</v>
      </c>
      <c r="G3226" s="4" t="str">
        <f>HYPERLINK("http://141.218.60.56/~jnz1568/getInfo.php?workbook=14_04.xlsx&amp;sheet=A0&amp;row=3226&amp;col=7&amp;number=0&amp;sourceID=14","0")</f>
        <v>0</v>
      </c>
    </row>
    <row r="3227" spans="1:7">
      <c r="A3227" s="3">
        <v>14</v>
      </c>
      <c r="B3227" s="3">
        <v>4</v>
      </c>
      <c r="C3227" s="3">
        <v>87</v>
      </c>
      <c r="D3227" s="3">
        <v>82</v>
      </c>
      <c r="E3227" s="3">
        <v>-1318.397</v>
      </c>
      <c r="F3227" s="4" t="str">
        <f>HYPERLINK("http://141.218.60.56/~jnz1568/getInfo.php?workbook=14_04.xlsx&amp;sheet=A0&amp;row=3227&amp;col=6&amp;number=0.3467&amp;sourceID=14","0.3467")</f>
        <v>0.3467</v>
      </c>
      <c r="G3227" s="4" t="str">
        <f>HYPERLINK("http://141.218.60.56/~jnz1568/getInfo.php?workbook=14_04.xlsx&amp;sheet=A0&amp;row=3227&amp;col=7&amp;number=0&amp;sourceID=14","0")</f>
        <v>0</v>
      </c>
    </row>
    <row r="3228" spans="1:7">
      <c r="A3228" s="3">
        <v>14</v>
      </c>
      <c r="B3228" s="3">
        <v>4</v>
      </c>
      <c r="C3228" s="3">
        <v>88</v>
      </c>
      <c r="D3228" s="3">
        <v>82</v>
      </c>
      <c r="E3228" s="3">
        <v>-1275.296</v>
      </c>
      <c r="F3228" s="4" t="str">
        <f>HYPERLINK("http://141.218.60.56/~jnz1568/getInfo.php?workbook=14_04.xlsx&amp;sheet=A0&amp;row=3228&amp;col=6&amp;number=26.24&amp;sourceID=14","26.24")</f>
        <v>26.24</v>
      </c>
      <c r="G3228" s="4" t="str">
        <f>HYPERLINK("http://141.218.60.56/~jnz1568/getInfo.php?workbook=14_04.xlsx&amp;sheet=A0&amp;row=3228&amp;col=7&amp;number=0&amp;sourceID=14","0")</f>
        <v>0</v>
      </c>
    </row>
    <row r="3229" spans="1:7">
      <c r="A3229" s="3">
        <v>14</v>
      </c>
      <c r="B3229" s="3">
        <v>4</v>
      </c>
      <c r="C3229" s="3">
        <v>89</v>
      </c>
      <c r="D3229" s="3">
        <v>82</v>
      </c>
      <c r="E3229" s="3">
        <v>-1190.2</v>
      </c>
      <c r="F3229" s="4" t="str">
        <f>HYPERLINK("http://141.218.60.56/~jnz1568/getInfo.php?workbook=14_04.xlsx&amp;sheet=A0&amp;row=3229&amp;col=6&amp;number=165200&amp;sourceID=14","165200")</f>
        <v>165200</v>
      </c>
      <c r="G3229" s="4" t="str">
        <f>HYPERLINK("http://141.218.60.56/~jnz1568/getInfo.php?workbook=14_04.xlsx&amp;sheet=A0&amp;row=3229&amp;col=7&amp;number=0&amp;sourceID=14","0")</f>
        <v>0</v>
      </c>
    </row>
    <row r="3230" spans="1:7">
      <c r="A3230" s="3">
        <v>14</v>
      </c>
      <c r="B3230" s="3">
        <v>4</v>
      </c>
      <c r="C3230" s="3">
        <v>90</v>
      </c>
      <c r="D3230" s="3">
        <v>82</v>
      </c>
      <c r="E3230" s="3">
        <v>-1189.477</v>
      </c>
      <c r="F3230" s="4" t="str">
        <f>HYPERLINK("http://141.218.60.56/~jnz1568/getInfo.php?workbook=14_04.xlsx&amp;sheet=A0&amp;row=3230&amp;col=6&amp;number=238300&amp;sourceID=14","238300")</f>
        <v>238300</v>
      </c>
      <c r="G3230" s="4" t="str">
        <f>HYPERLINK("http://141.218.60.56/~jnz1568/getInfo.php?workbook=14_04.xlsx&amp;sheet=A0&amp;row=3230&amp;col=7&amp;number=0&amp;sourceID=14","0")</f>
        <v>0</v>
      </c>
    </row>
    <row r="3231" spans="1:7">
      <c r="A3231" s="3">
        <v>14</v>
      </c>
      <c r="B3231" s="3">
        <v>4</v>
      </c>
      <c r="C3231" s="3">
        <v>92</v>
      </c>
      <c r="D3231" s="3">
        <v>82</v>
      </c>
      <c r="E3231" s="3">
        <v>-1123.488</v>
      </c>
      <c r="F3231" s="4" t="str">
        <f>HYPERLINK("http://141.218.60.56/~jnz1568/getInfo.php?workbook=14_04.xlsx&amp;sheet=A0&amp;row=3231&amp;col=6&amp;number=40440000&amp;sourceID=14","40440000")</f>
        <v>40440000</v>
      </c>
      <c r="G3231" s="4" t="str">
        <f>HYPERLINK("http://141.218.60.56/~jnz1568/getInfo.php?workbook=14_04.xlsx&amp;sheet=A0&amp;row=3231&amp;col=7&amp;number=0&amp;sourceID=14","0")</f>
        <v>0</v>
      </c>
    </row>
    <row r="3232" spans="1:7">
      <c r="A3232" s="3">
        <v>14</v>
      </c>
      <c r="B3232" s="3">
        <v>4</v>
      </c>
      <c r="C3232" s="3">
        <v>84</v>
      </c>
      <c r="D3232" s="3">
        <v>83</v>
      </c>
      <c r="E3232" s="3">
        <v>-13908.206</v>
      </c>
      <c r="F3232" s="4" t="str">
        <f>HYPERLINK("http://141.218.60.56/~jnz1568/getInfo.php?workbook=14_04.xlsx&amp;sheet=A0&amp;row=3232&amp;col=6&amp;number=9.563e-09&amp;sourceID=14","9.563e-09")</f>
        <v>9.563e-09</v>
      </c>
      <c r="G3232" s="4" t="str">
        <f>HYPERLINK("http://141.218.60.56/~jnz1568/getInfo.php?workbook=14_04.xlsx&amp;sheet=A0&amp;row=3232&amp;col=7&amp;number=0&amp;sourceID=14","0")</f>
        <v>0</v>
      </c>
    </row>
    <row r="3233" spans="1:7">
      <c r="A3233" s="3">
        <v>14</v>
      </c>
      <c r="B3233" s="3">
        <v>4</v>
      </c>
      <c r="C3233" s="3">
        <v>85</v>
      </c>
      <c r="D3233" s="3">
        <v>83</v>
      </c>
      <c r="E3233" s="3">
        <v>-6885.981</v>
      </c>
      <c r="F3233" s="4" t="str">
        <f>HYPERLINK("http://141.218.60.56/~jnz1568/getInfo.php?workbook=14_04.xlsx&amp;sheet=A0&amp;row=3233&amp;col=6&amp;number=21560000&amp;sourceID=14","21560000")</f>
        <v>21560000</v>
      </c>
      <c r="G3233" s="4" t="str">
        <f>HYPERLINK("http://141.218.60.56/~jnz1568/getInfo.php?workbook=14_04.xlsx&amp;sheet=A0&amp;row=3233&amp;col=7&amp;number=0&amp;sourceID=14","0")</f>
        <v>0</v>
      </c>
    </row>
    <row r="3234" spans="1:7">
      <c r="A3234" s="3">
        <v>14</v>
      </c>
      <c r="B3234" s="3">
        <v>4</v>
      </c>
      <c r="C3234" s="3">
        <v>86</v>
      </c>
      <c r="D3234" s="3">
        <v>83</v>
      </c>
      <c r="E3234" s="3">
        <v>-6828.917</v>
      </c>
      <c r="F3234" s="4" t="str">
        <f>HYPERLINK("http://141.218.60.56/~jnz1568/getInfo.php?workbook=14_04.xlsx&amp;sheet=A0&amp;row=3234&amp;col=6&amp;number=21990000&amp;sourceID=14","21990000")</f>
        <v>21990000</v>
      </c>
      <c r="G3234" s="4" t="str">
        <f>HYPERLINK("http://141.218.60.56/~jnz1568/getInfo.php?workbook=14_04.xlsx&amp;sheet=A0&amp;row=3234&amp;col=7&amp;number=0&amp;sourceID=14","0")</f>
        <v>0</v>
      </c>
    </row>
    <row r="3235" spans="1:7">
      <c r="A3235" s="3">
        <v>14</v>
      </c>
      <c r="B3235" s="3">
        <v>4</v>
      </c>
      <c r="C3235" s="3">
        <v>87</v>
      </c>
      <c r="D3235" s="3">
        <v>83</v>
      </c>
      <c r="E3235" s="3">
        <v>-6697.154</v>
      </c>
      <c r="F3235" s="4" t="str">
        <f>HYPERLINK("http://141.218.60.56/~jnz1568/getInfo.php?workbook=14_04.xlsx&amp;sheet=A0&amp;row=3235&amp;col=6&amp;number=23420000&amp;sourceID=14","23420000")</f>
        <v>23420000</v>
      </c>
      <c r="G3235" s="4" t="str">
        <f>HYPERLINK("http://141.218.60.56/~jnz1568/getInfo.php?workbook=14_04.xlsx&amp;sheet=A0&amp;row=3235&amp;col=7&amp;number=0&amp;sourceID=14","0")</f>
        <v>0</v>
      </c>
    </row>
    <row r="3236" spans="1:7">
      <c r="A3236" s="3">
        <v>14</v>
      </c>
      <c r="B3236" s="3">
        <v>4</v>
      </c>
      <c r="C3236" s="3">
        <v>88</v>
      </c>
      <c r="D3236" s="3">
        <v>83</v>
      </c>
      <c r="E3236" s="3">
        <v>-5715.869</v>
      </c>
      <c r="F3236" s="4" t="str">
        <f>HYPERLINK("http://141.218.60.56/~jnz1568/getInfo.php?workbook=14_04.xlsx&amp;sheet=A0&amp;row=3236&amp;col=6&amp;number=198000&amp;sourceID=14","198000")</f>
        <v>198000</v>
      </c>
      <c r="G3236" s="4" t="str">
        <f>HYPERLINK("http://141.218.60.56/~jnz1568/getInfo.php?workbook=14_04.xlsx&amp;sheet=A0&amp;row=3236&amp;col=7&amp;number=0&amp;sourceID=14","0")</f>
        <v>0</v>
      </c>
    </row>
    <row r="3237" spans="1:7">
      <c r="A3237" s="3">
        <v>14</v>
      </c>
      <c r="B3237" s="3">
        <v>4</v>
      </c>
      <c r="C3237" s="3">
        <v>89</v>
      </c>
      <c r="D3237" s="3">
        <v>83</v>
      </c>
      <c r="E3237" s="3">
        <v>-4328.729</v>
      </c>
      <c r="F3237" s="4" t="str">
        <f>HYPERLINK("http://141.218.60.56/~jnz1568/getInfo.php?workbook=14_04.xlsx&amp;sheet=A0&amp;row=3237&amp;col=6&amp;number=18.83&amp;sourceID=14","18.83")</f>
        <v>18.83</v>
      </c>
      <c r="G3237" s="4" t="str">
        <f>HYPERLINK("http://141.218.60.56/~jnz1568/getInfo.php?workbook=14_04.xlsx&amp;sheet=A0&amp;row=3237&amp;col=7&amp;number=0&amp;sourceID=14","0")</f>
        <v>0</v>
      </c>
    </row>
    <row r="3238" spans="1:7">
      <c r="A3238" s="3">
        <v>14</v>
      </c>
      <c r="B3238" s="3">
        <v>4</v>
      </c>
      <c r="C3238" s="3">
        <v>90</v>
      </c>
      <c r="D3238" s="3">
        <v>83</v>
      </c>
      <c r="E3238" s="3">
        <v>-4319.176</v>
      </c>
      <c r="F3238" s="4" t="str">
        <f>HYPERLINK("http://141.218.60.56/~jnz1568/getInfo.php?workbook=14_04.xlsx&amp;sheet=A0&amp;row=3238&amp;col=6&amp;number=19.04&amp;sourceID=14","19.04")</f>
        <v>19.04</v>
      </c>
      <c r="G3238" s="4" t="str">
        <f>HYPERLINK("http://141.218.60.56/~jnz1568/getInfo.php?workbook=14_04.xlsx&amp;sheet=A0&amp;row=3238&amp;col=7&amp;number=0&amp;sourceID=14","0")</f>
        <v>0</v>
      </c>
    </row>
    <row r="3239" spans="1:7">
      <c r="A3239" s="3">
        <v>14</v>
      </c>
      <c r="B3239" s="3">
        <v>4</v>
      </c>
      <c r="C3239" s="3">
        <v>91</v>
      </c>
      <c r="D3239" s="3">
        <v>83</v>
      </c>
      <c r="E3239" s="3">
        <v>-4304.563</v>
      </c>
      <c r="F3239" s="4" t="str">
        <f>HYPERLINK("http://141.218.60.56/~jnz1568/getInfo.php?workbook=14_04.xlsx&amp;sheet=A0&amp;row=3239&amp;col=6&amp;number=19.36&amp;sourceID=14","19.36")</f>
        <v>19.36</v>
      </c>
      <c r="G3239" s="4" t="str">
        <f>HYPERLINK("http://141.218.60.56/~jnz1568/getInfo.php?workbook=14_04.xlsx&amp;sheet=A0&amp;row=3239&amp;col=7&amp;number=0&amp;sourceID=14","0")</f>
        <v>0</v>
      </c>
    </row>
    <row r="3240" spans="1:7">
      <c r="A3240" s="3">
        <v>14</v>
      </c>
      <c r="B3240" s="3">
        <v>4</v>
      </c>
      <c r="C3240" s="3">
        <v>92</v>
      </c>
      <c r="D3240" s="3">
        <v>83</v>
      </c>
      <c r="E3240" s="3">
        <v>-3559.925</v>
      </c>
      <c r="F3240" s="4" t="str">
        <f>HYPERLINK("http://141.218.60.56/~jnz1568/getInfo.php?workbook=14_04.xlsx&amp;sheet=A0&amp;row=3240&amp;col=6&amp;number=0.007971&amp;sourceID=14","0.007971")</f>
        <v>0.007971</v>
      </c>
      <c r="G3240" s="4" t="str">
        <f>HYPERLINK("http://141.218.60.56/~jnz1568/getInfo.php?workbook=14_04.xlsx&amp;sheet=A0&amp;row=3240&amp;col=7&amp;number=0&amp;sourceID=14","0")</f>
        <v>0</v>
      </c>
    </row>
    <row r="3241" spans="1:7">
      <c r="A3241" s="3">
        <v>14</v>
      </c>
      <c r="B3241" s="3">
        <v>4</v>
      </c>
      <c r="C3241" s="3">
        <v>86</v>
      </c>
      <c r="D3241" s="3">
        <v>84</v>
      </c>
      <c r="E3241" s="3">
        <v>-13416.316</v>
      </c>
      <c r="F3241" s="4" t="str">
        <f>HYPERLINK("http://141.218.60.56/~jnz1568/getInfo.php?workbook=14_04.xlsx&amp;sheet=A0&amp;row=3241&amp;col=6&amp;number=14760&amp;sourceID=14","14760")</f>
        <v>14760</v>
      </c>
      <c r="G3241" s="4" t="str">
        <f>HYPERLINK("http://141.218.60.56/~jnz1568/getInfo.php?workbook=14_04.xlsx&amp;sheet=A0&amp;row=3241&amp;col=7&amp;number=0&amp;sourceID=14","0")</f>
        <v>0</v>
      </c>
    </row>
    <row r="3242" spans="1:7">
      <c r="A3242" s="3">
        <v>14</v>
      </c>
      <c r="B3242" s="3">
        <v>4</v>
      </c>
      <c r="C3242" s="3">
        <v>88</v>
      </c>
      <c r="D3242" s="3">
        <v>84</v>
      </c>
      <c r="E3242" s="3">
        <v>-9703.883</v>
      </c>
      <c r="F3242" s="4" t="str">
        <f>HYPERLINK("http://141.218.60.56/~jnz1568/getInfo.php?workbook=14_04.xlsx&amp;sheet=A0&amp;row=3242&amp;col=6&amp;number=7308000&amp;sourceID=14","7308000")</f>
        <v>7308000</v>
      </c>
      <c r="G3242" s="4" t="str">
        <f>HYPERLINK("http://141.218.60.56/~jnz1568/getInfo.php?workbook=14_04.xlsx&amp;sheet=A0&amp;row=3242&amp;col=7&amp;number=0&amp;sourceID=14","0")</f>
        <v>0</v>
      </c>
    </row>
    <row r="3243" spans="1:7">
      <c r="A3243" s="3">
        <v>14</v>
      </c>
      <c r="B3243" s="3">
        <v>4</v>
      </c>
      <c r="C3243" s="3">
        <v>89</v>
      </c>
      <c r="D3243" s="3">
        <v>84</v>
      </c>
      <c r="E3243" s="3">
        <v>-6284.775</v>
      </c>
      <c r="F3243" s="4" t="str">
        <f>HYPERLINK("http://141.218.60.56/~jnz1568/getInfo.php?workbook=14_04.xlsx&amp;sheet=A0&amp;row=3243&amp;col=6&amp;number=1.702e-10&amp;sourceID=14","1.702e-10")</f>
        <v>1.702e-10</v>
      </c>
      <c r="G3243" s="4" t="str">
        <f>HYPERLINK("http://141.218.60.56/~jnz1568/getInfo.php?workbook=14_04.xlsx&amp;sheet=A0&amp;row=3243&amp;col=7&amp;number=0&amp;sourceID=14","0")</f>
        <v>0</v>
      </c>
    </row>
    <row r="3244" spans="1:7">
      <c r="A3244" s="3">
        <v>14</v>
      </c>
      <c r="B3244" s="3">
        <v>4</v>
      </c>
      <c r="C3244" s="3">
        <v>90</v>
      </c>
      <c r="D3244" s="3">
        <v>84</v>
      </c>
      <c r="E3244" s="3">
        <v>-6264.659</v>
      </c>
      <c r="F3244" s="4" t="str">
        <f>HYPERLINK("http://141.218.60.56/~jnz1568/getInfo.php?workbook=14_04.xlsx&amp;sheet=A0&amp;row=3244&amp;col=6&amp;number=0.0004516&amp;sourceID=14","0.0004516")</f>
        <v>0.0004516</v>
      </c>
      <c r="G3244" s="4" t="str">
        <f>HYPERLINK("http://141.218.60.56/~jnz1568/getInfo.php?workbook=14_04.xlsx&amp;sheet=A0&amp;row=3244&amp;col=7&amp;number=0&amp;sourceID=14","0")</f>
        <v>0</v>
      </c>
    </row>
    <row r="3245" spans="1:7">
      <c r="A3245" s="3">
        <v>14</v>
      </c>
      <c r="B3245" s="3">
        <v>4</v>
      </c>
      <c r="C3245" s="3">
        <v>92</v>
      </c>
      <c r="D3245" s="3">
        <v>84</v>
      </c>
      <c r="E3245" s="3">
        <v>-4784.579</v>
      </c>
      <c r="F3245" s="4" t="str">
        <f>HYPERLINK("http://141.218.60.56/~jnz1568/getInfo.php?workbook=14_04.xlsx&amp;sheet=A0&amp;row=3245&amp;col=6&amp;number=10.75&amp;sourceID=14","10.75")</f>
        <v>10.75</v>
      </c>
      <c r="G3245" s="4" t="str">
        <f>HYPERLINK("http://141.218.60.56/~jnz1568/getInfo.php?workbook=14_04.xlsx&amp;sheet=A0&amp;row=3245&amp;col=7&amp;number=0&amp;sourceID=14","0")</f>
        <v>0</v>
      </c>
    </row>
    <row r="3246" spans="1:7">
      <c r="A3246" s="3">
        <v>14</v>
      </c>
      <c r="B3246" s="3">
        <v>4</v>
      </c>
      <c r="C3246" s="3">
        <v>86</v>
      </c>
      <c r="D3246" s="3">
        <v>85</v>
      </c>
      <c r="E3246" s="3">
        <v>-824049.885</v>
      </c>
      <c r="F3246" s="4" t="str">
        <f>HYPERLINK("http://141.218.60.56/~jnz1568/getInfo.php?workbook=14_04.xlsx&amp;sheet=A0&amp;row=3246&amp;col=6&amp;number=3.196e-05&amp;sourceID=14","3.196e-05")</f>
        <v>3.196e-05</v>
      </c>
      <c r="G3246" s="4" t="str">
        <f>HYPERLINK("http://141.218.60.56/~jnz1568/getInfo.php?workbook=14_04.xlsx&amp;sheet=A0&amp;row=3246&amp;col=7&amp;number=0&amp;sourceID=14","0")</f>
        <v>0</v>
      </c>
    </row>
    <row r="3247" spans="1:7">
      <c r="A3247" s="3">
        <v>14</v>
      </c>
      <c r="B3247" s="3">
        <v>4</v>
      </c>
      <c r="C3247" s="3">
        <v>87</v>
      </c>
      <c r="D3247" s="3">
        <v>85</v>
      </c>
      <c r="E3247" s="3">
        <v>-244225.384</v>
      </c>
      <c r="F3247" s="4" t="str">
        <f>HYPERLINK("http://141.218.60.56/~jnz1568/getInfo.php?workbook=14_04.xlsx&amp;sheet=A0&amp;row=3247&amp;col=6&amp;number=1.447e-08&amp;sourceID=14","1.447e-08")</f>
        <v>1.447e-08</v>
      </c>
      <c r="G3247" s="4" t="str">
        <f>HYPERLINK("http://141.218.60.56/~jnz1568/getInfo.php?workbook=14_04.xlsx&amp;sheet=A0&amp;row=3247&amp;col=7&amp;number=0&amp;sourceID=14","0")</f>
        <v>0</v>
      </c>
    </row>
    <row r="3248" spans="1:7">
      <c r="A3248" s="3">
        <v>14</v>
      </c>
      <c r="B3248" s="3">
        <v>4</v>
      </c>
      <c r="C3248" s="3">
        <v>88</v>
      </c>
      <c r="D3248" s="3">
        <v>85</v>
      </c>
      <c r="E3248" s="3">
        <v>-33637.257</v>
      </c>
      <c r="F3248" s="4" t="str">
        <f>HYPERLINK("http://141.218.60.56/~jnz1568/getInfo.php?workbook=14_04.xlsx&amp;sheet=A0&amp;row=3248&amp;col=6&amp;number=0.002504&amp;sourceID=14","0.002504")</f>
        <v>0.002504</v>
      </c>
      <c r="G3248" s="4" t="str">
        <f>HYPERLINK("http://141.218.60.56/~jnz1568/getInfo.php?workbook=14_04.xlsx&amp;sheet=A0&amp;row=3248&amp;col=7&amp;number=0&amp;sourceID=14","0")</f>
        <v>0</v>
      </c>
    </row>
    <row r="3249" spans="1:7">
      <c r="A3249" s="3">
        <v>14</v>
      </c>
      <c r="B3249" s="3">
        <v>4</v>
      </c>
      <c r="C3249" s="3">
        <v>89</v>
      </c>
      <c r="D3249" s="3">
        <v>85</v>
      </c>
      <c r="E3249" s="3">
        <v>-11656.086</v>
      </c>
      <c r="F3249" s="4" t="str">
        <f>HYPERLINK("http://141.218.60.56/~jnz1568/getInfo.php?workbook=14_04.xlsx&amp;sheet=A0&amp;row=3249&amp;col=6&amp;number=2739000&amp;sourceID=14","2739000")</f>
        <v>2739000</v>
      </c>
      <c r="G3249" s="4" t="str">
        <f>HYPERLINK("http://141.218.60.56/~jnz1568/getInfo.php?workbook=14_04.xlsx&amp;sheet=A0&amp;row=3249&amp;col=7&amp;number=0&amp;sourceID=14","0")</f>
        <v>0</v>
      </c>
    </row>
    <row r="3250" spans="1:7">
      <c r="A3250" s="3">
        <v>14</v>
      </c>
      <c r="B3250" s="3">
        <v>4</v>
      </c>
      <c r="C3250" s="3">
        <v>87</v>
      </c>
      <c r="D3250" s="3">
        <v>86</v>
      </c>
      <c r="E3250" s="3">
        <v>-347094.508</v>
      </c>
      <c r="F3250" s="4" t="str">
        <f>HYPERLINK("http://141.218.60.56/~jnz1568/getInfo.php?workbook=14_04.xlsx&amp;sheet=A0&amp;row=3250&amp;col=6&amp;number=0.0003208&amp;sourceID=14","0.0003208")</f>
        <v>0.0003208</v>
      </c>
      <c r="G3250" s="4" t="str">
        <f>HYPERLINK("http://141.218.60.56/~jnz1568/getInfo.php?workbook=14_04.xlsx&amp;sheet=A0&amp;row=3250&amp;col=7&amp;number=0&amp;sourceID=14","0")</f>
        <v>0</v>
      </c>
    </row>
    <row r="3251" spans="1:7">
      <c r="A3251" s="3">
        <v>14</v>
      </c>
      <c r="B3251" s="3">
        <v>4</v>
      </c>
      <c r="C3251" s="3">
        <v>88</v>
      </c>
      <c r="D3251" s="3">
        <v>86</v>
      </c>
      <c r="E3251" s="3">
        <v>-35068.743</v>
      </c>
      <c r="F3251" s="4" t="str">
        <f>HYPERLINK("http://141.218.60.56/~jnz1568/getInfo.php?workbook=14_04.xlsx&amp;sheet=A0&amp;row=3251&amp;col=6&amp;number=0.001663&amp;sourceID=14","0.001663")</f>
        <v>0.001663</v>
      </c>
      <c r="G3251" s="4" t="str">
        <f>HYPERLINK("http://141.218.60.56/~jnz1568/getInfo.php?workbook=14_04.xlsx&amp;sheet=A0&amp;row=3251&amp;col=7&amp;number=0&amp;sourceID=14","0")</f>
        <v>0</v>
      </c>
    </row>
    <row r="3252" spans="1:7">
      <c r="A3252" s="3">
        <v>14</v>
      </c>
      <c r="B3252" s="3">
        <v>4</v>
      </c>
      <c r="C3252" s="3">
        <v>89</v>
      </c>
      <c r="D3252" s="3">
        <v>86</v>
      </c>
      <c r="E3252" s="3">
        <v>-11823.326</v>
      </c>
      <c r="F3252" s="4" t="str">
        <f>HYPERLINK("http://141.218.60.56/~jnz1568/getInfo.php?workbook=14_04.xlsx&amp;sheet=A0&amp;row=3252&amp;col=6&amp;number=1957000&amp;sourceID=14","1957000")</f>
        <v>1957000</v>
      </c>
      <c r="G3252" s="4" t="str">
        <f>HYPERLINK("http://141.218.60.56/~jnz1568/getInfo.php?workbook=14_04.xlsx&amp;sheet=A0&amp;row=3252&amp;col=7&amp;number=0&amp;sourceID=14","0")</f>
        <v>0</v>
      </c>
    </row>
    <row r="3253" spans="1:7">
      <c r="A3253" s="3">
        <v>14</v>
      </c>
      <c r="B3253" s="3">
        <v>4</v>
      </c>
      <c r="C3253" s="3">
        <v>90</v>
      </c>
      <c r="D3253" s="3">
        <v>86</v>
      </c>
      <c r="E3253" s="3">
        <v>-11752.331</v>
      </c>
      <c r="F3253" s="4" t="str">
        <f>HYPERLINK("http://141.218.60.56/~jnz1568/getInfo.php?workbook=14_04.xlsx&amp;sheet=A0&amp;row=3253&amp;col=6&amp;number=3595000&amp;sourceID=14","3595000")</f>
        <v>3595000</v>
      </c>
      <c r="G3253" s="4" t="str">
        <f>HYPERLINK("http://141.218.60.56/~jnz1568/getInfo.php?workbook=14_04.xlsx&amp;sheet=A0&amp;row=3253&amp;col=7&amp;number=0&amp;sourceID=14","0")</f>
        <v>0</v>
      </c>
    </row>
    <row r="3254" spans="1:7">
      <c r="A3254" s="3">
        <v>14</v>
      </c>
      <c r="B3254" s="3">
        <v>4</v>
      </c>
      <c r="C3254" s="3">
        <v>92</v>
      </c>
      <c r="D3254" s="3">
        <v>86</v>
      </c>
      <c r="E3254" s="3">
        <v>-7436.675</v>
      </c>
      <c r="F3254" s="4" t="str">
        <f>HYPERLINK("http://141.218.60.56/~jnz1568/getInfo.php?workbook=14_04.xlsx&amp;sheet=A0&amp;row=3254&amp;col=6&amp;number=71530&amp;sourceID=14","71530")</f>
        <v>71530</v>
      </c>
      <c r="G3254" s="4" t="str">
        <f>HYPERLINK("http://141.218.60.56/~jnz1568/getInfo.php?workbook=14_04.xlsx&amp;sheet=A0&amp;row=3254&amp;col=7&amp;number=0&amp;sourceID=14","0")</f>
        <v>0</v>
      </c>
    </row>
    <row r="3255" spans="1:7">
      <c r="A3255" s="3">
        <v>14</v>
      </c>
      <c r="B3255" s="3">
        <v>4</v>
      </c>
      <c r="C3255" s="3">
        <v>88</v>
      </c>
      <c r="D3255" s="3">
        <v>87</v>
      </c>
      <c r="E3255" s="3">
        <v>-39010.138</v>
      </c>
      <c r="F3255" s="4" t="str">
        <f>HYPERLINK("http://141.218.60.56/~jnz1568/getInfo.php?workbook=14_04.xlsx&amp;sheet=A0&amp;row=3255&amp;col=6&amp;number=0.002009&amp;sourceID=14","0.002009")</f>
        <v>0.002009</v>
      </c>
      <c r="G3255" s="4" t="str">
        <f>HYPERLINK("http://141.218.60.56/~jnz1568/getInfo.php?workbook=14_04.xlsx&amp;sheet=A0&amp;row=3255&amp;col=7&amp;number=0&amp;sourceID=14","0")</f>
        <v>0</v>
      </c>
    </row>
    <row r="3256" spans="1:7">
      <c r="A3256" s="3">
        <v>14</v>
      </c>
      <c r="B3256" s="3">
        <v>4</v>
      </c>
      <c r="C3256" s="3">
        <v>89</v>
      </c>
      <c r="D3256" s="3">
        <v>87</v>
      </c>
      <c r="E3256" s="3">
        <v>-12240.275</v>
      </c>
      <c r="F3256" s="4" t="str">
        <f>HYPERLINK("http://141.218.60.56/~jnz1568/getInfo.php?workbook=14_04.xlsx&amp;sheet=A0&amp;row=3256&amp;col=6&amp;number=118200&amp;sourceID=14","118200")</f>
        <v>118200</v>
      </c>
      <c r="G3256" s="4" t="str">
        <f>HYPERLINK("http://141.218.60.56/~jnz1568/getInfo.php?workbook=14_04.xlsx&amp;sheet=A0&amp;row=3256&amp;col=7&amp;number=0&amp;sourceID=14","0")</f>
        <v>0</v>
      </c>
    </row>
    <row r="3257" spans="1:7">
      <c r="A3257" s="3">
        <v>14</v>
      </c>
      <c r="B3257" s="3">
        <v>4</v>
      </c>
      <c r="C3257" s="3">
        <v>90</v>
      </c>
      <c r="D3257" s="3">
        <v>87</v>
      </c>
      <c r="E3257" s="3">
        <v>21829.335</v>
      </c>
      <c r="F3257" s="4" t="str">
        <f>HYPERLINK("http://141.218.60.56/~jnz1568/getInfo.php?workbook=14_04.xlsx&amp;sheet=A0&amp;row=3257&amp;col=6&amp;number=187400&amp;sourceID=14","187400")</f>
        <v>187400</v>
      </c>
      <c r="G3257" s="4" t="str">
        <f>HYPERLINK("http://141.218.60.56/~jnz1568/getInfo.php?workbook=14_04.xlsx&amp;sheet=A0&amp;row=3257&amp;col=7&amp;number=0&amp;sourceID=14","0")</f>
        <v>0</v>
      </c>
    </row>
    <row r="3258" spans="1:7">
      <c r="A3258" s="3">
        <v>14</v>
      </c>
      <c r="B3258" s="3">
        <v>4</v>
      </c>
      <c r="C3258" s="3">
        <v>91</v>
      </c>
      <c r="D3258" s="3">
        <v>87</v>
      </c>
      <c r="E3258" s="3">
        <v>22232.144</v>
      </c>
      <c r="F3258" s="4" t="str">
        <f>HYPERLINK("http://141.218.60.56/~jnz1568/getInfo.php?workbook=14_04.xlsx&amp;sheet=A0&amp;row=3258&amp;col=6&amp;number=709800&amp;sourceID=14","709800")</f>
        <v>709800</v>
      </c>
      <c r="G3258" s="4" t="str">
        <f>HYPERLINK("http://141.218.60.56/~jnz1568/getInfo.php?workbook=14_04.xlsx&amp;sheet=A0&amp;row=3258&amp;col=7&amp;number=0&amp;sourceID=14","0")</f>
        <v>0</v>
      </c>
    </row>
    <row r="3259" spans="1:7">
      <c r="A3259" s="3">
        <v>14</v>
      </c>
      <c r="B3259" s="3">
        <v>4</v>
      </c>
      <c r="C3259" s="3">
        <v>92</v>
      </c>
      <c r="D3259" s="3">
        <v>87</v>
      </c>
      <c r="E3259" s="3">
        <v>11868.049</v>
      </c>
      <c r="F3259" s="4" t="str">
        <f>HYPERLINK("http://141.218.60.56/~jnz1568/getInfo.php?workbook=14_04.xlsx&amp;sheet=A0&amp;row=3259&amp;col=6&amp;number=185.4&amp;sourceID=14","185.4")</f>
        <v>185.4</v>
      </c>
      <c r="G3259" s="4" t="str">
        <f>HYPERLINK("http://141.218.60.56/~jnz1568/getInfo.php?workbook=14_04.xlsx&amp;sheet=A0&amp;row=3259&amp;col=7&amp;number=0&amp;sourceID=14","0")</f>
        <v>0</v>
      </c>
    </row>
    <row r="3260" spans="1:7">
      <c r="A3260" s="3">
        <v>14</v>
      </c>
      <c r="B3260" s="3">
        <v>4</v>
      </c>
      <c r="C3260" s="3">
        <v>89</v>
      </c>
      <c r="D3260" s="3">
        <v>88</v>
      </c>
      <c r="E3260" s="3">
        <v>-17837.029</v>
      </c>
      <c r="F3260" s="4" t="str">
        <f>HYPERLINK("http://141.218.60.56/~jnz1568/getInfo.php?workbook=14_04.xlsx&amp;sheet=A0&amp;row=3260&amp;col=6&amp;number=3010&amp;sourceID=14","3010")</f>
        <v>3010</v>
      </c>
      <c r="G3260" s="4" t="str">
        <f>HYPERLINK("http://141.218.60.56/~jnz1568/getInfo.php?workbook=14_04.xlsx&amp;sheet=A0&amp;row=3260&amp;col=7&amp;number=0&amp;sourceID=14","0")</f>
        <v>0</v>
      </c>
    </row>
    <row r="3261" spans="1:7">
      <c r="A3261" s="3">
        <v>14</v>
      </c>
      <c r="B3261" s="3">
        <v>4</v>
      </c>
      <c r="C3261" s="3">
        <v>90</v>
      </c>
      <c r="D3261" s="3">
        <v>88</v>
      </c>
      <c r="E3261" s="3">
        <v>-17675.938</v>
      </c>
      <c r="F3261" s="4" t="str">
        <f>HYPERLINK("http://141.218.60.56/~jnz1568/getInfo.php?workbook=14_04.xlsx&amp;sheet=A0&amp;row=3261&amp;col=6&amp;number=3566&amp;sourceID=14","3566")</f>
        <v>3566</v>
      </c>
      <c r="G3261" s="4" t="str">
        <f>HYPERLINK("http://141.218.60.56/~jnz1568/getInfo.php?workbook=14_04.xlsx&amp;sheet=A0&amp;row=3261&amp;col=7&amp;number=0&amp;sourceID=14","0")</f>
        <v>0</v>
      </c>
    </row>
    <row r="3262" spans="1:7">
      <c r="A3262" s="3">
        <v>14</v>
      </c>
      <c r="B3262" s="3">
        <v>4</v>
      </c>
      <c r="C3262" s="3">
        <v>92</v>
      </c>
      <c r="D3262" s="3">
        <v>88</v>
      </c>
      <c r="E3262" s="3">
        <v>-9438.123</v>
      </c>
      <c r="F3262" s="4" t="str">
        <f>HYPERLINK("http://141.218.60.56/~jnz1568/getInfo.php?workbook=14_04.xlsx&amp;sheet=A0&amp;row=3262&amp;col=6&amp;number=9023000&amp;sourceID=14","9023000")</f>
        <v>9023000</v>
      </c>
      <c r="G3262" s="4" t="str">
        <f>HYPERLINK("http://141.218.60.56/~jnz1568/getInfo.php?workbook=14_04.xlsx&amp;sheet=A0&amp;row=3262&amp;col=7&amp;number=0&amp;sourceID=14","0")</f>
        <v>0</v>
      </c>
    </row>
    <row r="3263" spans="1:7">
      <c r="A3263" s="3">
        <v>14</v>
      </c>
      <c r="B3263" s="3">
        <v>4</v>
      </c>
      <c r="C3263" s="3">
        <v>90</v>
      </c>
      <c r="D3263" s="3">
        <v>89</v>
      </c>
      <c r="E3263" s="3">
        <v>-1957195.891</v>
      </c>
      <c r="F3263" s="4" t="str">
        <f>HYPERLINK("http://141.218.60.56/~jnz1568/getInfo.php?workbook=14_04.xlsx&amp;sheet=A0&amp;row=3263&amp;col=6&amp;number=3.237e-06&amp;sourceID=14","3.237e-06")</f>
        <v>3.237e-06</v>
      </c>
      <c r="G3263" s="4" t="str">
        <f>HYPERLINK("http://141.218.60.56/~jnz1568/getInfo.php?workbook=14_04.xlsx&amp;sheet=A0&amp;row=3263&amp;col=7&amp;number=0&amp;sourceID=14","0")</f>
        <v>0</v>
      </c>
    </row>
    <row r="3264" spans="1:7">
      <c r="A3264" s="3">
        <v>14</v>
      </c>
      <c r="B3264" s="3">
        <v>4</v>
      </c>
      <c r="C3264" s="3">
        <v>91</v>
      </c>
      <c r="D3264" s="3">
        <v>89</v>
      </c>
      <c r="E3264" s="3">
        <v>-771035.221</v>
      </c>
      <c r="F3264" s="4" t="str">
        <f>HYPERLINK("http://141.218.60.56/~jnz1568/getInfo.php?workbook=14_04.xlsx&amp;sheet=A0&amp;row=3264&amp;col=6&amp;number=4.102e-12&amp;sourceID=14","4.102e-12")</f>
        <v>4.102e-12</v>
      </c>
      <c r="G3264" s="4" t="str">
        <f>HYPERLINK("http://141.218.60.56/~jnz1568/getInfo.php?workbook=14_04.xlsx&amp;sheet=A0&amp;row=3264&amp;col=7&amp;number=0&amp;sourceID=14","0")</f>
        <v>0</v>
      </c>
    </row>
    <row r="3265" spans="1:7">
      <c r="A3265" s="3">
        <v>14</v>
      </c>
      <c r="B3265" s="3">
        <v>4</v>
      </c>
      <c r="C3265" s="3">
        <v>92</v>
      </c>
      <c r="D3265" s="3">
        <v>89</v>
      </c>
      <c r="E3265" s="3">
        <v>-20044.048</v>
      </c>
      <c r="F3265" s="4" t="str">
        <f>HYPERLINK("http://141.218.60.56/~jnz1568/getInfo.php?workbook=14_04.xlsx&amp;sheet=A0&amp;row=3265&amp;col=6&amp;number=0.000485&amp;sourceID=14","0.000485")</f>
        <v>0.000485</v>
      </c>
      <c r="G3265" s="4" t="str">
        <f>HYPERLINK("http://141.218.60.56/~jnz1568/getInfo.php?workbook=14_04.xlsx&amp;sheet=A0&amp;row=3265&amp;col=7&amp;number=0&amp;sourceID=14","0")</f>
        <v>0</v>
      </c>
    </row>
    <row r="3266" spans="1:7">
      <c r="A3266" s="3">
        <v>14</v>
      </c>
      <c r="B3266" s="3">
        <v>4</v>
      </c>
      <c r="C3266" s="3">
        <v>92</v>
      </c>
      <c r="D3266" s="3">
        <v>90</v>
      </c>
      <c r="E3266" s="3">
        <v>26007.85</v>
      </c>
      <c r="F3266" s="4" t="str">
        <f>HYPERLINK("http://141.218.60.56/~jnz1568/getInfo.php?workbook=14_04.xlsx&amp;sheet=A0&amp;row=3266&amp;col=6&amp;number=4.118e-05&amp;sourceID=14","4.118e-05")</f>
        <v>4.118e-05</v>
      </c>
      <c r="G3266" s="4" t="str">
        <f>HYPERLINK("http://141.218.60.56/~jnz1568/getInfo.php?workbook=14_04.xlsx&amp;sheet=A0&amp;row=3266&amp;col=7&amp;number=0&amp;sourceID=14","0")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46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43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39</v>
      </c>
      <c r="D3" s="2" t="s">
        <v>4</v>
      </c>
      <c r="E3" s="2" t="s">
        <v>44</v>
      </c>
      <c r="F3" s="2" t="s">
        <v>45</v>
      </c>
      <c r="G3" s="2" t="s">
        <v>46</v>
      </c>
    </row>
    <row r="4" spans="1:7">
      <c r="A4" s="3">
        <v>14</v>
      </c>
      <c r="B4" s="3">
        <v>4</v>
      </c>
      <c r="C4" s="3">
        <v>1</v>
      </c>
      <c r="D4" s="3">
        <v>2</v>
      </c>
      <c r="E4" s="3">
        <v>1</v>
      </c>
      <c r="F4" s="4" t="str">
        <f>HYPERLINK("http://141.218.60.56/~jnz1568/getInfo.php?workbook=14_04.xlsx&amp;sheet=U0&amp;row=4&amp;col=6&amp;number=3&amp;sourceID=14","3")</f>
        <v>3</v>
      </c>
      <c r="G4" s="4" t="str">
        <f>HYPERLINK("http://141.218.60.56/~jnz1568/getInfo.php?workbook=14_04.xlsx&amp;sheet=U0&amp;row=4&amp;col=7&amp;number=0.0125&amp;sourceID=14","0.0125")</f>
        <v>0.0125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HYPERLINK("http://141.218.60.56/~jnz1568/getInfo.php?workbook=14_04.xlsx&amp;sheet=U0&amp;row=5&amp;col=6&amp;number=3.1&amp;sourceID=14","3.1")</f>
        <v>3.1</v>
      </c>
      <c r="G5" s="4" t="str">
        <f>HYPERLINK("http://141.218.60.56/~jnz1568/getInfo.php?workbook=14_04.xlsx&amp;sheet=U0&amp;row=5&amp;col=7&amp;number=0.0125&amp;sourceID=14","0.0125")</f>
        <v>0.0125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HYPERLINK("http://141.218.60.56/~jnz1568/getInfo.php?workbook=14_04.xlsx&amp;sheet=U0&amp;row=6&amp;col=6&amp;number=3.2&amp;sourceID=14","3.2")</f>
        <v>3.2</v>
      </c>
      <c r="G6" s="4" t="str">
        <f>HYPERLINK("http://141.218.60.56/~jnz1568/getInfo.php?workbook=14_04.xlsx&amp;sheet=U0&amp;row=6&amp;col=7&amp;number=0.0125&amp;sourceID=14","0.0125")</f>
        <v>0.0125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HYPERLINK("http://141.218.60.56/~jnz1568/getInfo.php?workbook=14_04.xlsx&amp;sheet=U0&amp;row=7&amp;col=6&amp;number=3.3&amp;sourceID=14","3.3")</f>
        <v>3.3</v>
      </c>
      <c r="G7" s="4" t="str">
        <f>HYPERLINK("http://141.218.60.56/~jnz1568/getInfo.php?workbook=14_04.xlsx&amp;sheet=U0&amp;row=7&amp;col=7&amp;number=0.0125&amp;sourceID=14","0.0125")</f>
        <v>0.0125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HYPERLINK("http://141.218.60.56/~jnz1568/getInfo.php?workbook=14_04.xlsx&amp;sheet=U0&amp;row=8&amp;col=6&amp;number=3.4&amp;sourceID=14","3.4")</f>
        <v>3.4</v>
      </c>
      <c r="G8" s="4" t="str">
        <f>HYPERLINK("http://141.218.60.56/~jnz1568/getInfo.php?workbook=14_04.xlsx&amp;sheet=U0&amp;row=8&amp;col=7&amp;number=0.0125&amp;sourceID=14","0.0125")</f>
        <v>0.0125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HYPERLINK("http://141.218.60.56/~jnz1568/getInfo.php?workbook=14_04.xlsx&amp;sheet=U0&amp;row=9&amp;col=6&amp;number=3.5&amp;sourceID=14","3.5")</f>
        <v>3.5</v>
      </c>
      <c r="G9" s="4" t="str">
        <f>HYPERLINK("http://141.218.60.56/~jnz1568/getInfo.php?workbook=14_04.xlsx&amp;sheet=U0&amp;row=9&amp;col=7&amp;number=0.0125&amp;sourceID=14","0.0125")</f>
        <v>0.0125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HYPERLINK("http://141.218.60.56/~jnz1568/getInfo.php?workbook=14_04.xlsx&amp;sheet=U0&amp;row=10&amp;col=6&amp;number=3.6&amp;sourceID=14","3.6")</f>
        <v>3.6</v>
      </c>
      <c r="G10" s="4" t="str">
        <f>HYPERLINK("http://141.218.60.56/~jnz1568/getInfo.php?workbook=14_04.xlsx&amp;sheet=U0&amp;row=10&amp;col=7&amp;number=0.0125&amp;sourceID=14","0.0125")</f>
        <v>0.0125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HYPERLINK("http://141.218.60.56/~jnz1568/getInfo.php?workbook=14_04.xlsx&amp;sheet=U0&amp;row=11&amp;col=6&amp;number=3.7&amp;sourceID=14","3.7")</f>
        <v>3.7</v>
      </c>
      <c r="G11" s="4" t="str">
        <f>HYPERLINK("http://141.218.60.56/~jnz1568/getInfo.php?workbook=14_04.xlsx&amp;sheet=U0&amp;row=11&amp;col=7&amp;number=0.0124&amp;sourceID=14","0.0124")</f>
        <v>0.0124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HYPERLINK("http://141.218.60.56/~jnz1568/getInfo.php?workbook=14_04.xlsx&amp;sheet=U0&amp;row=12&amp;col=6&amp;number=3.8&amp;sourceID=14","3.8")</f>
        <v>3.8</v>
      </c>
      <c r="G12" s="4" t="str">
        <f>HYPERLINK("http://141.218.60.56/~jnz1568/getInfo.php?workbook=14_04.xlsx&amp;sheet=U0&amp;row=12&amp;col=7&amp;number=0.0124&amp;sourceID=14","0.0124")</f>
        <v>0.0124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HYPERLINK("http://141.218.60.56/~jnz1568/getInfo.php?workbook=14_04.xlsx&amp;sheet=U0&amp;row=13&amp;col=6&amp;number=3.9&amp;sourceID=14","3.9")</f>
        <v>3.9</v>
      </c>
      <c r="G13" s="4" t="str">
        <f>HYPERLINK("http://141.218.60.56/~jnz1568/getInfo.php?workbook=14_04.xlsx&amp;sheet=U0&amp;row=13&amp;col=7&amp;number=0.0124&amp;sourceID=14","0.0124")</f>
        <v>0.0124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HYPERLINK("http://141.218.60.56/~jnz1568/getInfo.php?workbook=14_04.xlsx&amp;sheet=U0&amp;row=14&amp;col=6&amp;number=4&amp;sourceID=14","4")</f>
        <v>4</v>
      </c>
      <c r="G14" s="4" t="str">
        <f>HYPERLINK("http://141.218.60.56/~jnz1568/getInfo.php?workbook=14_04.xlsx&amp;sheet=U0&amp;row=14&amp;col=7&amp;number=0.0124&amp;sourceID=14","0.0124")</f>
        <v>0.0124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HYPERLINK("http://141.218.60.56/~jnz1568/getInfo.php?workbook=14_04.xlsx&amp;sheet=U0&amp;row=15&amp;col=6&amp;number=4.1&amp;sourceID=14","4.1")</f>
        <v>4.1</v>
      </c>
      <c r="G15" s="4" t="str">
        <f>HYPERLINK("http://141.218.60.56/~jnz1568/getInfo.php?workbook=14_04.xlsx&amp;sheet=U0&amp;row=15&amp;col=7&amp;number=0.0123&amp;sourceID=14","0.0123")</f>
        <v>0.0123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HYPERLINK("http://141.218.60.56/~jnz1568/getInfo.php?workbook=14_04.xlsx&amp;sheet=U0&amp;row=16&amp;col=6&amp;number=4.2&amp;sourceID=14","4.2")</f>
        <v>4.2</v>
      </c>
      <c r="G16" s="4" t="str">
        <f>HYPERLINK("http://141.218.60.56/~jnz1568/getInfo.php?workbook=14_04.xlsx&amp;sheet=U0&amp;row=16&amp;col=7&amp;number=0.0123&amp;sourceID=14","0.0123")</f>
        <v>0.0123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HYPERLINK("http://141.218.60.56/~jnz1568/getInfo.php?workbook=14_04.xlsx&amp;sheet=U0&amp;row=17&amp;col=6&amp;number=4.3&amp;sourceID=14","4.3")</f>
        <v>4.3</v>
      </c>
      <c r="G17" s="4" t="str">
        <f>HYPERLINK("http://141.218.60.56/~jnz1568/getInfo.php?workbook=14_04.xlsx&amp;sheet=U0&amp;row=17&amp;col=7&amp;number=0.0122&amp;sourceID=14","0.0122")</f>
        <v>0.0122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HYPERLINK("http://141.218.60.56/~jnz1568/getInfo.php?workbook=14_04.xlsx&amp;sheet=U0&amp;row=18&amp;col=6&amp;number=4.4&amp;sourceID=14","4.4")</f>
        <v>4.4</v>
      </c>
      <c r="G18" s="4" t="str">
        <f>HYPERLINK("http://141.218.60.56/~jnz1568/getInfo.php?workbook=14_04.xlsx&amp;sheet=U0&amp;row=18&amp;col=7&amp;number=0.0122&amp;sourceID=14","0.0122")</f>
        <v>0.0122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HYPERLINK("http://141.218.60.56/~jnz1568/getInfo.php?workbook=14_04.xlsx&amp;sheet=U0&amp;row=19&amp;col=6&amp;number=4.5&amp;sourceID=14","4.5")</f>
        <v>4.5</v>
      </c>
      <c r="G19" s="4" t="str">
        <f>HYPERLINK("http://141.218.60.56/~jnz1568/getInfo.php?workbook=14_04.xlsx&amp;sheet=U0&amp;row=19&amp;col=7&amp;number=0.0121&amp;sourceID=14","0.0121")</f>
        <v>0.0121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HYPERLINK("http://141.218.60.56/~jnz1568/getInfo.php?workbook=14_04.xlsx&amp;sheet=U0&amp;row=20&amp;col=6&amp;number=4.6&amp;sourceID=14","4.6")</f>
        <v>4.6</v>
      </c>
      <c r="G20" s="4" t="str">
        <f>HYPERLINK("http://141.218.60.56/~jnz1568/getInfo.php?workbook=14_04.xlsx&amp;sheet=U0&amp;row=20&amp;col=7&amp;number=0.012&amp;sourceID=14","0.012")</f>
        <v>0.012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HYPERLINK("http://141.218.60.56/~jnz1568/getInfo.php?workbook=14_04.xlsx&amp;sheet=U0&amp;row=21&amp;col=6&amp;number=4.7&amp;sourceID=14","4.7")</f>
        <v>4.7</v>
      </c>
      <c r="G21" s="4" t="str">
        <f>HYPERLINK("http://141.218.60.56/~jnz1568/getInfo.php?workbook=14_04.xlsx&amp;sheet=U0&amp;row=21&amp;col=7&amp;number=0.0119&amp;sourceID=14","0.0119")</f>
        <v>0.0119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HYPERLINK("http://141.218.60.56/~jnz1568/getInfo.php?workbook=14_04.xlsx&amp;sheet=U0&amp;row=22&amp;col=6&amp;number=4.8&amp;sourceID=14","4.8")</f>
        <v>4.8</v>
      </c>
      <c r="G22" s="4" t="str">
        <f>HYPERLINK("http://141.218.60.56/~jnz1568/getInfo.php?workbook=14_04.xlsx&amp;sheet=U0&amp;row=22&amp;col=7&amp;number=0.0117&amp;sourceID=14","0.0117")</f>
        <v>0.0117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HYPERLINK("http://141.218.60.56/~jnz1568/getInfo.php?workbook=14_04.xlsx&amp;sheet=U0&amp;row=23&amp;col=6&amp;number=4.9&amp;sourceID=14","4.9")</f>
        <v>4.9</v>
      </c>
      <c r="G23" s="4" t="str">
        <f>HYPERLINK("http://141.218.60.56/~jnz1568/getInfo.php?workbook=14_04.xlsx&amp;sheet=U0&amp;row=23&amp;col=7&amp;number=0.0115&amp;sourceID=14","0.0115")</f>
        <v>0.0115</v>
      </c>
    </row>
    <row r="24" spans="1:7">
      <c r="A24" s="3">
        <v>14</v>
      </c>
      <c r="B24" s="3">
        <v>4</v>
      </c>
      <c r="C24" s="3">
        <v>1</v>
      </c>
      <c r="D24" s="3">
        <v>3</v>
      </c>
      <c r="E24" s="3">
        <v>1</v>
      </c>
      <c r="F24" s="4" t="str">
        <f>HYPERLINK("http://141.218.60.56/~jnz1568/getInfo.php?workbook=14_04.xlsx&amp;sheet=U0&amp;row=24&amp;col=6&amp;number=3&amp;sourceID=14","3")</f>
        <v>3</v>
      </c>
      <c r="G24" s="4" t="str">
        <f>HYPERLINK("http://141.218.60.56/~jnz1568/getInfo.php?workbook=14_04.xlsx&amp;sheet=U0&amp;row=24&amp;col=7&amp;number=0.0375&amp;sourceID=14","0.0375")</f>
        <v>0.0375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HYPERLINK("http://141.218.60.56/~jnz1568/getInfo.php?workbook=14_04.xlsx&amp;sheet=U0&amp;row=25&amp;col=6&amp;number=3.1&amp;sourceID=14","3.1")</f>
        <v>3.1</v>
      </c>
      <c r="G25" s="4" t="str">
        <f>HYPERLINK("http://141.218.60.56/~jnz1568/getInfo.php?workbook=14_04.xlsx&amp;sheet=U0&amp;row=25&amp;col=7&amp;number=0.0375&amp;sourceID=14","0.0375")</f>
        <v>0.0375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HYPERLINK("http://141.218.60.56/~jnz1568/getInfo.php?workbook=14_04.xlsx&amp;sheet=U0&amp;row=26&amp;col=6&amp;number=3.2&amp;sourceID=14","3.2")</f>
        <v>3.2</v>
      </c>
      <c r="G26" s="4" t="str">
        <f>HYPERLINK("http://141.218.60.56/~jnz1568/getInfo.php?workbook=14_04.xlsx&amp;sheet=U0&amp;row=26&amp;col=7&amp;number=0.0374&amp;sourceID=14","0.0374")</f>
        <v>0.0374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HYPERLINK("http://141.218.60.56/~jnz1568/getInfo.php?workbook=14_04.xlsx&amp;sheet=U0&amp;row=27&amp;col=6&amp;number=3.3&amp;sourceID=14","3.3")</f>
        <v>3.3</v>
      </c>
      <c r="G27" s="4" t="str">
        <f>HYPERLINK("http://141.218.60.56/~jnz1568/getInfo.php?workbook=14_04.xlsx&amp;sheet=U0&amp;row=27&amp;col=7&amp;number=0.0374&amp;sourceID=14","0.0374")</f>
        <v>0.0374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HYPERLINK("http://141.218.60.56/~jnz1568/getInfo.php?workbook=14_04.xlsx&amp;sheet=U0&amp;row=28&amp;col=6&amp;number=3.4&amp;sourceID=14","3.4")</f>
        <v>3.4</v>
      </c>
      <c r="G28" s="4" t="str">
        <f>HYPERLINK("http://141.218.60.56/~jnz1568/getInfo.php?workbook=14_04.xlsx&amp;sheet=U0&amp;row=28&amp;col=7&amp;number=0.0374&amp;sourceID=14","0.0374")</f>
        <v>0.0374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HYPERLINK("http://141.218.60.56/~jnz1568/getInfo.php?workbook=14_04.xlsx&amp;sheet=U0&amp;row=29&amp;col=6&amp;number=3.5&amp;sourceID=14","3.5")</f>
        <v>3.5</v>
      </c>
      <c r="G29" s="4" t="str">
        <f>HYPERLINK("http://141.218.60.56/~jnz1568/getInfo.php?workbook=14_04.xlsx&amp;sheet=U0&amp;row=29&amp;col=7&amp;number=0.0374&amp;sourceID=14","0.0374")</f>
        <v>0.0374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HYPERLINK("http://141.218.60.56/~jnz1568/getInfo.php?workbook=14_04.xlsx&amp;sheet=U0&amp;row=30&amp;col=6&amp;number=3.6&amp;sourceID=14","3.6")</f>
        <v>3.6</v>
      </c>
      <c r="G30" s="4" t="str">
        <f>HYPERLINK("http://141.218.60.56/~jnz1568/getInfo.php?workbook=14_04.xlsx&amp;sheet=U0&amp;row=30&amp;col=7&amp;number=0.0373&amp;sourceID=14","0.0373")</f>
        <v>0.0373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HYPERLINK("http://141.218.60.56/~jnz1568/getInfo.php?workbook=14_04.xlsx&amp;sheet=U0&amp;row=31&amp;col=6&amp;number=3.7&amp;sourceID=14","3.7")</f>
        <v>3.7</v>
      </c>
      <c r="G31" s="4" t="str">
        <f>HYPERLINK("http://141.218.60.56/~jnz1568/getInfo.php?workbook=14_04.xlsx&amp;sheet=U0&amp;row=31&amp;col=7&amp;number=0.0373&amp;sourceID=14","0.0373")</f>
        <v>0.0373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HYPERLINK("http://141.218.60.56/~jnz1568/getInfo.php?workbook=14_04.xlsx&amp;sheet=U0&amp;row=32&amp;col=6&amp;number=3.8&amp;sourceID=14","3.8")</f>
        <v>3.8</v>
      </c>
      <c r="G32" s="4" t="str">
        <f>HYPERLINK("http://141.218.60.56/~jnz1568/getInfo.php?workbook=14_04.xlsx&amp;sheet=U0&amp;row=32&amp;col=7&amp;number=0.0373&amp;sourceID=14","0.0373")</f>
        <v>0.0373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HYPERLINK("http://141.218.60.56/~jnz1568/getInfo.php?workbook=14_04.xlsx&amp;sheet=U0&amp;row=33&amp;col=6&amp;number=3.9&amp;sourceID=14","3.9")</f>
        <v>3.9</v>
      </c>
      <c r="G33" s="4" t="str">
        <f>HYPERLINK("http://141.218.60.56/~jnz1568/getInfo.php?workbook=14_04.xlsx&amp;sheet=U0&amp;row=33&amp;col=7&amp;number=0.0372&amp;sourceID=14","0.0372")</f>
        <v>0.0372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HYPERLINK("http://141.218.60.56/~jnz1568/getInfo.php?workbook=14_04.xlsx&amp;sheet=U0&amp;row=34&amp;col=6&amp;number=4&amp;sourceID=14","4")</f>
        <v>4</v>
      </c>
      <c r="G34" s="4" t="str">
        <f>HYPERLINK("http://141.218.60.56/~jnz1568/getInfo.php?workbook=14_04.xlsx&amp;sheet=U0&amp;row=34&amp;col=7&amp;number=0.0371&amp;sourceID=14","0.0371")</f>
        <v>0.0371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HYPERLINK("http://141.218.60.56/~jnz1568/getInfo.php?workbook=14_04.xlsx&amp;sheet=U0&amp;row=35&amp;col=6&amp;number=4.1&amp;sourceID=14","4.1")</f>
        <v>4.1</v>
      </c>
      <c r="G35" s="4" t="str">
        <f>HYPERLINK("http://141.218.60.56/~jnz1568/getInfo.php?workbook=14_04.xlsx&amp;sheet=U0&amp;row=35&amp;col=7&amp;number=0.037&amp;sourceID=14","0.037")</f>
        <v>0.037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HYPERLINK("http://141.218.60.56/~jnz1568/getInfo.php?workbook=14_04.xlsx&amp;sheet=U0&amp;row=36&amp;col=6&amp;number=4.2&amp;sourceID=14","4.2")</f>
        <v>4.2</v>
      </c>
      <c r="G36" s="4" t="str">
        <f>HYPERLINK("http://141.218.60.56/~jnz1568/getInfo.php?workbook=14_04.xlsx&amp;sheet=U0&amp;row=36&amp;col=7&amp;number=0.0369&amp;sourceID=14","0.0369")</f>
        <v>0.0369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HYPERLINK("http://141.218.60.56/~jnz1568/getInfo.php?workbook=14_04.xlsx&amp;sheet=U0&amp;row=37&amp;col=6&amp;number=4.3&amp;sourceID=14","4.3")</f>
        <v>4.3</v>
      </c>
      <c r="G37" s="4" t="str">
        <f>HYPERLINK("http://141.218.60.56/~jnz1568/getInfo.php?workbook=14_04.xlsx&amp;sheet=U0&amp;row=37&amp;col=7&amp;number=0.0367&amp;sourceID=14","0.0367")</f>
        <v>0.0367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HYPERLINK("http://141.218.60.56/~jnz1568/getInfo.php?workbook=14_04.xlsx&amp;sheet=U0&amp;row=38&amp;col=6&amp;number=4.4&amp;sourceID=14","4.4")</f>
        <v>4.4</v>
      </c>
      <c r="G38" s="4" t="str">
        <f>HYPERLINK("http://141.218.60.56/~jnz1568/getInfo.php?workbook=14_04.xlsx&amp;sheet=U0&amp;row=38&amp;col=7&amp;number=0.0365&amp;sourceID=14","0.0365")</f>
        <v>0.0365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HYPERLINK("http://141.218.60.56/~jnz1568/getInfo.php?workbook=14_04.xlsx&amp;sheet=U0&amp;row=39&amp;col=6&amp;number=4.5&amp;sourceID=14","4.5")</f>
        <v>4.5</v>
      </c>
      <c r="G39" s="4" t="str">
        <f>HYPERLINK("http://141.218.60.56/~jnz1568/getInfo.php?workbook=14_04.xlsx&amp;sheet=U0&amp;row=39&amp;col=7&amp;number=0.0363&amp;sourceID=14","0.0363")</f>
        <v>0.0363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HYPERLINK("http://141.218.60.56/~jnz1568/getInfo.php?workbook=14_04.xlsx&amp;sheet=U0&amp;row=40&amp;col=6&amp;number=4.6&amp;sourceID=14","4.6")</f>
        <v>4.6</v>
      </c>
      <c r="G40" s="4" t="str">
        <f>HYPERLINK("http://141.218.60.56/~jnz1568/getInfo.php?workbook=14_04.xlsx&amp;sheet=U0&amp;row=40&amp;col=7&amp;number=0.036&amp;sourceID=14","0.036")</f>
        <v>0.036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HYPERLINK("http://141.218.60.56/~jnz1568/getInfo.php?workbook=14_04.xlsx&amp;sheet=U0&amp;row=41&amp;col=6&amp;number=4.7&amp;sourceID=14","4.7")</f>
        <v>4.7</v>
      </c>
      <c r="G41" s="4" t="str">
        <f>HYPERLINK("http://141.218.60.56/~jnz1568/getInfo.php?workbook=14_04.xlsx&amp;sheet=U0&amp;row=41&amp;col=7&amp;number=0.0356&amp;sourceID=14","0.0356")</f>
        <v>0.0356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HYPERLINK("http://141.218.60.56/~jnz1568/getInfo.php?workbook=14_04.xlsx&amp;sheet=U0&amp;row=42&amp;col=6&amp;number=4.8&amp;sourceID=14","4.8")</f>
        <v>4.8</v>
      </c>
      <c r="G42" s="4" t="str">
        <f>HYPERLINK("http://141.218.60.56/~jnz1568/getInfo.php?workbook=14_04.xlsx&amp;sheet=U0&amp;row=42&amp;col=7&amp;number=0.0351&amp;sourceID=14","0.0351")</f>
        <v>0.0351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HYPERLINK("http://141.218.60.56/~jnz1568/getInfo.php?workbook=14_04.xlsx&amp;sheet=U0&amp;row=43&amp;col=6&amp;number=4.9&amp;sourceID=14","4.9")</f>
        <v>4.9</v>
      </c>
      <c r="G43" s="4" t="str">
        <f>HYPERLINK("http://141.218.60.56/~jnz1568/getInfo.php?workbook=14_04.xlsx&amp;sheet=U0&amp;row=43&amp;col=7&amp;number=0.0346&amp;sourceID=14","0.0346")</f>
        <v>0.0346</v>
      </c>
    </row>
    <row r="44" spans="1:7">
      <c r="A44" s="3">
        <v>14</v>
      </c>
      <c r="B44" s="3">
        <v>4</v>
      </c>
      <c r="C44" s="3">
        <v>1</v>
      </c>
      <c r="D44" s="3">
        <v>4</v>
      </c>
      <c r="E44" s="3">
        <v>1</v>
      </c>
      <c r="F44" s="4" t="str">
        <f>HYPERLINK("http://141.218.60.56/~jnz1568/getInfo.php?workbook=14_04.xlsx&amp;sheet=U0&amp;row=44&amp;col=6&amp;number=3&amp;sourceID=14","3")</f>
        <v>3</v>
      </c>
      <c r="G44" s="4" t="str">
        <f>HYPERLINK("http://141.218.60.56/~jnz1568/getInfo.php?workbook=14_04.xlsx&amp;sheet=U0&amp;row=44&amp;col=7&amp;number=0.0618&amp;sourceID=14","0.0618")</f>
        <v>0.0618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HYPERLINK("http://141.218.60.56/~jnz1568/getInfo.php?workbook=14_04.xlsx&amp;sheet=U0&amp;row=45&amp;col=6&amp;number=3.1&amp;sourceID=14","3.1")</f>
        <v>3.1</v>
      </c>
      <c r="G45" s="4" t="str">
        <f>HYPERLINK("http://141.218.60.56/~jnz1568/getInfo.php?workbook=14_04.xlsx&amp;sheet=U0&amp;row=45&amp;col=7&amp;number=0.0618&amp;sourceID=14","0.0618")</f>
        <v>0.0618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HYPERLINK("http://141.218.60.56/~jnz1568/getInfo.php?workbook=14_04.xlsx&amp;sheet=U0&amp;row=46&amp;col=6&amp;number=3.2&amp;sourceID=14","3.2")</f>
        <v>3.2</v>
      </c>
      <c r="G46" s="4" t="str">
        <f>HYPERLINK("http://141.218.60.56/~jnz1568/getInfo.php?workbook=14_04.xlsx&amp;sheet=U0&amp;row=46&amp;col=7&amp;number=0.0618&amp;sourceID=14","0.0618")</f>
        <v>0.0618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HYPERLINK("http://141.218.60.56/~jnz1568/getInfo.php?workbook=14_04.xlsx&amp;sheet=U0&amp;row=47&amp;col=6&amp;number=3.3&amp;sourceID=14","3.3")</f>
        <v>3.3</v>
      </c>
      <c r="G47" s="4" t="str">
        <f>HYPERLINK("http://141.218.60.56/~jnz1568/getInfo.php?workbook=14_04.xlsx&amp;sheet=U0&amp;row=47&amp;col=7&amp;number=0.0618&amp;sourceID=14","0.0618")</f>
        <v>0.0618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HYPERLINK("http://141.218.60.56/~jnz1568/getInfo.php?workbook=14_04.xlsx&amp;sheet=U0&amp;row=48&amp;col=6&amp;number=3.4&amp;sourceID=14","3.4")</f>
        <v>3.4</v>
      </c>
      <c r="G48" s="4" t="str">
        <f>HYPERLINK("http://141.218.60.56/~jnz1568/getInfo.php?workbook=14_04.xlsx&amp;sheet=U0&amp;row=48&amp;col=7&amp;number=0.0617&amp;sourceID=14","0.0617")</f>
        <v>0.0617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HYPERLINK("http://141.218.60.56/~jnz1568/getInfo.php?workbook=14_04.xlsx&amp;sheet=U0&amp;row=49&amp;col=6&amp;number=3.5&amp;sourceID=14","3.5")</f>
        <v>3.5</v>
      </c>
      <c r="G49" s="4" t="str">
        <f>HYPERLINK("http://141.218.60.56/~jnz1568/getInfo.php?workbook=14_04.xlsx&amp;sheet=U0&amp;row=49&amp;col=7&amp;number=0.0617&amp;sourceID=14","0.0617")</f>
        <v>0.0617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HYPERLINK("http://141.218.60.56/~jnz1568/getInfo.php?workbook=14_04.xlsx&amp;sheet=U0&amp;row=50&amp;col=6&amp;number=3.6&amp;sourceID=14","3.6")</f>
        <v>3.6</v>
      </c>
      <c r="G50" s="4" t="str">
        <f>HYPERLINK("http://141.218.60.56/~jnz1568/getInfo.php?workbook=14_04.xlsx&amp;sheet=U0&amp;row=50&amp;col=7&amp;number=0.0616&amp;sourceID=14","0.0616")</f>
        <v>0.0616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HYPERLINK("http://141.218.60.56/~jnz1568/getInfo.php?workbook=14_04.xlsx&amp;sheet=U0&amp;row=51&amp;col=6&amp;number=3.7&amp;sourceID=14","3.7")</f>
        <v>3.7</v>
      </c>
      <c r="G51" s="4" t="str">
        <f>HYPERLINK("http://141.218.60.56/~jnz1568/getInfo.php?workbook=14_04.xlsx&amp;sheet=U0&amp;row=51&amp;col=7&amp;number=0.0616&amp;sourceID=14","0.0616")</f>
        <v>0.0616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HYPERLINK("http://141.218.60.56/~jnz1568/getInfo.php?workbook=14_04.xlsx&amp;sheet=U0&amp;row=52&amp;col=6&amp;number=3.8&amp;sourceID=14","3.8")</f>
        <v>3.8</v>
      </c>
      <c r="G52" s="4" t="str">
        <f>HYPERLINK("http://141.218.60.56/~jnz1568/getInfo.php?workbook=14_04.xlsx&amp;sheet=U0&amp;row=52&amp;col=7&amp;number=0.0615&amp;sourceID=14","0.0615")</f>
        <v>0.0615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HYPERLINK("http://141.218.60.56/~jnz1568/getInfo.php?workbook=14_04.xlsx&amp;sheet=U0&amp;row=53&amp;col=6&amp;number=3.9&amp;sourceID=14","3.9")</f>
        <v>3.9</v>
      </c>
      <c r="G53" s="4" t="str">
        <f>HYPERLINK("http://141.218.60.56/~jnz1568/getInfo.php?workbook=14_04.xlsx&amp;sheet=U0&amp;row=53&amp;col=7&amp;number=0.0614&amp;sourceID=14","0.0614")</f>
        <v>0.0614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HYPERLINK("http://141.218.60.56/~jnz1568/getInfo.php?workbook=14_04.xlsx&amp;sheet=U0&amp;row=54&amp;col=6&amp;number=4&amp;sourceID=14","4")</f>
        <v>4</v>
      </c>
      <c r="G54" s="4" t="str">
        <f>HYPERLINK("http://141.218.60.56/~jnz1568/getInfo.php?workbook=14_04.xlsx&amp;sheet=U0&amp;row=54&amp;col=7&amp;number=0.0613&amp;sourceID=14","0.0613")</f>
        <v>0.0613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HYPERLINK("http://141.218.60.56/~jnz1568/getInfo.php?workbook=14_04.xlsx&amp;sheet=U0&amp;row=55&amp;col=6&amp;number=4.1&amp;sourceID=14","4.1")</f>
        <v>4.1</v>
      </c>
      <c r="G55" s="4" t="str">
        <f>HYPERLINK("http://141.218.60.56/~jnz1568/getInfo.php?workbook=14_04.xlsx&amp;sheet=U0&amp;row=55&amp;col=7&amp;number=0.0611&amp;sourceID=14","0.0611")</f>
        <v>0.0611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HYPERLINK("http://141.218.60.56/~jnz1568/getInfo.php?workbook=14_04.xlsx&amp;sheet=U0&amp;row=56&amp;col=6&amp;number=4.2&amp;sourceID=14","4.2")</f>
        <v>4.2</v>
      </c>
      <c r="G56" s="4" t="str">
        <f>HYPERLINK("http://141.218.60.56/~jnz1568/getInfo.php?workbook=14_04.xlsx&amp;sheet=U0&amp;row=56&amp;col=7&amp;number=0.0609&amp;sourceID=14","0.0609")</f>
        <v>0.0609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HYPERLINK("http://141.218.60.56/~jnz1568/getInfo.php?workbook=14_04.xlsx&amp;sheet=U0&amp;row=57&amp;col=6&amp;number=4.3&amp;sourceID=14","4.3")</f>
        <v>4.3</v>
      </c>
      <c r="G57" s="4" t="str">
        <f>HYPERLINK("http://141.218.60.56/~jnz1568/getInfo.php?workbook=14_04.xlsx&amp;sheet=U0&amp;row=57&amp;col=7&amp;number=0.0607&amp;sourceID=14","0.0607")</f>
        <v>0.0607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HYPERLINK("http://141.218.60.56/~jnz1568/getInfo.php?workbook=14_04.xlsx&amp;sheet=U0&amp;row=58&amp;col=6&amp;number=4.4&amp;sourceID=14","4.4")</f>
        <v>4.4</v>
      </c>
      <c r="G58" s="4" t="str">
        <f>HYPERLINK("http://141.218.60.56/~jnz1568/getInfo.php?workbook=14_04.xlsx&amp;sheet=U0&amp;row=58&amp;col=7&amp;number=0.0604&amp;sourceID=14","0.0604")</f>
        <v>0.0604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HYPERLINK("http://141.218.60.56/~jnz1568/getInfo.php?workbook=14_04.xlsx&amp;sheet=U0&amp;row=59&amp;col=6&amp;number=4.5&amp;sourceID=14","4.5")</f>
        <v>4.5</v>
      </c>
      <c r="G59" s="4" t="str">
        <f>HYPERLINK("http://141.218.60.56/~jnz1568/getInfo.php?workbook=14_04.xlsx&amp;sheet=U0&amp;row=59&amp;col=7&amp;number=0.06&amp;sourceID=14","0.06")</f>
        <v>0.06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HYPERLINK("http://141.218.60.56/~jnz1568/getInfo.php?workbook=14_04.xlsx&amp;sheet=U0&amp;row=60&amp;col=6&amp;number=4.6&amp;sourceID=14","4.6")</f>
        <v>4.6</v>
      </c>
      <c r="G60" s="4" t="str">
        <f>HYPERLINK("http://141.218.60.56/~jnz1568/getInfo.php?workbook=14_04.xlsx&amp;sheet=U0&amp;row=60&amp;col=7&amp;number=0.0595&amp;sourceID=14","0.0595")</f>
        <v>0.0595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HYPERLINK("http://141.218.60.56/~jnz1568/getInfo.php?workbook=14_04.xlsx&amp;sheet=U0&amp;row=61&amp;col=6&amp;number=4.7&amp;sourceID=14","4.7")</f>
        <v>4.7</v>
      </c>
      <c r="G61" s="4" t="str">
        <f>HYPERLINK("http://141.218.60.56/~jnz1568/getInfo.php?workbook=14_04.xlsx&amp;sheet=U0&amp;row=61&amp;col=7&amp;number=0.059&amp;sourceID=14","0.059")</f>
        <v>0.059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HYPERLINK("http://141.218.60.56/~jnz1568/getInfo.php?workbook=14_04.xlsx&amp;sheet=U0&amp;row=62&amp;col=6&amp;number=4.8&amp;sourceID=14","4.8")</f>
        <v>4.8</v>
      </c>
      <c r="G62" s="4" t="str">
        <f>HYPERLINK("http://141.218.60.56/~jnz1568/getInfo.php?workbook=14_04.xlsx&amp;sheet=U0&amp;row=62&amp;col=7&amp;number=0.0582&amp;sourceID=14","0.0582")</f>
        <v>0.0582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HYPERLINK("http://141.218.60.56/~jnz1568/getInfo.php?workbook=14_04.xlsx&amp;sheet=U0&amp;row=63&amp;col=6&amp;number=4.9&amp;sourceID=14","4.9")</f>
        <v>4.9</v>
      </c>
      <c r="G63" s="4" t="str">
        <f>HYPERLINK("http://141.218.60.56/~jnz1568/getInfo.php?workbook=14_04.xlsx&amp;sheet=U0&amp;row=63&amp;col=7&amp;number=0.0573&amp;sourceID=14","0.0573")</f>
        <v>0.0573</v>
      </c>
    </row>
    <row r="64" spans="1:7">
      <c r="A64" s="3">
        <v>14</v>
      </c>
      <c r="B64" s="3">
        <v>4</v>
      </c>
      <c r="C64" s="3">
        <v>1</v>
      </c>
      <c r="D64" s="3">
        <v>5</v>
      </c>
      <c r="E64" s="3">
        <v>1</v>
      </c>
      <c r="F64" s="4" t="str">
        <f>HYPERLINK("http://141.218.60.56/~jnz1568/getInfo.php?workbook=14_04.xlsx&amp;sheet=U0&amp;row=64&amp;col=6&amp;number=3&amp;sourceID=14","3")</f>
        <v>3</v>
      </c>
      <c r="G64" s="4" t="str">
        <f>HYPERLINK("http://141.218.60.56/~jnz1568/getInfo.php?workbook=14_04.xlsx&amp;sheet=U0&amp;row=64&amp;col=7&amp;number=0.968&amp;sourceID=14","0.968")</f>
        <v>0.968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HYPERLINK("http://141.218.60.56/~jnz1568/getInfo.php?workbook=14_04.xlsx&amp;sheet=U0&amp;row=65&amp;col=6&amp;number=3.1&amp;sourceID=14","3.1")</f>
        <v>3.1</v>
      </c>
      <c r="G65" s="4" t="str">
        <f>HYPERLINK("http://141.218.60.56/~jnz1568/getInfo.php?workbook=14_04.xlsx&amp;sheet=U0&amp;row=65&amp;col=7&amp;number=0.968&amp;sourceID=14","0.968")</f>
        <v>0.968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HYPERLINK("http://141.218.60.56/~jnz1568/getInfo.php?workbook=14_04.xlsx&amp;sheet=U0&amp;row=66&amp;col=6&amp;number=3.2&amp;sourceID=14","3.2")</f>
        <v>3.2</v>
      </c>
      <c r="G66" s="4" t="str">
        <f>HYPERLINK("http://141.218.60.56/~jnz1568/getInfo.php?workbook=14_04.xlsx&amp;sheet=U0&amp;row=66&amp;col=7&amp;number=0.968&amp;sourceID=14","0.968")</f>
        <v>0.968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HYPERLINK("http://141.218.60.56/~jnz1568/getInfo.php?workbook=14_04.xlsx&amp;sheet=U0&amp;row=67&amp;col=6&amp;number=3.3&amp;sourceID=14","3.3")</f>
        <v>3.3</v>
      </c>
      <c r="G67" s="4" t="str">
        <f>HYPERLINK("http://141.218.60.56/~jnz1568/getInfo.php?workbook=14_04.xlsx&amp;sheet=U0&amp;row=67&amp;col=7&amp;number=0.968&amp;sourceID=14","0.968")</f>
        <v>0.968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HYPERLINK("http://141.218.60.56/~jnz1568/getInfo.php?workbook=14_04.xlsx&amp;sheet=U0&amp;row=68&amp;col=6&amp;number=3.4&amp;sourceID=14","3.4")</f>
        <v>3.4</v>
      </c>
      <c r="G68" s="4" t="str">
        <f>HYPERLINK("http://141.218.60.56/~jnz1568/getInfo.php?workbook=14_04.xlsx&amp;sheet=U0&amp;row=68&amp;col=7&amp;number=0.968&amp;sourceID=14","0.968")</f>
        <v>0.968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HYPERLINK("http://141.218.60.56/~jnz1568/getInfo.php?workbook=14_04.xlsx&amp;sheet=U0&amp;row=69&amp;col=6&amp;number=3.5&amp;sourceID=14","3.5")</f>
        <v>3.5</v>
      </c>
      <c r="G69" s="4" t="str">
        <f>HYPERLINK("http://141.218.60.56/~jnz1568/getInfo.php?workbook=14_04.xlsx&amp;sheet=U0&amp;row=69&amp;col=7&amp;number=0.968&amp;sourceID=14","0.968")</f>
        <v>0.968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HYPERLINK("http://141.218.60.56/~jnz1568/getInfo.php?workbook=14_04.xlsx&amp;sheet=U0&amp;row=70&amp;col=6&amp;number=3.6&amp;sourceID=14","3.6")</f>
        <v>3.6</v>
      </c>
      <c r="G70" s="4" t="str">
        <f>HYPERLINK("http://141.218.60.56/~jnz1568/getInfo.php?workbook=14_04.xlsx&amp;sheet=U0&amp;row=70&amp;col=7&amp;number=0.968&amp;sourceID=14","0.968")</f>
        <v>0.968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HYPERLINK("http://141.218.60.56/~jnz1568/getInfo.php?workbook=14_04.xlsx&amp;sheet=U0&amp;row=71&amp;col=6&amp;number=3.7&amp;sourceID=14","3.7")</f>
        <v>3.7</v>
      </c>
      <c r="G71" s="4" t="str">
        <f>HYPERLINK("http://141.218.60.56/~jnz1568/getInfo.php?workbook=14_04.xlsx&amp;sheet=U0&amp;row=71&amp;col=7&amp;number=0.969&amp;sourceID=14","0.969")</f>
        <v>0.969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HYPERLINK("http://141.218.60.56/~jnz1568/getInfo.php?workbook=14_04.xlsx&amp;sheet=U0&amp;row=72&amp;col=6&amp;number=3.8&amp;sourceID=14","3.8")</f>
        <v>3.8</v>
      </c>
      <c r="G72" s="4" t="str">
        <f>HYPERLINK("http://141.218.60.56/~jnz1568/getInfo.php?workbook=14_04.xlsx&amp;sheet=U0&amp;row=72&amp;col=7&amp;number=0.969&amp;sourceID=14","0.969")</f>
        <v>0.969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HYPERLINK("http://141.218.60.56/~jnz1568/getInfo.php?workbook=14_04.xlsx&amp;sheet=U0&amp;row=73&amp;col=6&amp;number=3.9&amp;sourceID=14","3.9")</f>
        <v>3.9</v>
      </c>
      <c r="G73" s="4" t="str">
        <f>HYPERLINK("http://141.218.60.56/~jnz1568/getInfo.php?workbook=14_04.xlsx&amp;sheet=U0&amp;row=73&amp;col=7&amp;number=0.97&amp;sourceID=14","0.97")</f>
        <v>0.97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HYPERLINK("http://141.218.60.56/~jnz1568/getInfo.php?workbook=14_04.xlsx&amp;sheet=U0&amp;row=74&amp;col=6&amp;number=4&amp;sourceID=14","4")</f>
        <v>4</v>
      </c>
      <c r="G74" s="4" t="str">
        <f>HYPERLINK("http://141.218.60.56/~jnz1568/getInfo.php?workbook=14_04.xlsx&amp;sheet=U0&amp;row=74&amp;col=7&amp;number=0.97&amp;sourceID=14","0.97")</f>
        <v>0.97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HYPERLINK("http://141.218.60.56/~jnz1568/getInfo.php?workbook=14_04.xlsx&amp;sheet=U0&amp;row=75&amp;col=6&amp;number=4.1&amp;sourceID=14","4.1")</f>
        <v>4.1</v>
      </c>
      <c r="G75" s="4" t="str">
        <f>HYPERLINK("http://141.218.60.56/~jnz1568/getInfo.php?workbook=14_04.xlsx&amp;sheet=U0&amp;row=75&amp;col=7&amp;number=0.971&amp;sourceID=14","0.971")</f>
        <v>0.971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HYPERLINK("http://141.218.60.56/~jnz1568/getInfo.php?workbook=14_04.xlsx&amp;sheet=U0&amp;row=76&amp;col=6&amp;number=4.2&amp;sourceID=14","4.2")</f>
        <v>4.2</v>
      </c>
      <c r="G76" s="4" t="str">
        <f>HYPERLINK("http://141.218.60.56/~jnz1568/getInfo.php?workbook=14_04.xlsx&amp;sheet=U0&amp;row=76&amp;col=7&amp;number=0.972&amp;sourceID=14","0.972")</f>
        <v>0.972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HYPERLINK("http://141.218.60.56/~jnz1568/getInfo.php?workbook=14_04.xlsx&amp;sheet=U0&amp;row=77&amp;col=6&amp;number=4.3&amp;sourceID=14","4.3")</f>
        <v>4.3</v>
      </c>
      <c r="G77" s="4" t="str">
        <f>HYPERLINK("http://141.218.60.56/~jnz1568/getInfo.php?workbook=14_04.xlsx&amp;sheet=U0&amp;row=77&amp;col=7&amp;number=0.973&amp;sourceID=14","0.973")</f>
        <v>0.973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HYPERLINK("http://141.218.60.56/~jnz1568/getInfo.php?workbook=14_04.xlsx&amp;sheet=U0&amp;row=78&amp;col=6&amp;number=4.4&amp;sourceID=14","4.4")</f>
        <v>4.4</v>
      </c>
      <c r="G78" s="4" t="str">
        <f>HYPERLINK("http://141.218.60.56/~jnz1568/getInfo.php?workbook=14_04.xlsx&amp;sheet=U0&amp;row=78&amp;col=7&amp;number=0.974&amp;sourceID=14","0.974")</f>
        <v>0.974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HYPERLINK("http://141.218.60.56/~jnz1568/getInfo.php?workbook=14_04.xlsx&amp;sheet=U0&amp;row=79&amp;col=6&amp;number=4.5&amp;sourceID=14","4.5")</f>
        <v>4.5</v>
      </c>
      <c r="G79" s="4" t="str">
        <f>HYPERLINK("http://141.218.60.56/~jnz1568/getInfo.php?workbook=14_04.xlsx&amp;sheet=U0&amp;row=79&amp;col=7&amp;number=0.976&amp;sourceID=14","0.976")</f>
        <v>0.976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HYPERLINK("http://141.218.60.56/~jnz1568/getInfo.php?workbook=14_04.xlsx&amp;sheet=U0&amp;row=80&amp;col=6&amp;number=4.6&amp;sourceID=14","4.6")</f>
        <v>4.6</v>
      </c>
      <c r="G80" s="4" t="str">
        <f>HYPERLINK("http://141.218.60.56/~jnz1568/getInfo.php?workbook=14_04.xlsx&amp;sheet=U0&amp;row=80&amp;col=7&amp;number=0.978&amp;sourceID=14","0.978")</f>
        <v>0.978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HYPERLINK("http://141.218.60.56/~jnz1568/getInfo.php?workbook=14_04.xlsx&amp;sheet=U0&amp;row=81&amp;col=6&amp;number=4.7&amp;sourceID=14","4.7")</f>
        <v>4.7</v>
      </c>
      <c r="G81" s="4" t="str">
        <f>HYPERLINK("http://141.218.60.56/~jnz1568/getInfo.php?workbook=14_04.xlsx&amp;sheet=U0&amp;row=81&amp;col=7&amp;number=0.981&amp;sourceID=14","0.981")</f>
        <v>0.981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HYPERLINK("http://141.218.60.56/~jnz1568/getInfo.php?workbook=14_04.xlsx&amp;sheet=U0&amp;row=82&amp;col=6&amp;number=4.8&amp;sourceID=14","4.8")</f>
        <v>4.8</v>
      </c>
      <c r="G82" s="4" t="str">
        <f>HYPERLINK("http://141.218.60.56/~jnz1568/getInfo.php?workbook=14_04.xlsx&amp;sheet=U0&amp;row=82&amp;col=7&amp;number=0.984&amp;sourceID=14","0.984")</f>
        <v>0.984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HYPERLINK("http://141.218.60.56/~jnz1568/getInfo.php?workbook=14_04.xlsx&amp;sheet=U0&amp;row=83&amp;col=6&amp;number=4.9&amp;sourceID=14","4.9")</f>
        <v>4.9</v>
      </c>
      <c r="G83" s="4" t="str">
        <f>HYPERLINK("http://141.218.60.56/~jnz1568/getInfo.php?workbook=14_04.xlsx&amp;sheet=U0&amp;row=83&amp;col=7&amp;number=0.989&amp;sourceID=14","0.989")</f>
        <v>0.989</v>
      </c>
    </row>
    <row r="84" spans="1:7">
      <c r="A84" s="3">
        <v>14</v>
      </c>
      <c r="B84" s="3">
        <v>4</v>
      </c>
      <c r="C84" s="3">
        <v>1</v>
      </c>
      <c r="D84" s="3">
        <v>6</v>
      </c>
      <c r="E84" s="3">
        <v>1</v>
      </c>
      <c r="F84" s="4" t="str">
        <f>HYPERLINK("http://141.218.60.56/~jnz1568/getInfo.php?workbook=14_04.xlsx&amp;sheet=U0&amp;row=84&amp;col=6&amp;number=3&amp;sourceID=14","3")</f>
        <v>3</v>
      </c>
      <c r="G84" s="4" t="str">
        <f>HYPERLINK("http://141.218.60.56/~jnz1568/getInfo.php?workbook=14_04.xlsx&amp;sheet=U0&amp;row=84&amp;col=7&amp;number=0.000257&amp;sourceID=14","0.000257")</f>
        <v>0.000257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HYPERLINK("http://141.218.60.56/~jnz1568/getInfo.php?workbook=14_04.xlsx&amp;sheet=U0&amp;row=85&amp;col=6&amp;number=3.1&amp;sourceID=14","3.1")</f>
        <v>3.1</v>
      </c>
      <c r="G85" s="4" t="str">
        <f>HYPERLINK("http://141.218.60.56/~jnz1568/getInfo.php?workbook=14_04.xlsx&amp;sheet=U0&amp;row=85&amp;col=7&amp;number=0.000256&amp;sourceID=14","0.000256")</f>
        <v>0.000256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HYPERLINK("http://141.218.60.56/~jnz1568/getInfo.php?workbook=14_04.xlsx&amp;sheet=U0&amp;row=86&amp;col=6&amp;number=3.2&amp;sourceID=14","3.2")</f>
        <v>3.2</v>
      </c>
      <c r="G86" s="4" t="str">
        <f>HYPERLINK("http://141.218.60.56/~jnz1568/getInfo.php?workbook=14_04.xlsx&amp;sheet=U0&amp;row=86&amp;col=7&amp;number=0.000256&amp;sourceID=14","0.000256")</f>
        <v>0.000256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HYPERLINK("http://141.218.60.56/~jnz1568/getInfo.php?workbook=14_04.xlsx&amp;sheet=U0&amp;row=87&amp;col=6&amp;number=3.3&amp;sourceID=14","3.3")</f>
        <v>3.3</v>
      </c>
      <c r="G87" s="4" t="str">
        <f>HYPERLINK("http://141.218.60.56/~jnz1568/getInfo.php?workbook=14_04.xlsx&amp;sheet=U0&amp;row=87&amp;col=7&amp;number=0.000256&amp;sourceID=14","0.000256")</f>
        <v>0.000256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HYPERLINK("http://141.218.60.56/~jnz1568/getInfo.php?workbook=14_04.xlsx&amp;sheet=U0&amp;row=88&amp;col=6&amp;number=3.4&amp;sourceID=14","3.4")</f>
        <v>3.4</v>
      </c>
      <c r="G88" s="4" t="str">
        <f>HYPERLINK("http://141.218.60.56/~jnz1568/getInfo.php?workbook=14_04.xlsx&amp;sheet=U0&amp;row=88&amp;col=7&amp;number=0.000256&amp;sourceID=14","0.000256")</f>
        <v>0.000256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HYPERLINK("http://141.218.60.56/~jnz1568/getInfo.php?workbook=14_04.xlsx&amp;sheet=U0&amp;row=89&amp;col=6&amp;number=3.5&amp;sourceID=14","3.5")</f>
        <v>3.5</v>
      </c>
      <c r="G89" s="4" t="str">
        <f>HYPERLINK("http://141.218.60.56/~jnz1568/getInfo.php?workbook=14_04.xlsx&amp;sheet=U0&amp;row=89&amp;col=7&amp;number=0.000256&amp;sourceID=14","0.000256")</f>
        <v>0.000256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HYPERLINK("http://141.218.60.56/~jnz1568/getInfo.php?workbook=14_04.xlsx&amp;sheet=U0&amp;row=90&amp;col=6&amp;number=3.6&amp;sourceID=14","3.6")</f>
        <v>3.6</v>
      </c>
      <c r="G90" s="4" t="str">
        <f>HYPERLINK("http://141.218.60.56/~jnz1568/getInfo.php?workbook=14_04.xlsx&amp;sheet=U0&amp;row=90&amp;col=7&amp;number=0.000256&amp;sourceID=14","0.000256")</f>
        <v>0.000256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HYPERLINK("http://141.218.60.56/~jnz1568/getInfo.php?workbook=14_04.xlsx&amp;sheet=U0&amp;row=91&amp;col=6&amp;number=3.7&amp;sourceID=14","3.7")</f>
        <v>3.7</v>
      </c>
      <c r="G91" s="4" t="str">
        <f>HYPERLINK("http://141.218.60.56/~jnz1568/getInfo.php?workbook=14_04.xlsx&amp;sheet=U0&amp;row=91&amp;col=7&amp;number=0.000256&amp;sourceID=14","0.000256")</f>
        <v>0.000256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HYPERLINK("http://141.218.60.56/~jnz1568/getInfo.php?workbook=14_04.xlsx&amp;sheet=U0&amp;row=92&amp;col=6&amp;number=3.8&amp;sourceID=14","3.8")</f>
        <v>3.8</v>
      </c>
      <c r="G92" s="4" t="str">
        <f>HYPERLINK("http://141.218.60.56/~jnz1568/getInfo.php?workbook=14_04.xlsx&amp;sheet=U0&amp;row=92&amp;col=7&amp;number=0.000256&amp;sourceID=14","0.000256")</f>
        <v>0.000256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HYPERLINK("http://141.218.60.56/~jnz1568/getInfo.php?workbook=14_04.xlsx&amp;sheet=U0&amp;row=93&amp;col=6&amp;number=3.9&amp;sourceID=14","3.9")</f>
        <v>3.9</v>
      </c>
      <c r="G93" s="4" t="str">
        <f>HYPERLINK("http://141.218.60.56/~jnz1568/getInfo.php?workbook=14_04.xlsx&amp;sheet=U0&amp;row=93&amp;col=7&amp;number=0.000255&amp;sourceID=14","0.000255")</f>
        <v>0.000255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HYPERLINK("http://141.218.60.56/~jnz1568/getInfo.php?workbook=14_04.xlsx&amp;sheet=U0&amp;row=94&amp;col=6&amp;number=4&amp;sourceID=14","4")</f>
        <v>4</v>
      </c>
      <c r="G94" s="4" t="str">
        <f>HYPERLINK("http://141.218.60.56/~jnz1568/getInfo.php?workbook=14_04.xlsx&amp;sheet=U0&amp;row=94&amp;col=7&amp;number=0.000255&amp;sourceID=14","0.000255")</f>
        <v>0.000255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HYPERLINK("http://141.218.60.56/~jnz1568/getInfo.php?workbook=14_04.xlsx&amp;sheet=U0&amp;row=95&amp;col=6&amp;number=4.1&amp;sourceID=14","4.1")</f>
        <v>4.1</v>
      </c>
      <c r="G95" s="4" t="str">
        <f>HYPERLINK("http://141.218.60.56/~jnz1568/getInfo.php?workbook=14_04.xlsx&amp;sheet=U0&amp;row=95&amp;col=7&amp;number=0.000255&amp;sourceID=14","0.000255")</f>
        <v>0.000255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HYPERLINK("http://141.218.60.56/~jnz1568/getInfo.php?workbook=14_04.xlsx&amp;sheet=U0&amp;row=96&amp;col=6&amp;number=4.2&amp;sourceID=14","4.2")</f>
        <v>4.2</v>
      </c>
      <c r="G96" s="4" t="str">
        <f>HYPERLINK("http://141.218.60.56/~jnz1568/getInfo.php?workbook=14_04.xlsx&amp;sheet=U0&amp;row=96&amp;col=7&amp;number=0.000254&amp;sourceID=14","0.000254")</f>
        <v>0.000254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HYPERLINK("http://141.218.60.56/~jnz1568/getInfo.php?workbook=14_04.xlsx&amp;sheet=U0&amp;row=97&amp;col=6&amp;number=4.3&amp;sourceID=14","4.3")</f>
        <v>4.3</v>
      </c>
      <c r="G97" s="4" t="str">
        <f>HYPERLINK("http://141.218.60.56/~jnz1568/getInfo.php?workbook=14_04.xlsx&amp;sheet=U0&amp;row=97&amp;col=7&amp;number=0.000254&amp;sourceID=14","0.000254")</f>
        <v>0.000254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HYPERLINK("http://141.218.60.56/~jnz1568/getInfo.php?workbook=14_04.xlsx&amp;sheet=U0&amp;row=98&amp;col=6&amp;number=4.4&amp;sourceID=14","4.4")</f>
        <v>4.4</v>
      </c>
      <c r="G98" s="4" t="str">
        <f>HYPERLINK("http://141.218.60.56/~jnz1568/getInfo.php?workbook=14_04.xlsx&amp;sheet=U0&amp;row=98&amp;col=7&amp;number=0.000253&amp;sourceID=14","0.000253")</f>
        <v>0.000253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HYPERLINK("http://141.218.60.56/~jnz1568/getInfo.php?workbook=14_04.xlsx&amp;sheet=U0&amp;row=99&amp;col=6&amp;number=4.5&amp;sourceID=14","4.5")</f>
        <v>4.5</v>
      </c>
      <c r="G99" s="4" t="str">
        <f>HYPERLINK("http://141.218.60.56/~jnz1568/getInfo.php?workbook=14_04.xlsx&amp;sheet=U0&amp;row=99&amp;col=7&amp;number=0.000252&amp;sourceID=14","0.000252")</f>
        <v>0.000252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HYPERLINK("http://141.218.60.56/~jnz1568/getInfo.php?workbook=14_04.xlsx&amp;sheet=U0&amp;row=100&amp;col=6&amp;number=4.6&amp;sourceID=14","4.6")</f>
        <v>4.6</v>
      </c>
      <c r="G100" s="4" t="str">
        <f>HYPERLINK("http://141.218.60.56/~jnz1568/getInfo.php?workbook=14_04.xlsx&amp;sheet=U0&amp;row=100&amp;col=7&amp;number=0.00025&amp;sourceID=14","0.00025")</f>
        <v>0.00025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HYPERLINK("http://141.218.60.56/~jnz1568/getInfo.php?workbook=14_04.xlsx&amp;sheet=U0&amp;row=101&amp;col=6&amp;number=4.7&amp;sourceID=14","4.7")</f>
        <v>4.7</v>
      </c>
      <c r="G101" s="4" t="str">
        <f>HYPERLINK("http://141.218.60.56/~jnz1568/getInfo.php?workbook=14_04.xlsx&amp;sheet=U0&amp;row=101&amp;col=7&amp;number=0.000249&amp;sourceID=14","0.000249")</f>
        <v>0.000249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HYPERLINK("http://141.218.60.56/~jnz1568/getInfo.php?workbook=14_04.xlsx&amp;sheet=U0&amp;row=102&amp;col=6&amp;number=4.8&amp;sourceID=14","4.8")</f>
        <v>4.8</v>
      </c>
      <c r="G102" s="4" t="str">
        <f>HYPERLINK("http://141.218.60.56/~jnz1568/getInfo.php?workbook=14_04.xlsx&amp;sheet=U0&amp;row=102&amp;col=7&amp;number=0.000247&amp;sourceID=14","0.000247")</f>
        <v>0.000247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HYPERLINK("http://141.218.60.56/~jnz1568/getInfo.php?workbook=14_04.xlsx&amp;sheet=U0&amp;row=103&amp;col=6&amp;number=4.9&amp;sourceID=14","4.9")</f>
        <v>4.9</v>
      </c>
      <c r="G103" s="4" t="str">
        <f>HYPERLINK("http://141.218.60.56/~jnz1568/getInfo.php?workbook=14_04.xlsx&amp;sheet=U0&amp;row=103&amp;col=7&amp;number=0.000245&amp;sourceID=14","0.000245")</f>
        <v>0.000245</v>
      </c>
    </row>
    <row r="104" spans="1:7">
      <c r="A104" s="3">
        <v>14</v>
      </c>
      <c r="B104" s="3">
        <v>4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HYPERLINK("http://141.218.60.56/~jnz1568/getInfo.php?workbook=14_04.xlsx&amp;sheet=U0&amp;row=104&amp;col=6&amp;number=3&amp;sourceID=14","3")</f>
        <v>3</v>
      </c>
      <c r="G104" s="4" t="str">
        <f>HYPERLINK("http://141.218.60.56/~jnz1568/getInfo.php?workbook=14_04.xlsx&amp;sheet=U0&amp;row=104&amp;col=7&amp;number=0.00077&amp;sourceID=14","0.00077")</f>
        <v>0.00077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HYPERLINK("http://141.218.60.56/~jnz1568/getInfo.php?workbook=14_04.xlsx&amp;sheet=U0&amp;row=105&amp;col=6&amp;number=3.1&amp;sourceID=14","3.1")</f>
        <v>3.1</v>
      </c>
      <c r="G105" s="4" t="str">
        <f>HYPERLINK("http://141.218.60.56/~jnz1568/getInfo.php?workbook=14_04.xlsx&amp;sheet=U0&amp;row=105&amp;col=7&amp;number=0.00077&amp;sourceID=14","0.00077")</f>
        <v>0.00077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HYPERLINK("http://141.218.60.56/~jnz1568/getInfo.php?workbook=14_04.xlsx&amp;sheet=U0&amp;row=106&amp;col=6&amp;number=3.2&amp;sourceID=14","3.2")</f>
        <v>3.2</v>
      </c>
      <c r="G106" s="4" t="str">
        <f>HYPERLINK("http://141.218.60.56/~jnz1568/getInfo.php?workbook=14_04.xlsx&amp;sheet=U0&amp;row=106&amp;col=7&amp;number=0.00077&amp;sourceID=14","0.00077")</f>
        <v>0.00077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HYPERLINK("http://141.218.60.56/~jnz1568/getInfo.php?workbook=14_04.xlsx&amp;sheet=U0&amp;row=107&amp;col=6&amp;number=3.3&amp;sourceID=14","3.3")</f>
        <v>3.3</v>
      </c>
      <c r="G107" s="4" t="str">
        <f>HYPERLINK("http://141.218.60.56/~jnz1568/getInfo.php?workbook=14_04.xlsx&amp;sheet=U0&amp;row=107&amp;col=7&amp;number=0.00077&amp;sourceID=14","0.00077")</f>
        <v>0.00077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HYPERLINK("http://141.218.60.56/~jnz1568/getInfo.php?workbook=14_04.xlsx&amp;sheet=U0&amp;row=108&amp;col=6&amp;number=3.4&amp;sourceID=14","3.4")</f>
        <v>3.4</v>
      </c>
      <c r="G108" s="4" t="str">
        <f>HYPERLINK("http://141.218.60.56/~jnz1568/getInfo.php?workbook=14_04.xlsx&amp;sheet=U0&amp;row=108&amp;col=7&amp;number=0.000769&amp;sourceID=14","0.000769")</f>
        <v>0.000769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HYPERLINK("http://141.218.60.56/~jnz1568/getInfo.php?workbook=14_04.xlsx&amp;sheet=U0&amp;row=109&amp;col=6&amp;number=3.5&amp;sourceID=14","3.5")</f>
        <v>3.5</v>
      </c>
      <c r="G109" s="4" t="str">
        <f>HYPERLINK("http://141.218.60.56/~jnz1568/getInfo.php?workbook=14_04.xlsx&amp;sheet=U0&amp;row=109&amp;col=7&amp;number=0.000769&amp;sourceID=14","0.000769")</f>
        <v>0.000769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HYPERLINK("http://141.218.60.56/~jnz1568/getInfo.php?workbook=14_04.xlsx&amp;sheet=U0&amp;row=110&amp;col=6&amp;number=3.6&amp;sourceID=14","3.6")</f>
        <v>3.6</v>
      </c>
      <c r="G110" s="4" t="str">
        <f>HYPERLINK("http://141.218.60.56/~jnz1568/getInfo.php?workbook=14_04.xlsx&amp;sheet=U0&amp;row=110&amp;col=7&amp;number=0.000769&amp;sourceID=14","0.000769")</f>
        <v>0.000769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HYPERLINK("http://141.218.60.56/~jnz1568/getInfo.php?workbook=14_04.xlsx&amp;sheet=U0&amp;row=111&amp;col=6&amp;number=3.7&amp;sourceID=14","3.7")</f>
        <v>3.7</v>
      </c>
      <c r="G111" s="4" t="str">
        <f>HYPERLINK("http://141.218.60.56/~jnz1568/getInfo.php?workbook=14_04.xlsx&amp;sheet=U0&amp;row=111&amp;col=7&amp;number=0.000768&amp;sourceID=14","0.000768")</f>
        <v>0.000768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HYPERLINK("http://141.218.60.56/~jnz1568/getInfo.php?workbook=14_04.xlsx&amp;sheet=U0&amp;row=112&amp;col=6&amp;number=3.8&amp;sourceID=14","3.8")</f>
        <v>3.8</v>
      </c>
      <c r="G112" s="4" t="str">
        <f>HYPERLINK("http://141.218.60.56/~jnz1568/getInfo.php?workbook=14_04.xlsx&amp;sheet=U0&amp;row=112&amp;col=7&amp;number=0.000767&amp;sourceID=14","0.000767")</f>
        <v>0.000767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HYPERLINK("http://141.218.60.56/~jnz1568/getInfo.php?workbook=14_04.xlsx&amp;sheet=U0&amp;row=113&amp;col=6&amp;number=3.9&amp;sourceID=14","3.9")</f>
        <v>3.9</v>
      </c>
      <c r="G113" s="4" t="str">
        <f>HYPERLINK("http://141.218.60.56/~jnz1568/getInfo.php?workbook=14_04.xlsx&amp;sheet=U0&amp;row=113&amp;col=7&amp;number=0.000767&amp;sourceID=14","0.000767")</f>
        <v>0.000767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HYPERLINK("http://141.218.60.56/~jnz1568/getInfo.php?workbook=14_04.xlsx&amp;sheet=U0&amp;row=114&amp;col=6&amp;number=4&amp;sourceID=14","4")</f>
        <v>4</v>
      </c>
      <c r="G114" s="4" t="str">
        <f>HYPERLINK("http://141.218.60.56/~jnz1568/getInfo.php?workbook=14_04.xlsx&amp;sheet=U0&amp;row=114&amp;col=7&amp;number=0.000766&amp;sourceID=14","0.000766")</f>
        <v>0.000766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HYPERLINK("http://141.218.60.56/~jnz1568/getInfo.php?workbook=14_04.xlsx&amp;sheet=U0&amp;row=115&amp;col=6&amp;number=4.1&amp;sourceID=14","4.1")</f>
        <v>4.1</v>
      </c>
      <c r="G115" s="4" t="str">
        <f>HYPERLINK("http://141.218.60.56/~jnz1568/getInfo.php?workbook=14_04.xlsx&amp;sheet=U0&amp;row=115&amp;col=7&amp;number=0.000764&amp;sourceID=14","0.000764")</f>
        <v>0.000764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HYPERLINK("http://141.218.60.56/~jnz1568/getInfo.php?workbook=14_04.xlsx&amp;sheet=U0&amp;row=116&amp;col=6&amp;number=4.2&amp;sourceID=14","4.2")</f>
        <v>4.2</v>
      </c>
      <c r="G116" s="4" t="str">
        <f>HYPERLINK("http://141.218.60.56/~jnz1568/getInfo.php?workbook=14_04.xlsx&amp;sheet=U0&amp;row=116&amp;col=7&amp;number=0.000763&amp;sourceID=14","0.000763")</f>
        <v>0.000763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HYPERLINK("http://141.218.60.56/~jnz1568/getInfo.php?workbook=14_04.xlsx&amp;sheet=U0&amp;row=117&amp;col=6&amp;number=4.3&amp;sourceID=14","4.3")</f>
        <v>4.3</v>
      </c>
      <c r="G117" s="4" t="str">
        <f>HYPERLINK("http://141.218.60.56/~jnz1568/getInfo.php?workbook=14_04.xlsx&amp;sheet=U0&amp;row=117&amp;col=7&amp;number=0.000761&amp;sourceID=14","0.000761")</f>
        <v>0.000761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HYPERLINK("http://141.218.60.56/~jnz1568/getInfo.php?workbook=14_04.xlsx&amp;sheet=U0&amp;row=118&amp;col=6&amp;number=4.4&amp;sourceID=14","4.4")</f>
        <v>4.4</v>
      </c>
      <c r="G118" s="4" t="str">
        <f>HYPERLINK("http://141.218.60.56/~jnz1568/getInfo.php?workbook=14_04.xlsx&amp;sheet=U0&amp;row=118&amp;col=7&amp;number=0.000759&amp;sourceID=14","0.000759")</f>
        <v>0.000759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HYPERLINK("http://141.218.60.56/~jnz1568/getInfo.php?workbook=14_04.xlsx&amp;sheet=U0&amp;row=119&amp;col=6&amp;number=4.5&amp;sourceID=14","4.5")</f>
        <v>4.5</v>
      </c>
      <c r="G119" s="4" t="str">
        <f>HYPERLINK("http://141.218.60.56/~jnz1568/getInfo.php?workbook=14_04.xlsx&amp;sheet=U0&amp;row=119&amp;col=7&amp;number=0.000756&amp;sourceID=14","0.000756")</f>
        <v>0.000756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HYPERLINK("http://141.218.60.56/~jnz1568/getInfo.php?workbook=14_04.xlsx&amp;sheet=U0&amp;row=120&amp;col=6&amp;number=4.6&amp;sourceID=14","4.6")</f>
        <v>4.6</v>
      </c>
      <c r="G120" s="4" t="str">
        <f>HYPERLINK("http://141.218.60.56/~jnz1568/getInfo.php?workbook=14_04.xlsx&amp;sheet=U0&amp;row=120&amp;col=7&amp;number=0.000752&amp;sourceID=14","0.000752")</f>
        <v>0.000752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HYPERLINK("http://141.218.60.56/~jnz1568/getInfo.php?workbook=14_04.xlsx&amp;sheet=U0&amp;row=121&amp;col=6&amp;number=4.7&amp;sourceID=14","4.7")</f>
        <v>4.7</v>
      </c>
      <c r="G121" s="4" t="str">
        <f>HYPERLINK("http://141.218.60.56/~jnz1568/getInfo.php?workbook=14_04.xlsx&amp;sheet=U0&amp;row=121&amp;col=7&amp;number=0.000747&amp;sourceID=14","0.000747")</f>
        <v>0.000747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HYPERLINK("http://141.218.60.56/~jnz1568/getInfo.php?workbook=14_04.xlsx&amp;sheet=U0&amp;row=122&amp;col=6&amp;number=4.8&amp;sourceID=14","4.8")</f>
        <v>4.8</v>
      </c>
      <c r="G122" s="4" t="str">
        <f>HYPERLINK("http://141.218.60.56/~jnz1568/getInfo.php?workbook=14_04.xlsx&amp;sheet=U0&amp;row=122&amp;col=7&amp;number=0.000741&amp;sourceID=14","0.000741")</f>
        <v>0.000741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HYPERLINK("http://141.218.60.56/~jnz1568/getInfo.php?workbook=14_04.xlsx&amp;sheet=U0&amp;row=123&amp;col=6&amp;number=4.9&amp;sourceID=14","4.9")</f>
        <v>4.9</v>
      </c>
      <c r="G123" s="4" t="str">
        <f>HYPERLINK("http://141.218.60.56/~jnz1568/getInfo.php?workbook=14_04.xlsx&amp;sheet=U0&amp;row=123&amp;col=7&amp;number=0.000734&amp;sourceID=14","0.000734")</f>
        <v>0.000734</v>
      </c>
    </row>
    <row r="124" spans="1:7">
      <c r="A124" s="3">
        <v>14</v>
      </c>
      <c r="B124" s="3">
        <v>4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HYPERLINK("http://141.218.60.56/~jnz1568/getInfo.php?workbook=14_04.xlsx&amp;sheet=U0&amp;row=124&amp;col=6&amp;number=3&amp;sourceID=14","3")</f>
        <v>3</v>
      </c>
      <c r="G124" s="4" t="str">
        <f>HYPERLINK("http://141.218.60.56/~jnz1568/getInfo.php?workbook=14_04.xlsx&amp;sheet=U0&amp;row=124&amp;col=7&amp;number=0.00128&amp;sourceID=14","0.00128")</f>
        <v>0.00128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HYPERLINK("http://141.218.60.56/~jnz1568/getInfo.php?workbook=14_04.xlsx&amp;sheet=U0&amp;row=125&amp;col=6&amp;number=3.1&amp;sourceID=14","3.1")</f>
        <v>3.1</v>
      </c>
      <c r="G125" s="4" t="str">
        <f>HYPERLINK("http://141.218.60.56/~jnz1568/getInfo.php?workbook=14_04.xlsx&amp;sheet=U0&amp;row=125&amp;col=7&amp;number=0.00128&amp;sourceID=14","0.00128")</f>
        <v>0.00128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HYPERLINK("http://141.218.60.56/~jnz1568/getInfo.php?workbook=14_04.xlsx&amp;sheet=U0&amp;row=126&amp;col=6&amp;number=3.2&amp;sourceID=14","3.2")</f>
        <v>3.2</v>
      </c>
      <c r="G126" s="4" t="str">
        <f>HYPERLINK("http://141.218.60.56/~jnz1568/getInfo.php?workbook=14_04.xlsx&amp;sheet=U0&amp;row=126&amp;col=7&amp;number=0.00128&amp;sourceID=14","0.00128")</f>
        <v>0.00128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HYPERLINK("http://141.218.60.56/~jnz1568/getInfo.php?workbook=14_04.xlsx&amp;sheet=U0&amp;row=127&amp;col=6&amp;number=3.3&amp;sourceID=14","3.3")</f>
        <v>3.3</v>
      </c>
      <c r="G127" s="4" t="str">
        <f>HYPERLINK("http://141.218.60.56/~jnz1568/getInfo.php?workbook=14_04.xlsx&amp;sheet=U0&amp;row=127&amp;col=7&amp;number=0.00128&amp;sourceID=14","0.00128")</f>
        <v>0.00128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HYPERLINK("http://141.218.60.56/~jnz1568/getInfo.php?workbook=14_04.xlsx&amp;sheet=U0&amp;row=128&amp;col=6&amp;number=3.4&amp;sourceID=14","3.4")</f>
        <v>3.4</v>
      </c>
      <c r="G128" s="4" t="str">
        <f>HYPERLINK("http://141.218.60.56/~jnz1568/getInfo.php?workbook=14_04.xlsx&amp;sheet=U0&amp;row=128&amp;col=7&amp;number=0.00128&amp;sourceID=14","0.00128")</f>
        <v>0.00128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HYPERLINK("http://141.218.60.56/~jnz1568/getInfo.php?workbook=14_04.xlsx&amp;sheet=U0&amp;row=129&amp;col=6&amp;number=3.5&amp;sourceID=14","3.5")</f>
        <v>3.5</v>
      </c>
      <c r="G129" s="4" t="str">
        <f>HYPERLINK("http://141.218.60.56/~jnz1568/getInfo.php?workbook=14_04.xlsx&amp;sheet=U0&amp;row=129&amp;col=7&amp;number=0.00128&amp;sourceID=14","0.00128")</f>
        <v>0.00128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HYPERLINK("http://141.218.60.56/~jnz1568/getInfo.php?workbook=14_04.xlsx&amp;sheet=U0&amp;row=130&amp;col=6&amp;number=3.6&amp;sourceID=14","3.6")</f>
        <v>3.6</v>
      </c>
      <c r="G130" s="4" t="str">
        <f>HYPERLINK("http://141.218.60.56/~jnz1568/getInfo.php?workbook=14_04.xlsx&amp;sheet=U0&amp;row=130&amp;col=7&amp;number=0.00128&amp;sourceID=14","0.00128")</f>
        <v>0.00128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HYPERLINK("http://141.218.60.56/~jnz1568/getInfo.php?workbook=14_04.xlsx&amp;sheet=U0&amp;row=131&amp;col=6&amp;number=3.7&amp;sourceID=14","3.7")</f>
        <v>3.7</v>
      </c>
      <c r="G131" s="4" t="str">
        <f>HYPERLINK("http://141.218.60.56/~jnz1568/getInfo.php?workbook=14_04.xlsx&amp;sheet=U0&amp;row=131&amp;col=7&amp;number=0.00128&amp;sourceID=14","0.00128")</f>
        <v>0.00128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HYPERLINK("http://141.218.60.56/~jnz1568/getInfo.php?workbook=14_04.xlsx&amp;sheet=U0&amp;row=132&amp;col=6&amp;number=3.8&amp;sourceID=14","3.8")</f>
        <v>3.8</v>
      </c>
      <c r="G132" s="4" t="str">
        <f>HYPERLINK("http://141.218.60.56/~jnz1568/getInfo.php?workbook=14_04.xlsx&amp;sheet=U0&amp;row=132&amp;col=7&amp;number=0.00128&amp;sourceID=14","0.00128")</f>
        <v>0.00128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HYPERLINK("http://141.218.60.56/~jnz1568/getInfo.php?workbook=14_04.xlsx&amp;sheet=U0&amp;row=133&amp;col=6&amp;number=3.9&amp;sourceID=14","3.9")</f>
        <v>3.9</v>
      </c>
      <c r="G133" s="4" t="str">
        <f>HYPERLINK("http://141.218.60.56/~jnz1568/getInfo.php?workbook=14_04.xlsx&amp;sheet=U0&amp;row=133&amp;col=7&amp;number=0.00128&amp;sourceID=14","0.00128")</f>
        <v>0.00128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HYPERLINK("http://141.218.60.56/~jnz1568/getInfo.php?workbook=14_04.xlsx&amp;sheet=U0&amp;row=134&amp;col=6&amp;number=4&amp;sourceID=14","4")</f>
        <v>4</v>
      </c>
      <c r="G134" s="4" t="str">
        <f>HYPERLINK("http://141.218.60.56/~jnz1568/getInfo.php?workbook=14_04.xlsx&amp;sheet=U0&amp;row=134&amp;col=7&amp;number=0.00128&amp;sourceID=14","0.00128")</f>
        <v>0.00128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HYPERLINK("http://141.218.60.56/~jnz1568/getInfo.php?workbook=14_04.xlsx&amp;sheet=U0&amp;row=135&amp;col=6&amp;number=4.1&amp;sourceID=14","4.1")</f>
        <v>4.1</v>
      </c>
      <c r="G135" s="4" t="str">
        <f>HYPERLINK("http://141.218.60.56/~jnz1568/getInfo.php?workbook=14_04.xlsx&amp;sheet=U0&amp;row=135&amp;col=7&amp;number=0.00127&amp;sourceID=14","0.00127")</f>
        <v>0.00127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HYPERLINK("http://141.218.60.56/~jnz1568/getInfo.php?workbook=14_04.xlsx&amp;sheet=U0&amp;row=136&amp;col=6&amp;number=4.2&amp;sourceID=14","4.2")</f>
        <v>4.2</v>
      </c>
      <c r="G136" s="4" t="str">
        <f>HYPERLINK("http://141.218.60.56/~jnz1568/getInfo.php?workbook=14_04.xlsx&amp;sheet=U0&amp;row=136&amp;col=7&amp;number=0.00127&amp;sourceID=14","0.00127")</f>
        <v>0.00127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HYPERLINK("http://141.218.60.56/~jnz1568/getInfo.php?workbook=14_04.xlsx&amp;sheet=U0&amp;row=137&amp;col=6&amp;number=4.3&amp;sourceID=14","4.3")</f>
        <v>4.3</v>
      </c>
      <c r="G137" s="4" t="str">
        <f>HYPERLINK("http://141.218.60.56/~jnz1568/getInfo.php?workbook=14_04.xlsx&amp;sheet=U0&amp;row=137&amp;col=7&amp;number=0.00127&amp;sourceID=14","0.00127")</f>
        <v>0.00127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HYPERLINK("http://141.218.60.56/~jnz1568/getInfo.php?workbook=14_04.xlsx&amp;sheet=U0&amp;row=138&amp;col=6&amp;number=4.4&amp;sourceID=14","4.4")</f>
        <v>4.4</v>
      </c>
      <c r="G138" s="4" t="str">
        <f>HYPERLINK("http://141.218.60.56/~jnz1568/getInfo.php?workbook=14_04.xlsx&amp;sheet=U0&amp;row=138&amp;col=7&amp;number=0.00126&amp;sourceID=14","0.00126")</f>
        <v>0.00126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HYPERLINK("http://141.218.60.56/~jnz1568/getInfo.php?workbook=14_04.xlsx&amp;sheet=U0&amp;row=139&amp;col=6&amp;number=4.5&amp;sourceID=14","4.5")</f>
        <v>4.5</v>
      </c>
      <c r="G139" s="4" t="str">
        <f>HYPERLINK("http://141.218.60.56/~jnz1568/getInfo.php?workbook=14_04.xlsx&amp;sheet=U0&amp;row=139&amp;col=7&amp;number=0.00126&amp;sourceID=14","0.00126")</f>
        <v>0.00126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HYPERLINK("http://141.218.60.56/~jnz1568/getInfo.php?workbook=14_04.xlsx&amp;sheet=U0&amp;row=140&amp;col=6&amp;number=4.6&amp;sourceID=14","4.6")</f>
        <v>4.6</v>
      </c>
      <c r="G140" s="4" t="str">
        <f>HYPERLINK("http://141.218.60.56/~jnz1568/getInfo.php?workbook=14_04.xlsx&amp;sheet=U0&amp;row=140&amp;col=7&amp;number=0.00125&amp;sourceID=14","0.00125")</f>
        <v>0.00125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HYPERLINK("http://141.218.60.56/~jnz1568/getInfo.php?workbook=14_04.xlsx&amp;sheet=U0&amp;row=141&amp;col=6&amp;number=4.7&amp;sourceID=14","4.7")</f>
        <v>4.7</v>
      </c>
      <c r="G141" s="4" t="str">
        <f>HYPERLINK("http://141.218.60.56/~jnz1568/getInfo.php?workbook=14_04.xlsx&amp;sheet=U0&amp;row=141&amp;col=7&amp;number=0.00125&amp;sourceID=14","0.00125")</f>
        <v>0.00125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HYPERLINK("http://141.218.60.56/~jnz1568/getInfo.php?workbook=14_04.xlsx&amp;sheet=U0&amp;row=142&amp;col=6&amp;number=4.8&amp;sourceID=14","4.8")</f>
        <v>4.8</v>
      </c>
      <c r="G142" s="4" t="str">
        <f>HYPERLINK("http://141.218.60.56/~jnz1568/getInfo.php?workbook=14_04.xlsx&amp;sheet=U0&amp;row=142&amp;col=7&amp;number=0.00124&amp;sourceID=14","0.00124")</f>
        <v>0.00124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HYPERLINK("http://141.218.60.56/~jnz1568/getInfo.php?workbook=14_04.xlsx&amp;sheet=U0&amp;row=143&amp;col=6&amp;number=4.9&amp;sourceID=14","4.9")</f>
        <v>4.9</v>
      </c>
      <c r="G143" s="4" t="str">
        <f>HYPERLINK("http://141.218.60.56/~jnz1568/getInfo.php?workbook=14_04.xlsx&amp;sheet=U0&amp;row=143&amp;col=7&amp;number=0.00122&amp;sourceID=14","0.00122")</f>
        <v>0.00122</v>
      </c>
    </row>
    <row r="144" spans="1:7">
      <c r="A144" s="3">
        <v>14</v>
      </c>
      <c r="B144" s="3">
        <v>4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HYPERLINK("http://141.218.60.56/~jnz1568/getInfo.php?workbook=14_04.xlsx&amp;sheet=U0&amp;row=144&amp;col=6&amp;number=3&amp;sourceID=14","3")</f>
        <v>3</v>
      </c>
      <c r="G144" s="4" t="str">
        <f>HYPERLINK("http://141.218.60.56/~jnz1568/getInfo.php?workbook=14_04.xlsx&amp;sheet=U0&amp;row=144&amp;col=7&amp;number=0.011&amp;sourceID=14","0.011")</f>
        <v>0.011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HYPERLINK("http://141.218.60.56/~jnz1568/getInfo.php?workbook=14_04.xlsx&amp;sheet=U0&amp;row=145&amp;col=6&amp;number=3.1&amp;sourceID=14","3.1")</f>
        <v>3.1</v>
      </c>
      <c r="G145" s="4" t="str">
        <f>HYPERLINK("http://141.218.60.56/~jnz1568/getInfo.php?workbook=14_04.xlsx&amp;sheet=U0&amp;row=145&amp;col=7&amp;number=0.011&amp;sourceID=14","0.011")</f>
        <v>0.011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HYPERLINK("http://141.218.60.56/~jnz1568/getInfo.php?workbook=14_04.xlsx&amp;sheet=U0&amp;row=146&amp;col=6&amp;number=3.2&amp;sourceID=14","3.2")</f>
        <v>3.2</v>
      </c>
      <c r="G146" s="4" t="str">
        <f>HYPERLINK("http://141.218.60.56/~jnz1568/getInfo.php?workbook=14_04.xlsx&amp;sheet=U0&amp;row=146&amp;col=7&amp;number=0.011&amp;sourceID=14","0.011")</f>
        <v>0.011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HYPERLINK("http://141.218.60.56/~jnz1568/getInfo.php?workbook=14_04.xlsx&amp;sheet=U0&amp;row=147&amp;col=6&amp;number=3.3&amp;sourceID=14","3.3")</f>
        <v>3.3</v>
      </c>
      <c r="G147" s="4" t="str">
        <f>HYPERLINK("http://141.218.60.56/~jnz1568/getInfo.php?workbook=14_04.xlsx&amp;sheet=U0&amp;row=147&amp;col=7&amp;number=0.011&amp;sourceID=14","0.011")</f>
        <v>0.011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HYPERLINK("http://141.218.60.56/~jnz1568/getInfo.php?workbook=14_04.xlsx&amp;sheet=U0&amp;row=148&amp;col=6&amp;number=3.4&amp;sourceID=14","3.4")</f>
        <v>3.4</v>
      </c>
      <c r="G148" s="4" t="str">
        <f>HYPERLINK("http://141.218.60.56/~jnz1568/getInfo.php?workbook=14_04.xlsx&amp;sheet=U0&amp;row=148&amp;col=7&amp;number=0.011&amp;sourceID=14","0.011")</f>
        <v>0.011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HYPERLINK("http://141.218.60.56/~jnz1568/getInfo.php?workbook=14_04.xlsx&amp;sheet=U0&amp;row=149&amp;col=6&amp;number=3.5&amp;sourceID=14","3.5")</f>
        <v>3.5</v>
      </c>
      <c r="G149" s="4" t="str">
        <f>HYPERLINK("http://141.218.60.56/~jnz1568/getInfo.php?workbook=14_04.xlsx&amp;sheet=U0&amp;row=149&amp;col=7&amp;number=0.011&amp;sourceID=14","0.011")</f>
        <v>0.011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HYPERLINK("http://141.218.60.56/~jnz1568/getInfo.php?workbook=14_04.xlsx&amp;sheet=U0&amp;row=150&amp;col=6&amp;number=3.6&amp;sourceID=14","3.6")</f>
        <v>3.6</v>
      </c>
      <c r="G150" s="4" t="str">
        <f>HYPERLINK("http://141.218.60.56/~jnz1568/getInfo.php?workbook=14_04.xlsx&amp;sheet=U0&amp;row=150&amp;col=7&amp;number=0.011&amp;sourceID=14","0.011")</f>
        <v>0.011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HYPERLINK("http://141.218.60.56/~jnz1568/getInfo.php?workbook=14_04.xlsx&amp;sheet=U0&amp;row=151&amp;col=6&amp;number=3.7&amp;sourceID=14","3.7")</f>
        <v>3.7</v>
      </c>
      <c r="G151" s="4" t="str">
        <f>HYPERLINK("http://141.218.60.56/~jnz1568/getInfo.php?workbook=14_04.xlsx&amp;sheet=U0&amp;row=151&amp;col=7&amp;number=0.011&amp;sourceID=14","0.011")</f>
        <v>0.011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HYPERLINK("http://141.218.60.56/~jnz1568/getInfo.php?workbook=14_04.xlsx&amp;sheet=U0&amp;row=152&amp;col=6&amp;number=3.8&amp;sourceID=14","3.8")</f>
        <v>3.8</v>
      </c>
      <c r="G152" s="4" t="str">
        <f>HYPERLINK("http://141.218.60.56/~jnz1568/getInfo.php?workbook=14_04.xlsx&amp;sheet=U0&amp;row=152&amp;col=7&amp;number=0.011&amp;sourceID=14","0.011")</f>
        <v>0.011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HYPERLINK("http://141.218.60.56/~jnz1568/getInfo.php?workbook=14_04.xlsx&amp;sheet=U0&amp;row=153&amp;col=6&amp;number=3.9&amp;sourceID=14","3.9")</f>
        <v>3.9</v>
      </c>
      <c r="G153" s="4" t="str">
        <f>HYPERLINK("http://141.218.60.56/~jnz1568/getInfo.php?workbook=14_04.xlsx&amp;sheet=U0&amp;row=153&amp;col=7&amp;number=0.011&amp;sourceID=14","0.011")</f>
        <v>0.011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HYPERLINK("http://141.218.60.56/~jnz1568/getInfo.php?workbook=14_04.xlsx&amp;sheet=U0&amp;row=154&amp;col=6&amp;number=4&amp;sourceID=14","4")</f>
        <v>4</v>
      </c>
      <c r="G154" s="4" t="str">
        <f>HYPERLINK("http://141.218.60.56/~jnz1568/getInfo.php?workbook=14_04.xlsx&amp;sheet=U0&amp;row=154&amp;col=7&amp;number=0.011&amp;sourceID=14","0.011")</f>
        <v>0.011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HYPERLINK("http://141.218.60.56/~jnz1568/getInfo.php?workbook=14_04.xlsx&amp;sheet=U0&amp;row=155&amp;col=6&amp;number=4.1&amp;sourceID=14","4.1")</f>
        <v>4.1</v>
      </c>
      <c r="G155" s="4" t="str">
        <f>HYPERLINK("http://141.218.60.56/~jnz1568/getInfo.php?workbook=14_04.xlsx&amp;sheet=U0&amp;row=155&amp;col=7&amp;number=0.011&amp;sourceID=14","0.011")</f>
        <v>0.011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HYPERLINK("http://141.218.60.56/~jnz1568/getInfo.php?workbook=14_04.xlsx&amp;sheet=U0&amp;row=156&amp;col=6&amp;number=4.2&amp;sourceID=14","4.2")</f>
        <v>4.2</v>
      </c>
      <c r="G156" s="4" t="str">
        <f>HYPERLINK("http://141.218.60.56/~jnz1568/getInfo.php?workbook=14_04.xlsx&amp;sheet=U0&amp;row=156&amp;col=7&amp;number=0.011&amp;sourceID=14","0.011")</f>
        <v>0.011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HYPERLINK("http://141.218.60.56/~jnz1568/getInfo.php?workbook=14_04.xlsx&amp;sheet=U0&amp;row=157&amp;col=6&amp;number=4.3&amp;sourceID=14","4.3")</f>
        <v>4.3</v>
      </c>
      <c r="G157" s="4" t="str">
        <f>HYPERLINK("http://141.218.60.56/~jnz1568/getInfo.php?workbook=14_04.xlsx&amp;sheet=U0&amp;row=157&amp;col=7&amp;number=0.011&amp;sourceID=14","0.011")</f>
        <v>0.011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HYPERLINK("http://141.218.60.56/~jnz1568/getInfo.php?workbook=14_04.xlsx&amp;sheet=U0&amp;row=158&amp;col=6&amp;number=4.4&amp;sourceID=14","4.4")</f>
        <v>4.4</v>
      </c>
      <c r="G158" s="4" t="str">
        <f>HYPERLINK("http://141.218.60.56/~jnz1568/getInfo.php?workbook=14_04.xlsx&amp;sheet=U0&amp;row=158&amp;col=7&amp;number=0.011&amp;sourceID=14","0.011")</f>
        <v>0.011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HYPERLINK("http://141.218.60.56/~jnz1568/getInfo.php?workbook=14_04.xlsx&amp;sheet=U0&amp;row=159&amp;col=6&amp;number=4.5&amp;sourceID=14","4.5")</f>
        <v>4.5</v>
      </c>
      <c r="G159" s="4" t="str">
        <f>HYPERLINK("http://141.218.60.56/~jnz1568/getInfo.php?workbook=14_04.xlsx&amp;sheet=U0&amp;row=159&amp;col=7&amp;number=0.011&amp;sourceID=14","0.011")</f>
        <v>0.011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HYPERLINK("http://141.218.60.56/~jnz1568/getInfo.php?workbook=14_04.xlsx&amp;sheet=U0&amp;row=160&amp;col=6&amp;number=4.6&amp;sourceID=14","4.6")</f>
        <v>4.6</v>
      </c>
      <c r="G160" s="4" t="str">
        <f>HYPERLINK("http://141.218.60.56/~jnz1568/getInfo.php?workbook=14_04.xlsx&amp;sheet=U0&amp;row=160&amp;col=7&amp;number=0.0109&amp;sourceID=14","0.0109")</f>
        <v>0.0109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HYPERLINK("http://141.218.60.56/~jnz1568/getInfo.php?workbook=14_04.xlsx&amp;sheet=U0&amp;row=161&amp;col=6&amp;number=4.7&amp;sourceID=14","4.7")</f>
        <v>4.7</v>
      </c>
      <c r="G161" s="4" t="str">
        <f>HYPERLINK("http://141.218.60.56/~jnz1568/getInfo.php?workbook=14_04.xlsx&amp;sheet=U0&amp;row=161&amp;col=7&amp;number=0.0109&amp;sourceID=14","0.0109")</f>
        <v>0.0109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HYPERLINK("http://141.218.60.56/~jnz1568/getInfo.php?workbook=14_04.xlsx&amp;sheet=U0&amp;row=162&amp;col=6&amp;number=4.8&amp;sourceID=14","4.8")</f>
        <v>4.8</v>
      </c>
      <c r="G162" s="4" t="str">
        <f>HYPERLINK("http://141.218.60.56/~jnz1568/getInfo.php?workbook=14_04.xlsx&amp;sheet=U0&amp;row=162&amp;col=7&amp;number=0.0109&amp;sourceID=14","0.0109")</f>
        <v>0.0109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HYPERLINK("http://141.218.60.56/~jnz1568/getInfo.php?workbook=14_04.xlsx&amp;sheet=U0&amp;row=163&amp;col=6&amp;number=4.9&amp;sourceID=14","4.9")</f>
        <v>4.9</v>
      </c>
      <c r="G163" s="4" t="str">
        <f>HYPERLINK("http://141.218.60.56/~jnz1568/getInfo.php?workbook=14_04.xlsx&amp;sheet=U0&amp;row=163&amp;col=7&amp;number=0.0109&amp;sourceID=14","0.0109")</f>
        <v>0.0109</v>
      </c>
    </row>
    <row r="164" spans="1:7">
      <c r="A164" s="3">
        <v>14</v>
      </c>
      <c r="B164" s="3">
        <v>4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HYPERLINK("http://141.218.60.56/~jnz1568/getInfo.php?workbook=14_04.xlsx&amp;sheet=U0&amp;row=164&amp;col=6&amp;number=3&amp;sourceID=14","3")</f>
        <v>3</v>
      </c>
      <c r="G164" s="4" t="str">
        <f>HYPERLINK("http://141.218.60.56/~jnz1568/getInfo.php?workbook=14_04.xlsx&amp;sheet=U0&amp;row=164&amp;col=7&amp;number=0.0039&amp;sourceID=14","0.0039")</f>
        <v>0.0039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HYPERLINK("http://141.218.60.56/~jnz1568/getInfo.php?workbook=14_04.xlsx&amp;sheet=U0&amp;row=165&amp;col=6&amp;number=3.1&amp;sourceID=14","3.1")</f>
        <v>3.1</v>
      </c>
      <c r="G165" s="4" t="str">
        <f>HYPERLINK("http://141.218.60.56/~jnz1568/getInfo.php?workbook=14_04.xlsx&amp;sheet=U0&amp;row=165&amp;col=7&amp;number=0.0039&amp;sourceID=14","0.0039")</f>
        <v>0.0039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HYPERLINK("http://141.218.60.56/~jnz1568/getInfo.php?workbook=14_04.xlsx&amp;sheet=U0&amp;row=166&amp;col=6&amp;number=3.2&amp;sourceID=14","3.2")</f>
        <v>3.2</v>
      </c>
      <c r="G166" s="4" t="str">
        <f>HYPERLINK("http://141.218.60.56/~jnz1568/getInfo.php?workbook=14_04.xlsx&amp;sheet=U0&amp;row=166&amp;col=7&amp;number=0.0039&amp;sourceID=14","0.0039")</f>
        <v>0.0039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HYPERLINK("http://141.218.60.56/~jnz1568/getInfo.php?workbook=14_04.xlsx&amp;sheet=U0&amp;row=167&amp;col=6&amp;number=3.3&amp;sourceID=14","3.3")</f>
        <v>3.3</v>
      </c>
      <c r="G167" s="4" t="str">
        <f>HYPERLINK("http://141.218.60.56/~jnz1568/getInfo.php?workbook=14_04.xlsx&amp;sheet=U0&amp;row=167&amp;col=7&amp;number=0.0039&amp;sourceID=14","0.0039")</f>
        <v>0.0039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HYPERLINK("http://141.218.60.56/~jnz1568/getInfo.php?workbook=14_04.xlsx&amp;sheet=U0&amp;row=168&amp;col=6&amp;number=3.4&amp;sourceID=14","3.4")</f>
        <v>3.4</v>
      </c>
      <c r="G168" s="4" t="str">
        <f>HYPERLINK("http://141.218.60.56/~jnz1568/getInfo.php?workbook=14_04.xlsx&amp;sheet=U0&amp;row=168&amp;col=7&amp;number=0.0039&amp;sourceID=14","0.0039")</f>
        <v>0.0039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HYPERLINK("http://141.218.60.56/~jnz1568/getInfo.php?workbook=14_04.xlsx&amp;sheet=U0&amp;row=169&amp;col=6&amp;number=3.5&amp;sourceID=14","3.5")</f>
        <v>3.5</v>
      </c>
      <c r="G169" s="4" t="str">
        <f>HYPERLINK("http://141.218.60.56/~jnz1568/getInfo.php?workbook=14_04.xlsx&amp;sheet=U0&amp;row=169&amp;col=7&amp;number=0.0039&amp;sourceID=14","0.0039")</f>
        <v>0.0039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HYPERLINK("http://141.218.60.56/~jnz1568/getInfo.php?workbook=14_04.xlsx&amp;sheet=U0&amp;row=170&amp;col=6&amp;number=3.6&amp;sourceID=14","3.6")</f>
        <v>3.6</v>
      </c>
      <c r="G170" s="4" t="str">
        <f>HYPERLINK("http://141.218.60.56/~jnz1568/getInfo.php?workbook=14_04.xlsx&amp;sheet=U0&amp;row=170&amp;col=7&amp;number=0.0039&amp;sourceID=14","0.0039")</f>
        <v>0.0039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HYPERLINK("http://141.218.60.56/~jnz1568/getInfo.php?workbook=14_04.xlsx&amp;sheet=U0&amp;row=171&amp;col=6&amp;number=3.7&amp;sourceID=14","3.7")</f>
        <v>3.7</v>
      </c>
      <c r="G171" s="4" t="str">
        <f>HYPERLINK("http://141.218.60.56/~jnz1568/getInfo.php?workbook=14_04.xlsx&amp;sheet=U0&amp;row=171&amp;col=7&amp;number=0.0039&amp;sourceID=14","0.0039")</f>
        <v>0.0039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HYPERLINK("http://141.218.60.56/~jnz1568/getInfo.php?workbook=14_04.xlsx&amp;sheet=U0&amp;row=172&amp;col=6&amp;number=3.8&amp;sourceID=14","3.8")</f>
        <v>3.8</v>
      </c>
      <c r="G172" s="4" t="str">
        <f>HYPERLINK("http://141.218.60.56/~jnz1568/getInfo.php?workbook=14_04.xlsx&amp;sheet=U0&amp;row=172&amp;col=7&amp;number=0.0039&amp;sourceID=14","0.0039")</f>
        <v>0.0039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HYPERLINK("http://141.218.60.56/~jnz1568/getInfo.php?workbook=14_04.xlsx&amp;sheet=U0&amp;row=173&amp;col=6&amp;number=3.9&amp;sourceID=14","3.9")</f>
        <v>3.9</v>
      </c>
      <c r="G173" s="4" t="str">
        <f>HYPERLINK("http://141.218.60.56/~jnz1568/getInfo.php?workbook=14_04.xlsx&amp;sheet=U0&amp;row=173&amp;col=7&amp;number=0.0039&amp;sourceID=14","0.0039")</f>
        <v>0.0039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HYPERLINK("http://141.218.60.56/~jnz1568/getInfo.php?workbook=14_04.xlsx&amp;sheet=U0&amp;row=174&amp;col=6&amp;number=4&amp;sourceID=14","4")</f>
        <v>4</v>
      </c>
      <c r="G174" s="4" t="str">
        <f>HYPERLINK("http://141.218.60.56/~jnz1568/getInfo.php?workbook=14_04.xlsx&amp;sheet=U0&amp;row=174&amp;col=7&amp;number=0.0039&amp;sourceID=14","0.0039")</f>
        <v>0.0039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HYPERLINK("http://141.218.60.56/~jnz1568/getInfo.php?workbook=14_04.xlsx&amp;sheet=U0&amp;row=175&amp;col=6&amp;number=4.1&amp;sourceID=14","4.1")</f>
        <v>4.1</v>
      </c>
      <c r="G175" s="4" t="str">
        <f>HYPERLINK("http://141.218.60.56/~jnz1568/getInfo.php?workbook=14_04.xlsx&amp;sheet=U0&amp;row=175&amp;col=7&amp;number=0.0039&amp;sourceID=14","0.0039")</f>
        <v>0.0039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HYPERLINK("http://141.218.60.56/~jnz1568/getInfo.php?workbook=14_04.xlsx&amp;sheet=U0&amp;row=176&amp;col=6&amp;number=4.2&amp;sourceID=14","4.2")</f>
        <v>4.2</v>
      </c>
      <c r="G176" s="4" t="str">
        <f>HYPERLINK("http://141.218.60.56/~jnz1568/getInfo.php?workbook=14_04.xlsx&amp;sheet=U0&amp;row=176&amp;col=7&amp;number=0.0039&amp;sourceID=14","0.0039")</f>
        <v>0.0039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HYPERLINK("http://141.218.60.56/~jnz1568/getInfo.php?workbook=14_04.xlsx&amp;sheet=U0&amp;row=177&amp;col=6&amp;number=4.3&amp;sourceID=14","4.3")</f>
        <v>4.3</v>
      </c>
      <c r="G177" s="4" t="str">
        <f>HYPERLINK("http://141.218.60.56/~jnz1568/getInfo.php?workbook=14_04.xlsx&amp;sheet=U0&amp;row=177&amp;col=7&amp;number=0.0039&amp;sourceID=14","0.0039")</f>
        <v>0.0039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HYPERLINK("http://141.218.60.56/~jnz1568/getInfo.php?workbook=14_04.xlsx&amp;sheet=U0&amp;row=178&amp;col=6&amp;number=4.4&amp;sourceID=14","4.4")</f>
        <v>4.4</v>
      </c>
      <c r="G178" s="4" t="str">
        <f>HYPERLINK("http://141.218.60.56/~jnz1568/getInfo.php?workbook=14_04.xlsx&amp;sheet=U0&amp;row=178&amp;col=7&amp;number=0.0039&amp;sourceID=14","0.0039")</f>
        <v>0.0039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HYPERLINK("http://141.218.60.56/~jnz1568/getInfo.php?workbook=14_04.xlsx&amp;sheet=U0&amp;row=179&amp;col=6&amp;number=4.5&amp;sourceID=14","4.5")</f>
        <v>4.5</v>
      </c>
      <c r="G179" s="4" t="str">
        <f>HYPERLINK("http://141.218.60.56/~jnz1568/getInfo.php?workbook=14_04.xlsx&amp;sheet=U0&amp;row=179&amp;col=7&amp;number=0.0039&amp;sourceID=14","0.0039")</f>
        <v>0.0039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HYPERLINK("http://141.218.60.56/~jnz1568/getInfo.php?workbook=14_04.xlsx&amp;sheet=U0&amp;row=180&amp;col=6&amp;number=4.6&amp;sourceID=14","4.6")</f>
        <v>4.6</v>
      </c>
      <c r="G180" s="4" t="str">
        <f>HYPERLINK("http://141.218.60.56/~jnz1568/getInfo.php?workbook=14_04.xlsx&amp;sheet=U0&amp;row=180&amp;col=7&amp;number=0.0039&amp;sourceID=14","0.0039")</f>
        <v>0.0039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HYPERLINK("http://141.218.60.56/~jnz1568/getInfo.php?workbook=14_04.xlsx&amp;sheet=U0&amp;row=181&amp;col=6&amp;number=4.7&amp;sourceID=14","4.7")</f>
        <v>4.7</v>
      </c>
      <c r="G181" s="4" t="str">
        <f>HYPERLINK("http://141.218.60.56/~jnz1568/getInfo.php?workbook=14_04.xlsx&amp;sheet=U0&amp;row=181&amp;col=7&amp;number=0.00389&amp;sourceID=14","0.00389")</f>
        <v>0.00389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HYPERLINK("http://141.218.60.56/~jnz1568/getInfo.php?workbook=14_04.xlsx&amp;sheet=U0&amp;row=182&amp;col=6&amp;number=4.8&amp;sourceID=14","4.8")</f>
        <v>4.8</v>
      </c>
      <c r="G182" s="4" t="str">
        <f>HYPERLINK("http://141.218.60.56/~jnz1568/getInfo.php?workbook=14_04.xlsx&amp;sheet=U0&amp;row=182&amp;col=7&amp;number=0.00389&amp;sourceID=14","0.00389")</f>
        <v>0.00389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HYPERLINK("http://141.218.60.56/~jnz1568/getInfo.php?workbook=14_04.xlsx&amp;sheet=U0&amp;row=183&amp;col=6&amp;number=4.9&amp;sourceID=14","4.9")</f>
        <v>4.9</v>
      </c>
      <c r="G183" s="4" t="str">
        <f>HYPERLINK("http://141.218.60.56/~jnz1568/getInfo.php?workbook=14_04.xlsx&amp;sheet=U0&amp;row=183&amp;col=7&amp;number=0.00389&amp;sourceID=14","0.00389")</f>
        <v>0.00389</v>
      </c>
    </row>
    <row r="184" spans="1:7">
      <c r="A184" s="3">
        <v>14</v>
      </c>
      <c r="B184" s="3">
        <v>4</v>
      </c>
      <c r="C184" s="3">
        <v>2</v>
      </c>
      <c r="D184" s="3">
        <v>3</v>
      </c>
      <c r="E184" s="3">
        <v>1</v>
      </c>
      <c r="F184" s="4" t="str">
        <f>HYPERLINK("http://141.218.60.56/~jnz1568/getInfo.php?workbook=14_04.xlsx&amp;sheet=U0&amp;row=184&amp;col=6&amp;number=3&amp;sourceID=14","3")</f>
        <v>3</v>
      </c>
      <c r="G184" s="4" t="str">
        <f>HYPERLINK("http://141.218.60.56/~jnz1568/getInfo.php?workbook=14_04.xlsx&amp;sheet=U0&amp;row=184&amp;col=7&amp;number=0.299&amp;sourceID=14","0.299")</f>
        <v>0.299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HYPERLINK("http://141.218.60.56/~jnz1568/getInfo.php?workbook=14_04.xlsx&amp;sheet=U0&amp;row=185&amp;col=6&amp;number=3.1&amp;sourceID=14","3.1")</f>
        <v>3.1</v>
      </c>
      <c r="G185" s="4" t="str">
        <f>HYPERLINK("http://141.218.60.56/~jnz1568/getInfo.php?workbook=14_04.xlsx&amp;sheet=U0&amp;row=185&amp;col=7&amp;number=0.299&amp;sourceID=14","0.299")</f>
        <v>0.299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HYPERLINK("http://141.218.60.56/~jnz1568/getInfo.php?workbook=14_04.xlsx&amp;sheet=U0&amp;row=186&amp;col=6&amp;number=3.2&amp;sourceID=14","3.2")</f>
        <v>3.2</v>
      </c>
      <c r="G186" s="4" t="str">
        <f>HYPERLINK("http://141.218.60.56/~jnz1568/getInfo.php?workbook=14_04.xlsx&amp;sheet=U0&amp;row=186&amp;col=7&amp;number=0.299&amp;sourceID=14","0.299")</f>
        <v>0.299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HYPERLINK("http://141.218.60.56/~jnz1568/getInfo.php?workbook=14_04.xlsx&amp;sheet=U0&amp;row=187&amp;col=6&amp;number=3.3&amp;sourceID=14","3.3")</f>
        <v>3.3</v>
      </c>
      <c r="G187" s="4" t="str">
        <f>HYPERLINK("http://141.218.60.56/~jnz1568/getInfo.php?workbook=14_04.xlsx&amp;sheet=U0&amp;row=187&amp;col=7&amp;number=0.299&amp;sourceID=14","0.299")</f>
        <v>0.299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HYPERLINK("http://141.218.60.56/~jnz1568/getInfo.php?workbook=14_04.xlsx&amp;sheet=U0&amp;row=188&amp;col=6&amp;number=3.4&amp;sourceID=14","3.4")</f>
        <v>3.4</v>
      </c>
      <c r="G188" s="4" t="str">
        <f>HYPERLINK("http://141.218.60.56/~jnz1568/getInfo.php?workbook=14_04.xlsx&amp;sheet=U0&amp;row=188&amp;col=7&amp;number=0.299&amp;sourceID=14","0.299")</f>
        <v>0.299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HYPERLINK("http://141.218.60.56/~jnz1568/getInfo.php?workbook=14_04.xlsx&amp;sheet=U0&amp;row=189&amp;col=6&amp;number=3.5&amp;sourceID=14","3.5")</f>
        <v>3.5</v>
      </c>
      <c r="G189" s="4" t="str">
        <f>HYPERLINK("http://141.218.60.56/~jnz1568/getInfo.php?workbook=14_04.xlsx&amp;sheet=U0&amp;row=189&amp;col=7&amp;number=0.299&amp;sourceID=14","0.299")</f>
        <v>0.299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HYPERLINK("http://141.218.60.56/~jnz1568/getInfo.php?workbook=14_04.xlsx&amp;sheet=U0&amp;row=190&amp;col=6&amp;number=3.6&amp;sourceID=14","3.6")</f>
        <v>3.6</v>
      </c>
      <c r="G190" s="4" t="str">
        <f>HYPERLINK("http://141.218.60.56/~jnz1568/getInfo.php?workbook=14_04.xlsx&amp;sheet=U0&amp;row=190&amp;col=7&amp;number=0.298&amp;sourceID=14","0.298")</f>
        <v>0.298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HYPERLINK("http://141.218.60.56/~jnz1568/getInfo.php?workbook=14_04.xlsx&amp;sheet=U0&amp;row=191&amp;col=6&amp;number=3.7&amp;sourceID=14","3.7")</f>
        <v>3.7</v>
      </c>
      <c r="G191" s="4" t="str">
        <f>HYPERLINK("http://141.218.60.56/~jnz1568/getInfo.php?workbook=14_04.xlsx&amp;sheet=U0&amp;row=191&amp;col=7&amp;number=0.298&amp;sourceID=14","0.298")</f>
        <v>0.298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HYPERLINK("http://141.218.60.56/~jnz1568/getInfo.php?workbook=14_04.xlsx&amp;sheet=U0&amp;row=192&amp;col=6&amp;number=3.8&amp;sourceID=14","3.8")</f>
        <v>3.8</v>
      </c>
      <c r="G192" s="4" t="str">
        <f>HYPERLINK("http://141.218.60.56/~jnz1568/getInfo.php?workbook=14_04.xlsx&amp;sheet=U0&amp;row=192&amp;col=7&amp;number=0.297&amp;sourceID=14","0.297")</f>
        <v>0.297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HYPERLINK("http://141.218.60.56/~jnz1568/getInfo.php?workbook=14_04.xlsx&amp;sheet=U0&amp;row=193&amp;col=6&amp;number=3.9&amp;sourceID=14","3.9")</f>
        <v>3.9</v>
      </c>
      <c r="G193" s="4" t="str">
        <f>HYPERLINK("http://141.218.60.56/~jnz1568/getInfo.php?workbook=14_04.xlsx&amp;sheet=U0&amp;row=193&amp;col=7&amp;number=0.297&amp;sourceID=14","0.297")</f>
        <v>0.297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HYPERLINK("http://141.218.60.56/~jnz1568/getInfo.php?workbook=14_04.xlsx&amp;sheet=U0&amp;row=194&amp;col=6&amp;number=4&amp;sourceID=14","4")</f>
        <v>4</v>
      </c>
      <c r="G194" s="4" t="str">
        <f>HYPERLINK("http://141.218.60.56/~jnz1568/getInfo.php?workbook=14_04.xlsx&amp;sheet=U0&amp;row=194&amp;col=7&amp;number=0.296&amp;sourceID=14","0.296")</f>
        <v>0.296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HYPERLINK("http://141.218.60.56/~jnz1568/getInfo.php?workbook=14_04.xlsx&amp;sheet=U0&amp;row=195&amp;col=6&amp;number=4.1&amp;sourceID=14","4.1")</f>
        <v>4.1</v>
      </c>
      <c r="G195" s="4" t="str">
        <f>HYPERLINK("http://141.218.60.56/~jnz1568/getInfo.php?workbook=14_04.xlsx&amp;sheet=U0&amp;row=195&amp;col=7&amp;number=0.295&amp;sourceID=14","0.295")</f>
        <v>0.295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HYPERLINK("http://141.218.60.56/~jnz1568/getInfo.php?workbook=14_04.xlsx&amp;sheet=U0&amp;row=196&amp;col=6&amp;number=4.2&amp;sourceID=14","4.2")</f>
        <v>4.2</v>
      </c>
      <c r="G196" s="4" t="str">
        <f>HYPERLINK("http://141.218.60.56/~jnz1568/getInfo.php?workbook=14_04.xlsx&amp;sheet=U0&amp;row=196&amp;col=7&amp;number=0.294&amp;sourceID=14","0.294")</f>
        <v>0.294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HYPERLINK("http://141.218.60.56/~jnz1568/getInfo.php?workbook=14_04.xlsx&amp;sheet=U0&amp;row=197&amp;col=6&amp;number=4.3&amp;sourceID=14","4.3")</f>
        <v>4.3</v>
      </c>
      <c r="G197" s="4" t="str">
        <f>HYPERLINK("http://141.218.60.56/~jnz1568/getInfo.php?workbook=14_04.xlsx&amp;sheet=U0&amp;row=197&amp;col=7&amp;number=0.292&amp;sourceID=14","0.292")</f>
        <v>0.292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HYPERLINK("http://141.218.60.56/~jnz1568/getInfo.php?workbook=14_04.xlsx&amp;sheet=U0&amp;row=198&amp;col=6&amp;number=4.4&amp;sourceID=14","4.4")</f>
        <v>4.4</v>
      </c>
      <c r="G198" s="4" t="str">
        <f>HYPERLINK("http://141.218.60.56/~jnz1568/getInfo.php?workbook=14_04.xlsx&amp;sheet=U0&amp;row=198&amp;col=7&amp;number=0.29&amp;sourceID=14","0.29")</f>
        <v>0.29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HYPERLINK("http://141.218.60.56/~jnz1568/getInfo.php?workbook=14_04.xlsx&amp;sheet=U0&amp;row=199&amp;col=6&amp;number=4.5&amp;sourceID=14","4.5")</f>
        <v>4.5</v>
      </c>
      <c r="G199" s="4" t="str">
        <f>HYPERLINK("http://141.218.60.56/~jnz1568/getInfo.php?workbook=14_04.xlsx&amp;sheet=U0&amp;row=199&amp;col=7&amp;number=0.287&amp;sourceID=14","0.287")</f>
        <v>0.287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HYPERLINK("http://141.218.60.56/~jnz1568/getInfo.php?workbook=14_04.xlsx&amp;sheet=U0&amp;row=200&amp;col=6&amp;number=4.6&amp;sourceID=14","4.6")</f>
        <v>4.6</v>
      </c>
      <c r="G200" s="4" t="str">
        <f>HYPERLINK("http://141.218.60.56/~jnz1568/getInfo.php?workbook=14_04.xlsx&amp;sheet=U0&amp;row=200&amp;col=7&amp;number=0.284&amp;sourceID=14","0.284")</f>
        <v>0.284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HYPERLINK("http://141.218.60.56/~jnz1568/getInfo.php?workbook=14_04.xlsx&amp;sheet=U0&amp;row=201&amp;col=6&amp;number=4.7&amp;sourceID=14","4.7")</f>
        <v>4.7</v>
      </c>
      <c r="G201" s="4" t="str">
        <f>HYPERLINK("http://141.218.60.56/~jnz1568/getInfo.php?workbook=14_04.xlsx&amp;sheet=U0&amp;row=201&amp;col=7&amp;number=0.28&amp;sourceID=14","0.28")</f>
        <v>0.28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HYPERLINK("http://141.218.60.56/~jnz1568/getInfo.php?workbook=14_04.xlsx&amp;sheet=U0&amp;row=202&amp;col=6&amp;number=4.8&amp;sourceID=14","4.8")</f>
        <v>4.8</v>
      </c>
      <c r="G202" s="4" t="str">
        <f>HYPERLINK("http://141.218.60.56/~jnz1568/getInfo.php?workbook=14_04.xlsx&amp;sheet=U0&amp;row=202&amp;col=7&amp;number=0.275&amp;sourceID=14","0.275")</f>
        <v>0.275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HYPERLINK("http://141.218.60.56/~jnz1568/getInfo.php?workbook=14_04.xlsx&amp;sheet=U0&amp;row=203&amp;col=6&amp;number=4.9&amp;sourceID=14","4.9")</f>
        <v>4.9</v>
      </c>
      <c r="G203" s="4" t="str">
        <f>HYPERLINK("http://141.218.60.56/~jnz1568/getInfo.php?workbook=14_04.xlsx&amp;sheet=U0&amp;row=203&amp;col=7&amp;number=0.27&amp;sourceID=14","0.27")</f>
        <v>0.27</v>
      </c>
    </row>
    <row r="204" spans="1:7">
      <c r="A204" s="3">
        <v>14</v>
      </c>
      <c r="B204" s="3">
        <v>4</v>
      </c>
      <c r="C204" s="3">
        <v>2</v>
      </c>
      <c r="D204" s="3">
        <v>4</v>
      </c>
      <c r="E204" s="3">
        <v>1</v>
      </c>
      <c r="F204" s="4" t="str">
        <f>HYPERLINK("http://141.218.60.56/~jnz1568/getInfo.php?workbook=14_04.xlsx&amp;sheet=U0&amp;row=204&amp;col=6&amp;number=3&amp;sourceID=14","3")</f>
        <v>3</v>
      </c>
      <c r="G204" s="4" t="str">
        <f>HYPERLINK("http://141.218.60.56/~jnz1568/getInfo.php?workbook=14_04.xlsx&amp;sheet=U0&amp;row=204&amp;col=7&amp;number=0.281&amp;sourceID=14","0.281")</f>
        <v>0.281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HYPERLINK("http://141.218.60.56/~jnz1568/getInfo.php?workbook=14_04.xlsx&amp;sheet=U0&amp;row=205&amp;col=6&amp;number=3.1&amp;sourceID=14","3.1")</f>
        <v>3.1</v>
      </c>
      <c r="G205" s="4" t="str">
        <f>HYPERLINK("http://141.218.60.56/~jnz1568/getInfo.php?workbook=14_04.xlsx&amp;sheet=U0&amp;row=205&amp;col=7&amp;number=0.28&amp;sourceID=14","0.28")</f>
        <v>0.28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HYPERLINK("http://141.218.60.56/~jnz1568/getInfo.php?workbook=14_04.xlsx&amp;sheet=U0&amp;row=206&amp;col=6&amp;number=3.2&amp;sourceID=14","3.2")</f>
        <v>3.2</v>
      </c>
      <c r="G206" s="4" t="str">
        <f>HYPERLINK("http://141.218.60.56/~jnz1568/getInfo.php?workbook=14_04.xlsx&amp;sheet=U0&amp;row=206&amp;col=7&amp;number=0.28&amp;sourceID=14","0.28")</f>
        <v>0.28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HYPERLINK("http://141.218.60.56/~jnz1568/getInfo.php?workbook=14_04.xlsx&amp;sheet=U0&amp;row=207&amp;col=6&amp;number=3.3&amp;sourceID=14","3.3")</f>
        <v>3.3</v>
      </c>
      <c r="G207" s="4" t="str">
        <f>HYPERLINK("http://141.218.60.56/~jnz1568/getInfo.php?workbook=14_04.xlsx&amp;sheet=U0&amp;row=207&amp;col=7&amp;number=0.28&amp;sourceID=14","0.28")</f>
        <v>0.28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HYPERLINK("http://141.218.60.56/~jnz1568/getInfo.php?workbook=14_04.xlsx&amp;sheet=U0&amp;row=208&amp;col=6&amp;number=3.4&amp;sourceID=14","3.4")</f>
        <v>3.4</v>
      </c>
      <c r="G208" s="4" t="str">
        <f>HYPERLINK("http://141.218.60.56/~jnz1568/getInfo.php?workbook=14_04.xlsx&amp;sheet=U0&amp;row=208&amp;col=7&amp;number=0.28&amp;sourceID=14","0.28")</f>
        <v>0.28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HYPERLINK("http://141.218.60.56/~jnz1568/getInfo.php?workbook=14_04.xlsx&amp;sheet=U0&amp;row=209&amp;col=6&amp;number=3.5&amp;sourceID=14","3.5")</f>
        <v>3.5</v>
      </c>
      <c r="G209" s="4" t="str">
        <f>HYPERLINK("http://141.218.60.56/~jnz1568/getInfo.php?workbook=14_04.xlsx&amp;sheet=U0&amp;row=209&amp;col=7&amp;number=0.28&amp;sourceID=14","0.28")</f>
        <v>0.28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HYPERLINK("http://141.218.60.56/~jnz1568/getInfo.php?workbook=14_04.xlsx&amp;sheet=U0&amp;row=210&amp;col=6&amp;number=3.6&amp;sourceID=14","3.6")</f>
        <v>3.6</v>
      </c>
      <c r="G210" s="4" t="str">
        <f>HYPERLINK("http://141.218.60.56/~jnz1568/getInfo.php?workbook=14_04.xlsx&amp;sheet=U0&amp;row=210&amp;col=7&amp;number=0.279&amp;sourceID=14","0.279")</f>
        <v>0.279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HYPERLINK("http://141.218.60.56/~jnz1568/getInfo.php?workbook=14_04.xlsx&amp;sheet=U0&amp;row=211&amp;col=6&amp;number=3.7&amp;sourceID=14","3.7")</f>
        <v>3.7</v>
      </c>
      <c r="G211" s="4" t="str">
        <f>HYPERLINK("http://141.218.60.56/~jnz1568/getInfo.php?workbook=14_04.xlsx&amp;sheet=U0&amp;row=211&amp;col=7&amp;number=0.279&amp;sourceID=14","0.279")</f>
        <v>0.279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HYPERLINK("http://141.218.60.56/~jnz1568/getInfo.php?workbook=14_04.xlsx&amp;sheet=U0&amp;row=212&amp;col=6&amp;number=3.8&amp;sourceID=14","3.8")</f>
        <v>3.8</v>
      </c>
      <c r="G212" s="4" t="str">
        <f>HYPERLINK("http://141.218.60.56/~jnz1568/getInfo.php?workbook=14_04.xlsx&amp;sheet=U0&amp;row=212&amp;col=7&amp;number=0.278&amp;sourceID=14","0.278")</f>
        <v>0.278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HYPERLINK("http://141.218.60.56/~jnz1568/getInfo.php?workbook=14_04.xlsx&amp;sheet=U0&amp;row=213&amp;col=6&amp;number=3.9&amp;sourceID=14","3.9")</f>
        <v>3.9</v>
      </c>
      <c r="G213" s="4" t="str">
        <f>HYPERLINK("http://141.218.60.56/~jnz1568/getInfo.php?workbook=14_04.xlsx&amp;sheet=U0&amp;row=213&amp;col=7&amp;number=0.278&amp;sourceID=14","0.278")</f>
        <v>0.278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HYPERLINK("http://141.218.60.56/~jnz1568/getInfo.php?workbook=14_04.xlsx&amp;sheet=U0&amp;row=214&amp;col=6&amp;number=4&amp;sourceID=14","4")</f>
        <v>4</v>
      </c>
      <c r="G214" s="4" t="str">
        <f>HYPERLINK("http://141.218.60.56/~jnz1568/getInfo.php?workbook=14_04.xlsx&amp;sheet=U0&amp;row=214&amp;col=7&amp;number=0.277&amp;sourceID=14","0.277")</f>
        <v>0.277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HYPERLINK("http://141.218.60.56/~jnz1568/getInfo.php?workbook=14_04.xlsx&amp;sheet=U0&amp;row=215&amp;col=6&amp;number=4.1&amp;sourceID=14","4.1")</f>
        <v>4.1</v>
      </c>
      <c r="G215" s="4" t="str">
        <f>HYPERLINK("http://141.218.60.56/~jnz1568/getInfo.php?workbook=14_04.xlsx&amp;sheet=U0&amp;row=215&amp;col=7&amp;number=0.276&amp;sourceID=14","0.276")</f>
        <v>0.276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HYPERLINK("http://141.218.60.56/~jnz1568/getInfo.php?workbook=14_04.xlsx&amp;sheet=U0&amp;row=216&amp;col=6&amp;number=4.2&amp;sourceID=14","4.2")</f>
        <v>4.2</v>
      </c>
      <c r="G216" s="4" t="str">
        <f>HYPERLINK("http://141.218.60.56/~jnz1568/getInfo.php?workbook=14_04.xlsx&amp;sheet=U0&amp;row=216&amp;col=7&amp;number=0.275&amp;sourceID=14","0.275")</f>
        <v>0.275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HYPERLINK("http://141.218.60.56/~jnz1568/getInfo.php?workbook=14_04.xlsx&amp;sheet=U0&amp;row=217&amp;col=6&amp;number=4.3&amp;sourceID=14","4.3")</f>
        <v>4.3</v>
      </c>
      <c r="G217" s="4" t="str">
        <f>HYPERLINK("http://141.218.60.56/~jnz1568/getInfo.php?workbook=14_04.xlsx&amp;sheet=U0&amp;row=217&amp;col=7&amp;number=0.273&amp;sourceID=14","0.273")</f>
        <v>0.273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HYPERLINK("http://141.218.60.56/~jnz1568/getInfo.php?workbook=14_04.xlsx&amp;sheet=U0&amp;row=218&amp;col=6&amp;number=4.4&amp;sourceID=14","4.4")</f>
        <v>4.4</v>
      </c>
      <c r="G218" s="4" t="str">
        <f>HYPERLINK("http://141.218.60.56/~jnz1568/getInfo.php?workbook=14_04.xlsx&amp;sheet=U0&amp;row=218&amp;col=7&amp;number=0.271&amp;sourceID=14","0.271")</f>
        <v>0.271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HYPERLINK("http://141.218.60.56/~jnz1568/getInfo.php?workbook=14_04.xlsx&amp;sheet=U0&amp;row=219&amp;col=6&amp;number=4.5&amp;sourceID=14","4.5")</f>
        <v>4.5</v>
      </c>
      <c r="G219" s="4" t="str">
        <f>HYPERLINK("http://141.218.60.56/~jnz1568/getInfo.php?workbook=14_04.xlsx&amp;sheet=U0&amp;row=219&amp;col=7&amp;number=0.269&amp;sourceID=14","0.269")</f>
        <v>0.269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HYPERLINK("http://141.218.60.56/~jnz1568/getInfo.php?workbook=14_04.xlsx&amp;sheet=U0&amp;row=220&amp;col=6&amp;number=4.6&amp;sourceID=14","4.6")</f>
        <v>4.6</v>
      </c>
      <c r="G220" s="4" t="str">
        <f>HYPERLINK("http://141.218.60.56/~jnz1568/getInfo.php?workbook=14_04.xlsx&amp;sheet=U0&amp;row=220&amp;col=7&amp;number=0.266&amp;sourceID=14","0.266")</f>
        <v>0.266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HYPERLINK("http://141.218.60.56/~jnz1568/getInfo.php?workbook=14_04.xlsx&amp;sheet=U0&amp;row=221&amp;col=6&amp;number=4.7&amp;sourceID=14","4.7")</f>
        <v>4.7</v>
      </c>
      <c r="G221" s="4" t="str">
        <f>HYPERLINK("http://141.218.60.56/~jnz1568/getInfo.php?workbook=14_04.xlsx&amp;sheet=U0&amp;row=221&amp;col=7&amp;number=0.262&amp;sourceID=14","0.262")</f>
        <v>0.262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HYPERLINK("http://141.218.60.56/~jnz1568/getInfo.php?workbook=14_04.xlsx&amp;sheet=U0&amp;row=222&amp;col=6&amp;number=4.8&amp;sourceID=14","4.8")</f>
        <v>4.8</v>
      </c>
      <c r="G222" s="4" t="str">
        <f>HYPERLINK("http://141.218.60.56/~jnz1568/getInfo.php?workbook=14_04.xlsx&amp;sheet=U0&amp;row=222&amp;col=7&amp;number=0.257&amp;sourceID=14","0.257")</f>
        <v>0.257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HYPERLINK("http://141.218.60.56/~jnz1568/getInfo.php?workbook=14_04.xlsx&amp;sheet=U0&amp;row=223&amp;col=6&amp;number=4.9&amp;sourceID=14","4.9")</f>
        <v>4.9</v>
      </c>
      <c r="G223" s="4" t="str">
        <f>HYPERLINK("http://141.218.60.56/~jnz1568/getInfo.php?workbook=14_04.xlsx&amp;sheet=U0&amp;row=223&amp;col=7&amp;number=0.251&amp;sourceID=14","0.251")</f>
        <v>0.251</v>
      </c>
    </row>
    <row r="224" spans="1:7">
      <c r="A224" s="3">
        <v>14</v>
      </c>
      <c r="B224" s="3">
        <v>4</v>
      </c>
      <c r="C224" s="3">
        <v>2</v>
      </c>
      <c r="D224" s="3">
        <v>5</v>
      </c>
      <c r="E224" s="3">
        <v>1</v>
      </c>
      <c r="F224" s="4" t="str">
        <f>HYPERLINK("http://141.218.60.56/~jnz1568/getInfo.php?workbook=14_04.xlsx&amp;sheet=U0&amp;row=224&amp;col=6&amp;number=3&amp;sourceID=14","3")</f>
        <v>3</v>
      </c>
      <c r="G224" s="4" t="str">
        <f>HYPERLINK("http://141.218.60.56/~jnz1568/getInfo.php?workbook=14_04.xlsx&amp;sheet=U0&amp;row=224&amp;col=7&amp;number=0.0361&amp;sourceID=14","0.0361")</f>
        <v>0.0361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HYPERLINK("http://141.218.60.56/~jnz1568/getInfo.php?workbook=14_04.xlsx&amp;sheet=U0&amp;row=225&amp;col=6&amp;number=3.1&amp;sourceID=14","3.1")</f>
        <v>3.1</v>
      </c>
      <c r="G225" s="4" t="str">
        <f>HYPERLINK("http://141.218.60.56/~jnz1568/getInfo.php?workbook=14_04.xlsx&amp;sheet=U0&amp;row=225&amp;col=7&amp;number=0.0361&amp;sourceID=14","0.0361")</f>
        <v>0.0361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HYPERLINK("http://141.218.60.56/~jnz1568/getInfo.php?workbook=14_04.xlsx&amp;sheet=U0&amp;row=226&amp;col=6&amp;number=3.2&amp;sourceID=14","3.2")</f>
        <v>3.2</v>
      </c>
      <c r="G226" s="4" t="str">
        <f>HYPERLINK("http://141.218.60.56/~jnz1568/getInfo.php?workbook=14_04.xlsx&amp;sheet=U0&amp;row=226&amp;col=7&amp;number=0.0361&amp;sourceID=14","0.0361")</f>
        <v>0.0361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HYPERLINK("http://141.218.60.56/~jnz1568/getInfo.php?workbook=14_04.xlsx&amp;sheet=U0&amp;row=227&amp;col=6&amp;number=3.3&amp;sourceID=14","3.3")</f>
        <v>3.3</v>
      </c>
      <c r="G227" s="4" t="str">
        <f>HYPERLINK("http://141.218.60.56/~jnz1568/getInfo.php?workbook=14_04.xlsx&amp;sheet=U0&amp;row=227&amp;col=7&amp;number=0.0361&amp;sourceID=14","0.0361")</f>
        <v>0.0361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HYPERLINK("http://141.218.60.56/~jnz1568/getInfo.php?workbook=14_04.xlsx&amp;sheet=U0&amp;row=228&amp;col=6&amp;number=3.4&amp;sourceID=14","3.4")</f>
        <v>3.4</v>
      </c>
      <c r="G228" s="4" t="str">
        <f>HYPERLINK("http://141.218.60.56/~jnz1568/getInfo.php?workbook=14_04.xlsx&amp;sheet=U0&amp;row=228&amp;col=7&amp;number=0.0361&amp;sourceID=14","0.0361")</f>
        <v>0.0361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HYPERLINK("http://141.218.60.56/~jnz1568/getInfo.php?workbook=14_04.xlsx&amp;sheet=U0&amp;row=229&amp;col=6&amp;number=3.5&amp;sourceID=14","3.5")</f>
        <v>3.5</v>
      </c>
      <c r="G229" s="4" t="str">
        <f>HYPERLINK("http://141.218.60.56/~jnz1568/getInfo.php?workbook=14_04.xlsx&amp;sheet=U0&amp;row=229&amp;col=7&amp;number=0.036&amp;sourceID=14","0.036")</f>
        <v>0.036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HYPERLINK("http://141.218.60.56/~jnz1568/getInfo.php?workbook=14_04.xlsx&amp;sheet=U0&amp;row=230&amp;col=6&amp;number=3.6&amp;sourceID=14","3.6")</f>
        <v>3.6</v>
      </c>
      <c r="G230" s="4" t="str">
        <f>HYPERLINK("http://141.218.60.56/~jnz1568/getInfo.php?workbook=14_04.xlsx&amp;sheet=U0&amp;row=230&amp;col=7&amp;number=0.036&amp;sourceID=14","0.036")</f>
        <v>0.036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HYPERLINK("http://141.218.60.56/~jnz1568/getInfo.php?workbook=14_04.xlsx&amp;sheet=U0&amp;row=231&amp;col=6&amp;number=3.7&amp;sourceID=14","3.7")</f>
        <v>3.7</v>
      </c>
      <c r="G231" s="4" t="str">
        <f>HYPERLINK("http://141.218.60.56/~jnz1568/getInfo.php?workbook=14_04.xlsx&amp;sheet=U0&amp;row=231&amp;col=7&amp;number=0.0359&amp;sourceID=14","0.0359")</f>
        <v>0.0359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HYPERLINK("http://141.218.60.56/~jnz1568/getInfo.php?workbook=14_04.xlsx&amp;sheet=U0&amp;row=232&amp;col=6&amp;number=3.8&amp;sourceID=14","3.8")</f>
        <v>3.8</v>
      </c>
      <c r="G232" s="4" t="str">
        <f>HYPERLINK("http://141.218.60.56/~jnz1568/getInfo.php?workbook=14_04.xlsx&amp;sheet=U0&amp;row=232&amp;col=7&amp;number=0.0359&amp;sourceID=14","0.0359")</f>
        <v>0.0359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HYPERLINK("http://141.218.60.56/~jnz1568/getInfo.php?workbook=14_04.xlsx&amp;sheet=U0&amp;row=233&amp;col=6&amp;number=3.9&amp;sourceID=14","3.9")</f>
        <v>3.9</v>
      </c>
      <c r="G233" s="4" t="str">
        <f>HYPERLINK("http://141.218.60.56/~jnz1568/getInfo.php?workbook=14_04.xlsx&amp;sheet=U0&amp;row=233&amp;col=7&amp;number=0.0358&amp;sourceID=14","0.0358")</f>
        <v>0.0358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HYPERLINK("http://141.218.60.56/~jnz1568/getInfo.php?workbook=14_04.xlsx&amp;sheet=U0&amp;row=234&amp;col=6&amp;number=4&amp;sourceID=14","4")</f>
        <v>4</v>
      </c>
      <c r="G234" s="4" t="str">
        <f>HYPERLINK("http://141.218.60.56/~jnz1568/getInfo.php?workbook=14_04.xlsx&amp;sheet=U0&amp;row=234&amp;col=7&amp;number=0.0357&amp;sourceID=14","0.0357")</f>
        <v>0.0357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HYPERLINK("http://141.218.60.56/~jnz1568/getInfo.php?workbook=14_04.xlsx&amp;sheet=U0&amp;row=235&amp;col=6&amp;number=4.1&amp;sourceID=14","4.1")</f>
        <v>4.1</v>
      </c>
      <c r="G235" s="4" t="str">
        <f>HYPERLINK("http://141.218.60.56/~jnz1568/getInfo.php?workbook=14_04.xlsx&amp;sheet=U0&amp;row=235&amp;col=7&amp;number=0.0356&amp;sourceID=14","0.0356")</f>
        <v>0.0356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HYPERLINK("http://141.218.60.56/~jnz1568/getInfo.php?workbook=14_04.xlsx&amp;sheet=U0&amp;row=236&amp;col=6&amp;number=4.2&amp;sourceID=14","4.2")</f>
        <v>4.2</v>
      </c>
      <c r="G236" s="4" t="str">
        <f>HYPERLINK("http://141.218.60.56/~jnz1568/getInfo.php?workbook=14_04.xlsx&amp;sheet=U0&amp;row=236&amp;col=7&amp;number=0.0354&amp;sourceID=14","0.0354")</f>
        <v>0.0354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HYPERLINK("http://141.218.60.56/~jnz1568/getInfo.php?workbook=14_04.xlsx&amp;sheet=U0&amp;row=237&amp;col=6&amp;number=4.3&amp;sourceID=14","4.3")</f>
        <v>4.3</v>
      </c>
      <c r="G237" s="4" t="str">
        <f>HYPERLINK("http://141.218.60.56/~jnz1568/getInfo.php?workbook=14_04.xlsx&amp;sheet=U0&amp;row=237&amp;col=7&amp;number=0.0352&amp;sourceID=14","0.0352")</f>
        <v>0.0352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HYPERLINK("http://141.218.60.56/~jnz1568/getInfo.php?workbook=14_04.xlsx&amp;sheet=U0&amp;row=238&amp;col=6&amp;number=4.4&amp;sourceID=14","4.4")</f>
        <v>4.4</v>
      </c>
      <c r="G238" s="4" t="str">
        <f>HYPERLINK("http://141.218.60.56/~jnz1568/getInfo.php?workbook=14_04.xlsx&amp;sheet=U0&amp;row=238&amp;col=7&amp;number=0.035&amp;sourceID=14","0.035")</f>
        <v>0.035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HYPERLINK("http://141.218.60.56/~jnz1568/getInfo.php?workbook=14_04.xlsx&amp;sheet=U0&amp;row=239&amp;col=6&amp;number=4.5&amp;sourceID=14","4.5")</f>
        <v>4.5</v>
      </c>
      <c r="G239" s="4" t="str">
        <f>HYPERLINK("http://141.218.60.56/~jnz1568/getInfo.php?workbook=14_04.xlsx&amp;sheet=U0&amp;row=239&amp;col=7&amp;number=0.0347&amp;sourceID=14","0.0347")</f>
        <v>0.0347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HYPERLINK("http://141.218.60.56/~jnz1568/getInfo.php?workbook=14_04.xlsx&amp;sheet=U0&amp;row=240&amp;col=6&amp;number=4.6&amp;sourceID=14","4.6")</f>
        <v>4.6</v>
      </c>
      <c r="G240" s="4" t="str">
        <f>HYPERLINK("http://141.218.60.56/~jnz1568/getInfo.php?workbook=14_04.xlsx&amp;sheet=U0&amp;row=240&amp;col=7&amp;number=0.0343&amp;sourceID=14","0.0343")</f>
        <v>0.0343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HYPERLINK("http://141.218.60.56/~jnz1568/getInfo.php?workbook=14_04.xlsx&amp;sheet=U0&amp;row=241&amp;col=6&amp;number=4.7&amp;sourceID=14","4.7")</f>
        <v>4.7</v>
      </c>
      <c r="G241" s="4" t="str">
        <f>HYPERLINK("http://141.218.60.56/~jnz1568/getInfo.php?workbook=14_04.xlsx&amp;sheet=U0&amp;row=241&amp;col=7&amp;number=0.0339&amp;sourceID=14","0.0339")</f>
        <v>0.0339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HYPERLINK("http://141.218.60.56/~jnz1568/getInfo.php?workbook=14_04.xlsx&amp;sheet=U0&amp;row=242&amp;col=6&amp;number=4.8&amp;sourceID=14","4.8")</f>
        <v>4.8</v>
      </c>
      <c r="G242" s="4" t="str">
        <f>HYPERLINK("http://141.218.60.56/~jnz1568/getInfo.php?workbook=14_04.xlsx&amp;sheet=U0&amp;row=242&amp;col=7&amp;number=0.0333&amp;sourceID=14","0.0333")</f>
        <v>0.0333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HYPERLINK("http://141.218.60.56/~jnz1568/getInfo.php?workbook=14_04.xlsx&amp;sheet=U0&amp;row=243&amp;col=6&amp;number=4.9&amp;sourceID=14","4.9")</f>
        <v>4.9</v>
      </c>
      <c r="G243" s="4" t="str">
        <f>HYPERLINK("http://141.218.60.56/~jnz1568/getInfo.php?workbook=14_04.xlsx&amp;sheet=U0&amp;row=243&amp;col=7&amp;number=0.0326&amp;sourceID=14","0.0326")</f>
        <v>0.0326</v>
      </c>
    </row>
    <row r="244" spans="1:7">
      <c r="A244" s="3">
        <v>14</v>
      </c>
      <c r="B244" s="3">
        <v>4</v>
      </c>
      <c r="C244" s="3">
        <v>2</v>
      </c>
      <c r="D244" s="3">
        <v>6</v>
      </c>
      <c r="E244" s="3">
        <v>1</v>
      </c>
      <c r="F244" s="4" t="str">
        <f>HYPERLINK("http://141.218.60.56/~jnz1568/getInfo.php?workbook=14_04.xlsx&amp;sheet=U0&amp;row=244&amp;col=6&amp;number=3&amp;sourceID=14","3")</f>
        <v>3</v>
      </c>
      <c r="G244" s="4" t="str">
        <f>HYPERLINK("http://141.218.60.56/~jnz1568/getInfo.php?workbook=14_04.xlsx&amp;sheet=U0&amp;row=244&amp;col=7&amp;number=0.00433&amp;sourceID=14","0.00433")</f>
        <v>0.00433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HYPERLINK("http://141.218.60.56/~jnz1568/getInfo.php?workbook=14_04.xlsx&amp;sheet=U0&amp;row=245&amp;col=6&amp;number=3.1&amp;sourceID=14","3.1")</f>
        <v>3.1</v>
      </c>
      <c r="G245" s="4" t="str">
        <f>HYPERLINK("http://141.218.60.56/~jnz1568/getInfo.php?workbook=14_04.xlsx&amp;sheet=U0&amp;row=245&amp;col=7&amp;number=0.00433&amp;sourceID=14","0.00433")</f>
        <v>0.00433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HYPERLINK("http://141.218.60.56/~jnz1568/getInfo.php?workbook=14_04.xlsx&amp;sheet=U0&amp;row=246&amp;col=6&amp;number=3.2&amp;sourceID=14","3.2")</f>
        <v>3.2</v>
      </c>
      <c r="G246" s="4" t="str">
        <f>HYPERLINK("http://141.218.60.56/~jnz1568/getInfo.php?workbook=14_04.xlsx&amp;sheet=U0&amp;row=246&amp;col=7&amp;number=0.00433&amp;sourceID=14","0.00433")</f>
        <v>0.00433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HYPERLINK("http://141.218.60.56/~jnz1568/getInfo.php?workbook=14_04.xlsx&amp;sheet=U0&amp;row=247&amp;col=6&amp;number=3.3&amp;sourceID=14","3.3")</f>
        <v>3.3</v>
      </c>
      <c r="G247" s="4" t="str">
        <f>HYPERLINK("http://141.218.60.56/~jnz1568/getInfo.php?workbook=14_04.xlsx&amp;sheet=U0&amp;row=247&amp;col=7&amp;number=0.00433&amp;sourceID=14","0.00433")</f>
        <v>0.00433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HYPERLINK("http://141.218.60.56/~jnz1568/getInfo.php?workbook=14_04.xlsx&amp;sheet=U0&amp;row=248&amp;col=6&amp;number=3.4&amp;sourceID=14","3.4")</f>
        <v>3.4</v>
      </c>
      <c r="G248" s="4" t="str">
        <f>HYPERLINK("http://141.218.60.56/~jnz1568/getInfo.php?workbook=14_04.xlsx&amp;sheet=U0&amp;row=248&amp;col=7&amp;number=0.00432&amp;sourceID=14","0.00432")</f>
        <v>0.00432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HYPERLINK("http://141.218.60.56/~jnz1568/getInfo.php?workbook=14_04.xlsx&amp;sheet=U0&amp;row=249&amp;col=6&amp;number=3.5&amp;sourceID=14","3.5")</f>
        <v>3.5</v>
      </c>
      <c r="G249" s="4" t="str">
        <f>HYPERLINK("http://141.218.60.56/~jnz1568/getInfo.php?workbook=14_04.xlsx&amp;sheet=U0&amp;row=249&amp;col=7&amp;number=0.00432&amp;sourceID=14","0.00432")</f>
        <v>0.00432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HYPERLINK("http://141.218.60.56/~jnz1568/getInfo.php?workbook=14_04.xlsx&amp;sheet=U0&amp;row=250&amp;col=6&amp;number=3.6&amp;sourceID=14","3.6")</f>
        <v>3.6</v>
      </c>
      <c r="G250" s="4" t="str">
        <f>HYPERLINK("http://141.218.60.56/~jnz1568/getInfo.php?workbook=14_04.xlsx&amp;sheet=U0&amp;row=250&amp;col=7&amp;number=0.00432&amp;sourceID=14","0.00432")</f>
        <v>0.00432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HYPERLINK("http://141.218.60.56/~jnz1568/getInfo.php?workbook=14_04.xlsx&amp;sheet=U0&amp;row=251&amp;col=6&amp;number=3.7&amp;sourceID=14","3.7")</f>
        <v>3.7</v>
      </c>
      <c r="G251" s="4" t="str">
        <f>HYPERLINK("http://141.218.60.56/~jnz1568/getInfo.php?workbook=14_04.xlsx&amp;sheet=U0&amp;row=251&amp;col=7&amp;number=0.00432&amp;sourceID=14","0.00432")</f>
        <v>0.00432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HYPERLINK("http://141.218.60.56/~jnz1568/getInfo.php?workbook=14_04.xlsx&amp;sheet=U0&amp;row=252&amp;col=6&amp;number=3.8&amp;sourceID=14","3.8")</f>
        <v>3.8</v>
      </c>
      <c r="G252" s="4" t="str">
        <f>HYPERLINK("http://141.218.60.56/~jnz1568/getInfo.php?workbook=14_04.xlsx&amp;sheet=U0&amp;row=252&amp;col=7&amp;number=0.00432&amp;sourceID=14","0.00432")</f>
        <v>0.00432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HYPERLINK("http://141.218.60.56/~jnz1568/getInfo.php?workbook=14_04.xlsx&amp;sheet=U0&amp;row=253&amp;col=6&amp;number=3.9&amp;sourceID=14","3.9")</f>
        <v>3.9</v>
      </c>
      <c r="G253" s="4" t="str">
        <f>HYPERLINK("http://141.218.60.56/~jnz1568/getInfo.php?workbook=14_04.xlsx&amp;sheet=U0&amp;row=253&amp;col=7&amp;number=0.00432&amp;sourceID=14","0.00432")</f>
        <v>0.00432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HYPERLINK("http://141.218.60.56/~jnz1568/getInfo.php?workbook=14_04.xlsx&amp;sheet=U0&amp;row=254&amp;col=6&amp;number=4&amp;sourceID=14","4")</f>
        <v>4</v>
      </c>
      <c r="G254" s="4" t="str">
        <f>HYPERLINK("http://141.218.60.56/~jnz1568/getInfo.php?workbook=14_04.xlsx&amp;sheet=U0&amp;row=254&amp;col=7&amp;number=0.00432&amp;sourceID=14","0.00432")</f>
        <v>0.00432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HYPERLINK("http://141.218.60.56/~jnz1568/getInfo.php?workbook=14_04.xlsx&amp;sheet=U0&amp;row=255&amp;col=6&amp;number=4.1&amp;sourceID=14","4.1")</f>
        <v>4.1</v>
      </c>
      <c r="G255" s="4" t="str">
        <f>HYPERLINK("http://141.218.60.56/~jnz1568/getInfo.php?workbook=14_04.xlsx&amp;sheet=U0&amp;row=255&amp;col=7&amp;number=0.00431&amp;sourceID=14","0.00431")</f>
        <v>0.00431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HYPERLINK("http://141.218.60.56/~jnz1568/getInfo.php?workbook=14_04.xlsx&amp;sheet=U0&amp;row=256&amp;col=6&amp;number=4.2&amp;sourceID=14","4.2")</f>
        <v>4.2</v>
      </c>
      <c r="G256" s="4" t="str">
        <f>HYPERLINK("http://141.218.60.56/~jnz1568/getInfo.php?workbook=14_04.xlsx&amp;sheet=U0&amp;row=256&amp;col=7&amp;number=0.00431&amp;sourceID=14","0.00431")</f>
        <v>0.00431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HYPERLINK("http://141.218.60.56/~jnz1568/getInfo.php?workbook=14_04.xlsx&amp;sheet=U0&amp;row=257&amp;col=6&amp;number=4.3&amp;sourceID=14","4.3")</f>
        <v>4.3</v>
      </c>
      <c r="G257" s="4" t="str">
        <f>HYPERLINK("http://141.218.60.56/~jnz1568/getInfo.php?workbook=14_04.xlsx&amp;sheet=U0&amp;row=257&amp;col=7&amp;number=0.0043&amp;sourceID=14","0.0043")</f>
        <v>0.0043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HYPERLINK("http://141.218.60.56/~jnz1568/getInfo.php?workbook=14_04.xlsx&amp;sheet=U0&amp;row=258&amp;col=6&amp;number=4.4&amp;sourceID=14","4.4")</f>
        <v>4.4</v>
      </c>
      <c r="G258" s="4" t="str">
        <f>HYPERLINK("http://141.218.60.56/~jnz1568/getInfo.php?workbook=14_04.xlsx&amp;sheet=U0&amp;row=258&amp;col=7&amp;number=0.0043&amp;sourceID=14","0.0043")</f>
        <v>0.0043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HYPERLINK("http://141.218.60.56/~jnz1568/getInfo.php?workbook=14_04.xlsx&amp;sheet=U0&amp;row=259&amp;col=6&amp;number=4.5&amp;sourceID=14","4.5")</f>
        <v>4.5</v>
      </c>
      <c r="G259" s="4" t="str">
        <f>HYPERLINK("http://141.218.60.56/~jnz1568/getInfo.php?workbook=14_04.xlsx&amp;sheet=U0&amp;row=259&amp;col=7&amp;number=0.00429&amp;sourceID=14","0.00429")</f>
        <v>0.00429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HYPERLINK("http://141.218.60.56/~jnz1568/getInfo.php?workbook=14_04.xlsx&amp;sheet=U0&amp;row=260&amp;col=6&amp;number=4.6&amp;sourceID=14","4.6")</f>
        <v>4.6</v>
      </c>
      <c r="G260" s="4" t="str">
        <f>HYPERLINK("http://141.218.60.56/~jnz1568/getInfo.php?workbook=14_04.xlsx&amp;sheet=U0&amp;row=260&amp;col=7&amp;number=0.00428&amp;sourceID=14","0.00428")</f>
        <v>0.00428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HYPERLINK("http://141.218.60.56/~jnz1568/getInfo.php?workbook=14_04.xlsx&amp;sheet=U0&amp;row=261&amp;col=6&amp;number=4.7&amp;sourceID=14","4.7")</f>
        <v>4.7</v>
      </c>
      <c r="G261" s="4" t="str">
        <f>HYPERLINK("http://141.218.60.56/~jnz1568/getInfo.php?workbook=14_04.xlsx&amp;sheet=U0&amp;row=261&amp;col=7&amp;number=0.00427&amp;sourceID=14","0.00427")</f>
        <v>0.00427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HYPERLINK("http://141.218.60.56/~jnz1568/getInfo.php?workbook=14_04.xlsx&amp;sheet=U0&amp;row=262&amp;col=6&amp;number=4.8&amp;sourceID=14","4.8")</f>
        <v>4.8</v>
      </c>
      <c r="G262" s="4" t="str">
        <f>HYPERLINK("http://141.218.60.56/~jnz1568/getInfo.php?workbook=14_04.xlsx&amp;sheet=U0&amp;row=262&amp;col=7&amp;number=0.00425&amp;sourceID=14","0.00425")</f>
        <v>0.00425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HYPERLINK("http://141.218.60.56/~jnz1568/getInfo.php?workbook=14_04.xlsx&amp;sheet=U0&amp;row=263&amp;col=6&amp;number=4.9&amp;sourceID=14","4.9")</f>
        <v>4.9</v>
      </c>
      <c r="G263" s="4" t="str">
        <f>HYPERLINK("http://141.218.60.56/~jnz1568/getInfo.php?workbook=14_04.xlsx&amp;sheet=U0&amp;row=263&amp;col=7&amp;number=0.00424&amp;sourceID=14","0.00424")</f>
        <v>0.00424</v>
      </c>
    </row>
    <row r="264" spans="1:7">
      <c r="A264" s="3">
        <v>14</v>
      </c>
      <c r="B264" s="3">
        <v>4</v>
      </c>
      <c r="C264" s="3">
        <v>2</v>
      </c>
      <c r="D264" s="3">
        <v>7</v>
      </c>
      <c r="E264" s="3">
        <v>1</v>
      </c>
      <c r="F264" s="4" t="str">
        <f>HYPERLINK("http://141.218.60.56/~jnz1568/getInfo.php?workbook=14_04.xlsx&amp;sheet=U0&amp;row=264&amp;col=6&amp;number=3&amp;sourceID=14","3")</f>
        <v>3</v>
      </c>
      <c r="G264" s="4" t="str">
        <f>HYPERLINK("http://141.218.60.56/~jnz1568/getInfo.php?workbook=14_04.xlsx&amp;sheet=U0&amp;row=264&amp;col=7&amp;number=0.505&amp;sourceID=14","0.505")</f>
        <v>0.505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HYPERLINK("http://141.218.60.56/~jnz1568/getInfo.php?workbook=14_04.xlsx&amp;sheet=U0&amp;row=265&amp;col=6&amp;number=3.1&amp;sourceID=14","3.1")</f>
        <v>3.1</v>
      </c>
      <c r="G265" s="4" t="str">
        <f>HYPERLINK("http://141.218.60.56/~jnz1568/getInfo.php?workbook=14_04.xlsx&amp;sheet=U0&amp;row=265&amp;col=7&amp;number=0.505&amp;sourceID=14","0.505")</f>
        <v>0.505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HYPERLINK("http://141.218.60.56/~jnz1568/getInfo.php?workbook=14_04.xlsx&amp;sheet=U0&amp;row=266&amp;col=6&amp;number=3.2&amp;sourceID=14","3.2")</f>
        <v>3.2</v>
      </c>
      <c r="G266" s="4" t="str">
        <f>HYPERLINK("http://141.218.60.56/~jnz1568/getInfo.php?workbook=14_04.xlsx&amp;sheet=U0&amp;row=266&amp;col=7&amp;number=0.505&amp;sourceID=14","0.505")</f>
        <v>0.505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HYPERLINK("http://141.218.60.56/~jnz1568/getInfo.php?workbook=14_04.xlsx&amp;sheet=U0&amp;row=267&amp;col=6&amp;number=3.3&amp;sourceID=14","3.3")</f>
        <v>3.3</v>
      </c>
      <c r="G267" s="4" t="str">
        <f>HYPERLINK("http://141.218.60.56/~jnz1568/getInfo.php?workbook=14_04.xlsx&amp;sheet=U0&amp;row=267&amp;col=7&amp;number=0.506&amp;sourceID=14","0.506")</f>
        <v>0.506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HYPERLINK("http://141.218.60.56/~jnz1568/getInfo.php?workbook=14_04.xlsx&amp;sheet=U0&amp;row=268&amp;col=6&amp;number=3.4&amp;sourceID=14","3.4")</f>
        <v>3.4</v>
      </c>
      <c r="G268" s="4" t="str">
        <f>HYPERLINK("http://141.218.60.56/~jnz1568/getInfo.php?workbook=14_04.xlsx&amp;sheet=U0&amp;row=268&amp;col=7&amp;number=0.506&amp;sourceID=14","0.506")</f>
        <v>0.506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HYPERLINK("http://141.218.60.56/~jnz1568/getInfo.php?workbook=14_04.xlsx&amp;sheet=U0&amp;row=269&amp;col=6&amp;number=3.5&amp;sourceID=14","3.5")</f>
        <v>3.5</v>
      </c>
      <c r="G269" s="4" t="str">
        <f>HYPERLINK("http://141.218.60.56/~jnz1568/getInfo.php?workbook=14_04.xlsx&amp;sheet=U0&amp;row=269&amp;col=7&amp;number=0.506&amp;sourceID=14","0.506")</f>
        <v>0.506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HYPERLINK("http://141.218.60.56/~jnz1568/getInfo.php?workbook=14_04.xlsx&amp;sheet=U0&amp;row=270&amp;col=6&amp;number=3.6&amp;sourceID=14","3.6")</f>
        <v>3.6</v>
      </c>
      <c r="G270" s="4" t="str">
        <f>HYPERLINK("http://141.218.60.56/~jnz1568/getInfo.php?workbook=14_04.xlsx&amp;sheet=U0&amp;row=270&amp;col=7&amp;number=0.506&amp;sourceID=14","0.506")</f>
        <v>0.506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HYPERLINK("http://141.218.60.56/~jnz1568/getInfo.php?workbook=14_04.xlsx&amp;sheet=U0&amp;row=271&amp;col=6&amp;number=3.7&amp;sourceID=14","3.7")</f>
        <v>3.7</v>
      </c>
      <c r="G271" s="4" t="str">
        <f>HYPERLINK("http://141.218.60.56/~jnz1568/getInfo.php?workbook=14_04.xlsx&amp;sheet=U0&amp;row=271&amp;col=7&amp;number=0.506&amp;sourceID=14","0.506")</f>
        <v>0.506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HYPERLINK("http://141.218.60.56/~jnz1568/getInfo.php?workbook=14_04.xlsx&amp;sheet=U0&amp;row=272&amp;col=6&amp;number=3.8&amp;sourceID=14","3.8")</f>
        <v>3.8</v>
      </c>
      <c r="G272" s="4" t="str">
        <f>HYPERLINK("http://141.218.60.56/~jnz1568/getInfo.php?workbook=14_04.xlsx&amp;sheet=U0&amp;row=272&amp;col=7&amp;number=0.506&amp;sourceID=14","0.506")</f>
        <v>0.506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HYPERLINK("http://141.218.60.56/~jnz1568/getInfo.php?workbook=14_04.xlsx&amp;sheet=U0&amp;row=273&amp;col=6&amp;number=3.9&amp;sourceID=14","3.9")</f>
        <v>3.9</v>
      </c>
      <c r="G273" s="4" t="str">
        <f>HYPERLINK("http://141.218.60.56/~jnz1568/getInfo.php?workbook=14_04.xlsx&amp;sheet=U0&amp;row=273&amp;col=7&amp;number=0.506&amp;sourceID=14","0.506")</f>
        <v>0.506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HYPERLINK("http://141.218.60.56/~jnz1568/getInfo.php?workbook=14_04.xlsx&amp;sheet=U0&amp;row=274&amp;col=6&amp;number=4&amp;sourceID=14","4")</f>
        <v>4</v>
      </c>
      <c r="G274" s="4" t="str">
        <f>HYPERLINK("http://141.218.60.56/~jnz1568/getInfo.php?workbook=14_04.xlsx&amp;sheet=U0&amp;row=274&amp;col=7&amp;number=0.506&amp;sourceID=14","0.506")</f>
        <v>0.506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HYPERLINK("http://141.218.60.56/~jnz1568/getInfo.php?workbook=14_04.xlsx&amp;sheet=U0&amp;row=275&amp;col=6&amp;number=4.1&amp;sourceID=14","4.1")</f>
        <v>4.1</v>
      </c>
      <c r="G275" s="4" t="str">
        <f>HYPERLINK("http://141.218.60.56/~jnz1568/getInfo.php?workbook=14_04.xlsx&amp;sheet=U0&amp;row=275&amp;col=7&amp;number=0.507&amp;sourceID=14","0.507")</f>
        <v>0.507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HYPERLINK("http://141.218.60.56/~jnz1568/getInfo.php?workbook=14_04.xlsx&amp;sheet=U0&amp;row=276&amp;col=6&amp;number=4.2&amp;sourceID=14","4.2")</f>
        <v>4.2</v>
      </c>
      <c r="G276" s="4" t="str">
        <f>HYPERLINK("http://141.218.60.56/~jnz1568/getInfo.php?workbook=14_04.xlsx&amp;sheet=U0&amp;row=276&amp;col=7&amp;number=0.507&amp;sourceID=14","0.507")</f>
        <v>0.507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HYPERLINK("http://141.218.60.56/~jnz1568/getInfo.php?workbook=14_04.xlsx&amp;sheet=U0&amp;row=277&amp;col=6&amp;number=4.3&amp;sourceID=14","4.3")</f>
        <v>4.3</v>
      </c>
      <c r="G277" s="4" t="str">
        <f>HYPERLINK("http://141.218.60.56/~jnz1568/getInfo.php?workbook=14_04.xlsx&amp;sheet=U0&amp;row=277&amp;col=7&amp;number=0.507&amp;sourceID=14","0.507")</f>
        <v>0.507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HYPERLINK("http://141.218.60.56/~jnz1568/getInfo.php?workbook=14_04.xlsx&amp;sheet=U0&amp;row=278&amp;col=6&amp;number=4.4&amp;sourceID=14","4.4")</f>
        <v>4.4</v>
      </c>
      <c r="G278" s="4" t="str">
        <f>HYPERLINK("http://141.218.60.56/~jnz1568/getInfo.php?workbook=14_04.xlsx&amp;sheet=U0&amp;row=278&amp;col=7&amp;number=0.508&amp;sourceID=14","0.508")</f>
        <v>0.508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HYPERLINK("http://141.218.60.56/~jnz1568/getInfo.php?workbook=14_04.xlsx&amp;sheet=U0&amp;row=279&amp;col=6&amp;number=4.5&amp;sourceID=14","4.5")</f>
        <v>4.5</v>
      </c>
      <c r="G279" s="4" t="str">
        <f>HYPERLINK("http://141.218.60.56/~jnz1568/getInfo.php?workbook=14_04.xlsx&amp;sheet=U0&amp;row=279&amp;col=7&amp;number=0.509&amp;sourceID=14","0.509")</f>
        <v>0.509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HYPERLINK("http://141.218.60.56/~jnz1568/getInfo.php?workbook=14_04.xlsx&amp;sheet=U0&amp;row=280&amp;col=6&amp;number=4.6&amp;sourceID=14","4.6")</f>
        <v>4.6</v>
      </c>
      <c r="G280" s="4" t="str">
        <f>HYPERLINK("http://141.218.60.56/~jnz1568/getInfo.php?workbook=14_04.xlsx&amp;sheet=U0&amp;row=280&amp;col=7&amp;number=0.509&amp;sourceID=14","0.509")</f>
        <v>0.509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HYPERLINK("http://141.218.60.56/~jnz1568/getInfo.php?workbook=14_04.xlsx&amp;sheet=U0&amp;row=281&amp;col=6&amp;number=4.7&amp;sourceID=14","4.7")</f>
        <v>4.7</v>
      </c>
      <c r="G281" s="4" t="str">
        <f>HYPERLINK("http://141.218.60.56/~jnz1568/getInfo.php?workbook=14_04.xlsx&amp;sheet=U0&amp;row=281&amp;col=7&amp;number=0.51&amp;sourceID=14","0.51")</f>
        <v>0.51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HYPERLINK("http://141.218.60.56/~jnz1568/getInfo.php?workbook=14_04.xlsx&amp;sheet=U0&amp;row=282&amp;col=6&amp;number=4.8&amp;sourceID=14","4.8")</f>
        <v>4.8</v>
      </c>
      <c r="G282" s="4" t="str">
        <f>HYPERLINK("http://141.218.60.56/~jnz1568/getInfo.php?workbook=14_04.xlsx&amp;sheet=U0&amp;row=282&amp;col=7&amp;number=0.512&amp;sourceID=14","0.512")</f>
        <v>0.512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HYPERLINK("http://141.218.60.56/~jnz1568/getInfo.php?workbook=14_04.xlsx&amp;sheet=U0&amp;row=283&amp;col=6&amp;number=4.9&amp;sourceID=14","4.9")</f>
        <v>4.9</v>
      </c>
      <c r="G283" s="4" t="str">
        <f>HYPERLINK("http://141.218.60.56/~jnz1568/getInfo.php?workbook=14_04.xlsx&amp;sheet=U0&amp;row=283&amp;col=7&amp;number=0.513&amp;sourceID=14","0.513")</f>
        <v>0.513</v>
      </c>
    </row>
    <row r="284" spans="1:7">
      <c r="A284" s="3">
        <v>14</v>
      </c>
      <c r="B284" s="3">
        <v>4</v>
      </c>
      <c r="C284" s="3">
        <v>2</v>
      </c>
      <c r="D284" s="3">
        <v>8</v>
      </c>
      <c r="E284" s="3">
        <v>1</v>
      </c>
      <c r="F284" s="4" t="str">
        <f>HYPERLINK("http://141.218.60.56/~jnz1568/getInfo.php?workbook=14_04.xlsx&amp;sheet=U0&amp;row=284&amp;col=6&amp;number=3&amp;sourceID=14","3")</f>
        <v>3</v>
      </c>
      <c r="G284" s="4" t="str">
        <f>HYPERLINK("http://141.218.60.56/~jnz1568/getInfo.php?workbook=14_04.xlsx&amp;sheet=U0&amp;row=284&amp;col=7&amp;number=0.00584&amp;sourceID=14","0.00584")</f>
        <v>0.00584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HYPERLINK("http://141.218.60.56/~jnz1568/getInfo.php?workbook=14_04.xlsx&amp;sheet=U0&amp;row=285&amp;col=6&amp;number=3.1&amp;sourceID=14","3.1")</f>
        <v>3.1</v>
      </c>
      <c r="G285" s="4" t="str">
        <f>HYPERLINK("http://141.218.60.56/~jnz1568/getInfo.php?workbook=14_04.xlsx&amp;sheet=U0&amp;row=285&amp;col=7&amp;number=0.00584&amp;sourceID=14","0.00584")</f>
        <v>0.00584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HYPERLINK("http://141.218.60.56/~jnz1568/getInfo.php?workbook=14_04.xlsx&amp;sheet=U0&amp;row=286&amp;col=6&amp;number=3.2&amp;sourceID=14","3.2")</f>
        <v>3.2</v>
      </c>
      <c r="G286" s="4" t="str">
        <f>HYPERLINK("http://141.218.60.56/~jnz1568/getInfo.php?workbook=14_04.xlsx&amp;sheet=U0&amp;row=286&amp;col=7&amp;number=0.00584&amp;sourceID=14","0.00584")</f>
        <v>0.00584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HYPERLINK("http://141.218.60.56/~jnz1568/getInfo.php?workbook=14_04.xlsx&amp;sheet=U0&amp;row=287&amp;col=6&amp;number=3.3&amp;sourceID=14","3.3")</f>
        <v>3.3</v>
      </c>
      <c r="G287" s="4" t="str">
        <f>HYPERLINK("http://141.218.60.56/~jnz1568/getInfo.php?workbook=14_04.xlsx&amp;sheet=U0&amp;row=287&amp;col=7&amp;number=0.00584&amp;sourceID=14","0.00584")</f>
        <v>0.00584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HYPERLINK("http://141.218.60.56/~jnz1568/getInfo.php?workbook=14_04.xlsx&amp;sheet=U0&amp;row=288&amp;col=6&amp;number=3.4&amp;sourceID=14","3.4")</f>
        <v>3.4</v>
      </c>
      <c r="G288" s="4" t="str">
        <f>HYPERLINK("http://141.218.60.56/~jnz1568/getInfo.php?workbook=14_04.xlsx&amp;sheet=U0&amp;row=288&amp;col=7&amp;number=0.00584&amp;sourceID=14","0.00584")</f>
        <v>0.00584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HYPERLINK("http://141.218.60.56/~jnz1568/getInfo.php?workbook=14_04.xlsx&amp;sheet=U0&amp;row=289&amp;col=6&amp;number=3.5&amp;sourceID=14","3.5")</f>
        <v>3.5</v>
      </c>
      <c r="G289" s="4" t="str">
        <f>HYPERLINK("http://141.218.60.56/~jnz1568/getInfo.php?workbook=14_04.xlsx&amp;sheet=U0&amp;row=289&amp;col=7&amp;number=0.00584&amp;sourceID=14","0.00584")</f>
        <v>0.00584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HYPERLINK("http://141.218.60.56/~jnz1568/getInfo.php?workbook=14_04.xlsx&amp;sheet=U0&amp;row=290&amp;col=6&amp;number=3.6&amp;sourceID=14","3.6")</f>
        <v>3.6</v>
      </c>
      <c r="G290" s="4" t="str">
        <f>HYPERLINK("http://141.218.60.56/~jnz1568/getInfo.php?workbook=14_04.xlsx&amp;sheet=U0&amp;row=290&amp;col=7&amp;number=0.00584&amp;sourceID=14","0.00584")</f>
        <v>0.00584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HYPERLINK("http://141.218.60.56/~jnz1568/getInfo.php?workbook=14_04.xlsx&amp;sheet=U0&amp;row=291&amp;col=6&amp;number=3.7&amp;sourceID=14","3.7")</f>
        <v>3.7</v>
      </c>
      <c r="G291" s="4" t="str">
        <f>HYPERLINK("http://141.218.60.56/~jnz1568/getInfo.php?workbook=14_04.xlsx&amp;sheet=U0&amp;row=291&amp;col=7&amp;number=0.00583&amp;sourceID=14","0.00583")</f>
        <v>0.00583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HYPERLINK("http://141.218.60.56/~jnz1568/getInfo.php?workbook=14_04.xlsx&amp;sheet=U0&amp;row=292&amp;col=6&amp;number=3.8&amp;sourceID=14","3.8")</f>
        <v>3.8</v>
      </c>
      <c r="G292" s="4" t="str">
        <f>HYPERLINK("http://141.218.60.56/~jnz1568/getInfo.php?workbook=14_04.xlsx&amp;sheet=U0&amp;row=292&amp;col=7&amp;number=0.00583&amp;sourceID=14","0.00583")</f>
        <v>0.00583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HYPERLINK("http://141.218.60.56/~jnz1568/getInfo.php?workbook=14_04.xlsx&amp;sheet=U0&amp;row=293&amp;col=6&amp;number=3.9&amp;sourceID=14","3.9")</f>
        <v>3.9</v>
      </c>
      <c r="G293" s="4" t="str">
        <f>HYPERLINK("http://141.218.60.56/~jnz1568/getInfo.php?workbook=14_04.xlsx&amp;sheet=U0&amp;row=293&amp;col=7&amp;number=0.00583&amp;sourceID=14","0.00583")</f>
        <v>0.00583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HYPERLINK("http://141.218.60.56/~jnz1568/getInfo.php?workbook=14_04.xlsx&amp;sheet=U0&amp;row=294&amp;col=6&amp;number=4&amp;sourceID=14","4")</f>
        <v>4</v>
      </c>
      <c r="G294" s="4" t="str">
        <f>HYPERLINK("http://141.218.60.56/~jnz1568/getInfo.php?workbook=14_04.xlsx&amp;sheet=U0&amp;row=294&amp;col=7&amp;number=0.00582&amp;sourceID=14","0.00582")</f>
        <v>0.00582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HYPERLINK("http://141.218.60.56/~jnz1568/getInfo.php?workbook=14_04.xlsx&amp;sheet=U0&amp;row=295&amp;col=6&amp;number=4.1&amp;sourceID=14","4.1")</f>
        <v>4.1</v>
      </c>
      <c r="G295" s="4" t="str">
        <f>HYPERLINK("http://141.218.60.56/~jnz1568/getInfo.php?workbook=14_04.xlsx&amp;sheet=U0&amp;row=295&amp;col=7&amp;number=0.00582&amp;sourceID=14","0.00582")</f>
        <v>0.00582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HYPERLINK("http://141.218.60.56/~jnz1568/getInfo.php?workbook=14_04.xlsx&amp;sheet=U0&amp;row=296&amp;col=6&amp;number=4.2&amp;sourceID=14","4.2")</f>
        <v>4.2</v>
      </c>
      <c r="G296" s="4" t="str">
        <f>HYPERLINK("http://141.218.60.56/~jnz1568/getInfo.php?workbook=14_04.xlsx&amp;sheet=U0&amp;row=296&amp;col=7&amp;number=0.00581&amp;sourceID=14","0.00581")</f>
        <v>0.00581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HYPERLINK("http://141.218.60.56/~jnz1568/getInfo.php?workbook=14_04.xlsx&amp;sheet=U0&amp;row=297&amp;col=6&amp;number=4.3&amp;sourceID=14","4.3")</f>
        <v>4.3</v>
      </c>
      <c r="G297" s="4" t="str">
        <f>HYPERLINK("http://141.218.60.56/~jnz1568/getInfo.php?workbook=14_04.xlsx&amp;sheet=U0&amp;row=297&amp;col=7&amp;number=0.00581&amp;sourceID=14","0.00581")</f>
        <v>0.00581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HYPERLINK("http://141.218.60.56/~jnz1568/getInfo.php?workbook=14_04.xlsx&amp;sheet=U0&amp;row=298&amp;col=6&amp;number=4.4&amp;sourceID=14","4.4")</f>
        <v>4.4</v>
      </c>
      <c r="G298" s="4" t="str">
        <f>HYPERLINK("http://141.218.60.56/~jnz1568/getInfo.php?workbook=14_04.xlsx&amp;sheet=U0&amp;row=298&amp;col=7&amp;number=0.0058&amp;sourceID=14","0.0058")</f>
        <v>0.0058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HYPERLINK("http://141.218.60.56/~jnz1568/getInfo.php?workbook=14_04.xlsx&amp;sheet=U0&amp;row=299&amp;col=6&amp;number=4.5&amp;sourceID=14","4.5")</f>
        <v>4.5</v>
      </c>
      <c r="G299" s="4" t="str">
        <f>HYPERLINK("http://141.218.60.56/~jnz1568/getInfo.php?workbook=14_04.xlsx&amp;sheet=U0&amp;row=299&amp;col=7&amp;number=0.00579&amp;sourceID=14","0.00579")</f>
        <v>0.00579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HYPERLINK("http://141.218.60.56/~jnz1568/getInfo.php?workbook=14_04.xlsx&amp;sheet=U0&amp;row=300&amp;col=6&amp;number=4.6&amp;sourceID=14","4.6")</f>
        <v>4.6</v>
      </c>
      <c r="G300" s="4" t="str">
        <f>HYPERLINK("http://141.218.60.56/~jnz1568/getInfo.php?workbook=14_04.xlsx&amp;sheet=U0&amp;row=300&amp;col=7&amp;number=0.00577&amp;sourceID=14","0.00577")</f>
        <v>0.00577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HYPERLINK("http://141.218.60.56/~jnz1568/getInfo.php?workbook=14_04.xlsx&amp;sheet=U0&amp;row=301&amp;col=6&amp;number=4.7&amp;sourceID=14","4.7")</f>
        <v>4.7</v>
      </c>
      <c r="G301" s="4" t="str">
        <f>HYPERLINK("http://141.218.60.56/~jnz1568/getInfo.php?workbook=14_04.xlsx&amp;sheet=U0&amp;row=301&amp;col=7&amp;number=0.00575&amp;sourceID=14","0.00575")</f>
        <v>0.00575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HYPERLINK("http://141.218.60.56/~jnz1568/getInfo.php?workbook=14_04.xlsx&amp;sheet=U0&amp;row=302&amp;col=6&amp;number=4.8&amp;sourceID=14","4.8")</f>
        <v>4.8</v>
      </c>
      <c r="G302" s="4" t="str">
        <f>HYPERLINK("http://141.218.60.56/~jnz1568/getInfo.php?workbook=14_04.xlsx&amp;sheet=U0&amp;row=302&amp;col=7&amp;number=0.00573&amp;sourceID=14","0.00573")</f>
        <v>0.00573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HYPERLINK("http://141.218.60.56/~jnz1568/getInfo.php?workbook=14_04.xlsx&amp;sheet=U0&amp;row=303&amp;col=6&amp;number=4.9&amp;sourceID=14","4.9")</f>
        <v>4.9</v>
      </c>
      <c r="G303" s="4" t="str">
        <f>HYPERLINK("http://141.218.60.56/~jnz1568/getInfo.php?workbook=14_04.xlsx&amp;sheet=U0&amp;row=303&amp;col=7&amp;number=0.00571&amp;sourceID=14","0.00571")</f>
        <v>0.00571</v>
      </c>
    </row>
    <row r="304" spans="1:7">
      <c r="A304" s="3">
        <v>14</v>
      </c>
      <c r="B304" s="3">
        <v>4</v>
      </c>
      <c r="C304" s="3">
        <v>2</v>
      </c>
      <c r="D304" s="3">
        <v>9</v>
      </c>
      <c r="E304" s="3">
        <v>1</v>
      </c>
      <c r="F304" s="4" t="str">
        <f>HYPERLINK("http://141.218.60.56/~jnz1568/getInfo.php?workbook=14_04.xlsx&amp;sheet=U0&amp;row=304&amp;col=6&amp;number=3&amp;sourceID=14","3")</f>
        <v>3</v>
      </c>
      <c r="G304" s="4" t="str">
        <f>HYPERLINK("http://141.218.60.56/~jnz1568/getInfo.php?workbook=14_04.xlsx&amp;sheet=U0&amp;row=304&amp;col=7&amp;number=0.0102&amp;sourceID=14","0.0102")</f>
        <v>0.0102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HYPERLINK("http://141.218.60.56/~jnz1568/getInfo.php?workbook=14_04.xlsx&amp;sheet=U0&amp;row=305&amp;col=6&amp;number=3.1&amp;sourceID=14","3.1")</f>
        <v>3.1</v>
      </c>
      <c r="G305" s="4" t="str">
        <f>HYPERLINK("http://141.218.60.56/~jnz1568/getInfo.php?workbook=14_04.xlsx&amp;sheet=U0&amp;row=305&amp;col=7&amp;number=0.0102&amp;sourceID=14","0.0102")</f>
        <v>0.0102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HYPERLINK("http://141.218.60.56/~jnz1568/getInfo.php?workbook=14_04.xlsx&amp;sheet=U0&amp;row=306&amp;col=6&amp;number=3.2&amp;sourceID=14","3.2")</f>
        <v>3.2</v>
      </c>
      <c r="G306" s="4" t="str">
        <f>HYPERLINK("http://141.218.60.56/~jnz1568/getInfo.php?workbook=14_04.xlsx&amp;sheet=U0&amp;row=306&amp;col=7&amp;number=0.0102&amp;sourceID=14","0.0102")</f>
        <v>0.0102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HYPERLINK("http://141.218.60.56/~jnz1568/getInfo.php?workbook=14_04.xlsx&amp;sheet=U0&amp;row=307&amp;col=6&amp;number=3.3&amp;sourceID=14","3.3")</f>
        <v>3.3</v>
      </c>
      <c r="G307" s="4" t="str">
        <f>HYPERLINK("http://141.218.60.56/~jnz1568/getInfo.php?workbook=14_04.xlsx&amp;sheet=U0&amp;row=307&amp;col=7&amp;number=0.0102&amp;sourceID=14","0.0102")</f>
        <v>0.0102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HYPERLINK("http://141.218.60.56/~jnz1568/getInfo.php?workbook=14_04.xlsx&amp;sheet=U0&amp;row=308&amp;col=6&amp;number=3.4&amp;sourceID=14","3.4")</f>
        <v>3.4</v>
      </c>
      <c r="G308" s="4" t="str">
        <f>HYPERLINK("http://141.218.60.56/~jnz1568/getInfo.php?workbook=14_04.xlsx&amp;sheet=U0&amp;row=308&amp;col=7&amp;number=0.0102&amp;sourceID=14","0.0102")</f>
        <v>0.0102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HYPERLINK("http://141.218.60.56/~jnz1568/getInfo.php?workbook=14_04.xlsx&amp;sheet=U0&amp;row=309&amp;col=6&amp;number=3.5&amp;sourceID=14","3.5")</f>
        <v>3.5</v>
      </c>
      <c r="G309" s="4" t="str">
        <f>HYPERLINK("http://141.218.60.56/~jnz1568/getInfo.php?workbook=14_04.xlsx&amp;sheet=U0&amp;row=309&amp;col=7&amp;number=0.0102&amp;sourceID=14","0.0102")</f>
        <v>0.0102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HYPERLINK("http://141.218.60.56/~jnz1568/getInfo.php?workbook=14_04.xlsx&amp;sheet=U0&amp;row=310&amp;col=6&amp;number=3.6&amp;sourceID=14","3.6")</f>
        <v>3.6</v>
      </c>
      <c r="G310" s="4" t="str">
        <f>HYPERLINK("http://141.218.60.56/~jnz1568/getInfo.php?workbook=14_04.xlsx&amp;sheet=U0&amp;row=310&amp;col=7&amp;number=0.0101&amp;sourceID=14","0.0101")</f>
        <v>0.0101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HYPERLINK("http://141.218.60.56/~jnz1568/getInfo.php?workbook=14_04.xlsx&amp;sheet=U0&amp;row=311&amp;col=6&amp;number=3.7&amp;sourceID=14","3.7")</f>
        <v>3.7</v>
      </c>
      <c r="G311" s="4" t="str">
        <f>HYPERLINK("http://141.218.60.56/~jnz1568/getInfo.php?workbook=14_04.xlsx&amp;sheet=U0&amp;row=311&amp;col=7&amp;number=0.0101&amp;sourceID=14","0.0101")</f>
        <v>0.0101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HYPERLINK("http://141.218.60.56/~jnz1568/getInfo.php?workbook=14_04.xlsx&amp;sheet=U0&amp;row=312&amp;col=6&amp;number=3.8&amp;sourceID=14","3.8")</f>
        <v>3.8</v>
      </c>
      <c r="G312" s="4" t="str">
        <f>HYPERLINK("http://141.218.60.56/~jnz1568/getInfo.php?workbook=14_04.xlsx&amp;sheet=U0&amp;row=312&amp;col=7&amp;number=0.0101&amp;sourceID=14","0.0101")</f>
        <v>0.0101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HYPERLINK("http://141.218.60.56/~jnz1568/getInfo.php?workbook=14_04.xlsx&amp;sheet=U0&amp;row=313&amp;col=6&amp;number=3.9&amp;sourceID=14","3.9")</f>
        <v>3.9</v>
      </c>
      <c r="G313" s="4" t="str">
        <f>HYPERLINK("http://141.218.60.56/~jnz1568/getInfo.php?workbook=14_04.xlsx&amp;sheet=U0&amp;row=313&amp;col=7&amp;number=0.0101&amp;sourceID=14","0.0101")</f>
        <v>0.0101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HYPERLINK("http://141.218.60.56/~jnz1568/getInfo.php?workbook=14_04.xlsx&amp;sheet=U0&amp;row=314&amp;col=6&amp;number=4&amp;sourceID=14","4")</f>
        <v>4</v>
      </c>
      <c r="G314" s="4" t="str">
        <f>HYPERLINK("http://141.218.60.56/~jnz1568/getInfo.php?workbook=14_04.xlsx&amp;sheet=U0&amp;row=314&amp;col=7&amp;number=0.0101&amp;sourceID=14","0.0101")</f>
        <v>0.0101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HYPERLINK("http://141.218.60.56/~jnz1568/getInfo.php?workbook=14_04.xlsx&amp;sheet=U0&amp;row=315&amp;col=6&amp;number=4.1&amp;sourceID=14","4.1")</f>
        <v>4.1</v>
      </c>
      <c r="G315" s="4" t="str">
        <f>HYPERLINK("http://141.218.60.56/~jnz1568/getInfo.php?workbook=14_04.xlsx&amp;sheet=U0&amp;row=315&amp;col=7&amp;number=0.0101&amp;sourceID=14","0.0101")</f>
        <v>0.0101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HYPERLINK("http://141.218.60.56/~jnz1568/getInfo.php?workbook=14_04.xlsx&amp;sheet=U0&amp;row=316&amp;col=6&amp;number=4.2&amp;sourceID=14","4.2")</f>
        <v>4.2</v>
      </c>
      <c r="G316" s="4" t="str">
        <f>HYPERLINK("http://141.218.60.56/~jnz1568/getInfo.php?workbook=14_04.xlsx&amp;sheet=U0&amp;row=316&amp;col=7&amp;number=0.0101&amp;sourceID=14","0.0101")</f>
        <v>0.0101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HYPERLINK("http://141.218.60.56/~jnz1568/getInfo.php?workbook=14_04.xlsx&amp;sheet=U0&amp;row=317&amp;col=6&amp;number=4.3&amp;sourceID=14","4.3")</f>
        <v>4.3</v>
      </c>
      <c r="G317" s="4" t="str">
        <f>HYPERLINK("http://141.218.60.56/~jnz1568/getInfo.php?workbook=14_04.xlsx&amp;sheet=U0&amp;row=317&amp;col=7&amp;number=0.0101&amp;sourceID=14","0.0101")</f>
        <v>0.0101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HYPERLINK("http://141.218.60.56/~jnz1568/getInfo.php?workbook=14_04.xlsx&amp;sheet=U0&amp;row=318&amp;col=6&amp;number=4.4&amp;sourceID=14","4.4")</f>
        <v>4.4</v>
      </c>
      <c r="G318" s="4" t="str">
        <f>HYPERLINK("http://141.218.60.56/~jnz1568/getInfo.php?workbook=14_04.xlsx&amp;sheet=U0&amp;row=318&amp;col=7&amp;number=0.0101&amp;sourceID=14","0.0101")</f>
        <v>0.0101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HYPERLINK("http://141.218.60.56/~jnz1568/getInfo.php?workbook=14_04.xlsx&amp;sheet=U0&amp;row=319&amp;col=6&amp;number=4.5&amp;sourceID=14","4.5")</f>
        <v>4.5</v>
      </c>
      <c r="G319" s="4" t="str">
        <f>HYPERLINK("http://141.218.60.56/~jnz1568/getInfo.php?workbook=14_04.xlsx&amp;sheet=U0&amp;row=319&amp;col=7&amp;number=0.0101&amp;sourceID=14","0.0101")</f>
        <v>0.0101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HYPERLINK("http://141.218.60.56/~jnz1568/getInfo.php?workbook=14_04.xlsx&amp;sheet=U0&amp;row=320&amp;col=6&amp;number=4.6&amp;sourceID=14","4.6")</f>
        <v>4.6</v>
      </c>
      <c r="G320" s="4" t="str">
        <f>HYPERLINK("http://141.218.60.56/~jnz1568/getInfo.php?workbook=14_04.xlsx&amp;sheet=U0&amp;row=320&amp;col=7&amp;number=0.0101&amp;sourceID=14","0.0101")</f>
        <v>0.0101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HYPERLINK("http://141.218.60.56/~jnz1568/getInfo.php?workbook=14_04.xlsx&amp;sheet=U0&amp;row=321&amp;col=6&amp;number=4.7&amp;sourceID=14","4.7")</f>
        <v>4.7</v>
      </c>
      <c r="G321" s="4" t="str">
        <f>HYPERLINK("http://141.218.60.56/~jnz1568/getInfo.php?workbook=14_04.xlsx&amp;sheet=U0&amp;row=321&amp;col=7&amp;number=0.01&amp;sourceID=14","0.01")</f>
        <v>0.01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HYPERLINK("http://141.218.60.56/~jnz1568/getInfo.php?workbook=14_04.xlsx&amp;sheet=U0&amp;row=322&amp;col=6&amp;number=4.8&amp;sourceID=14","4.8")</f>
        <v>4.8</v>
      </c>
      <c r="G322" s="4" t="str">
        <f>HYPERLINK("http://141.218.60.56/~jnz1568/getInfo.php?workbook=14_04.xlsx&amp;sheet=U0&amp;row=322&amp;col=7&amp;number=0.00999&amp;sourceID=14","0.00999")</f>
        <v>0.00999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HYPERLINK("http://141.218.60.56/~jnz1568/getInfo.php?workbook=14_04.xlsx&amp;sheet=U0&amp;row=323&amp;col=6&amp;number=4.9&amp;sourceID=14","4.9")</f>
        <v>4.9</v>
      </c>
      <c r="G323" s="4" t="str">
        <f>HYPERLINK("http://141.218.60.56/~jnz1568/getInfo.php?workbook=14_04.xlsx&amp;sheet=U0&amp;row=323&amp;col=7&amp;number=0.00995&amp;sourceID=14","0.00995")</f>
        <v>0.00995</v>
      </c>
    </row>
    <row r="324" spans="1:7">
      <c r="A324" s="3">
        <v>14</v>
      </c>
      <c r="B324" s="3">
        <v>4</v>
      </c>
      <c r="C324" s="3">
        <v>2</v>
      </c>
      <c r="D324" s="3">
        <v>10</v>
      </c>
      <c r="E324" s="3">
        <v>1</v>
      </c>
      <c r="F324" s="4" t="str">
        <f>HYPERLINK("http://141.218.60.56/~jnz1568/getInfo.php?workbook=14_04.xlsx&amp;sheet=U0&amp;row=324&amp;col=6&amp;number=3&amp;sourceID=14","3")</f>
        <v>3</v>
      </c>
      <c r="G324" s="4" t="str">
        <f>HYPERLINK("http://141.218.60.56/~jnz1568/getInfo.php?workbook=14_04.xlsx&amp;sheet=U0&amp;row=324&amp;col=7&amp;number=0.00129&amp;sourceID=14","0.00129")</f>
        <v>0.00129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HYPERLINK("http://141.218.60.56/~jnz1568/getInfo.php?workbook=14_04.xlsx&amp;sheet=U0&amp;row=325&amp;col=6&amp;number=3.1&amp;sourceID=14","3.1")</f>
        <v>3.1</v>
      </c>
      <c r="G325" s="4" t="str">
        <f>HYPERLINK("http://141.218.60.56/~jnz1568/getInfo.php?workbook=14_04.xlsx&amp;sheet=U0&amp;row=325&amp;col=7&amp;number=0.00129&amp;sourceID=14","0.00129")</f>
        <v>0.00129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HYPERLINK("http://141.218.60.56/~jnz1568/getInfo.php?workbook=14_04.xlsx&amp;sheet=U0&amp;row=326&amp;col=6&amp;number=3.2&amp;sourceID=14","3.2")</f>
        <v>3.2</v>
      </c>
      <c r="G326" s="4" t="str">
        <f>HYPERLINK("http://141.218.60.56/~jnz1568/getInfo.php?workbook=14_04.xlsx&amp;sheet=U0&amp;row=326&amp;col=7&amp;number=0.00129&amp;sourceID=14","0.00129")</f>
        <v>0.00129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HYPERLINK("http://141.218.60.56/~jnz1568/getInfo.php?workbook=14_04.xlsx&amp;sheet=U0&amp;row=327&amp;col=6&amp;number=3.3&amp;sourceID=14","3.3")</f>
        <v>3.3</v>
      </c>
      <c r="G327" s="4" t="str">
        <f>HYPERLINK("http://141.218.60.56/~jnz1568/getInfo.php?workbook=14_04.xlsx&amp;sheet=U0&amp;row=327&amp;col=7&amp;number=0.00129&amp;sourceID=14","0.00129")</f>
        <v>0.00129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HYPERLINK("http://141.218.60.56/~jnz1568/getInfo.php?workbook=14_04.xlsx&amp;sheet=U0&amp;row=328&amp;col=6&amp;number=3.4&amp;sourceID=14","3.4")</f>
        <v>3.4</v>
      </c>
      <c r="G328" s="4" t="str">
        <f>HYPERLINK("http://141.218.60.56/~jnz1568/getInfo.php?workbook=14_04.xlsx&amp;sheet=U0&amp;row=328&amp;col=7&amp;number=0.00129&amp;sourceID=14","0.00129")</f>
        <v>0.00129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HYPERLINK("http://141.218.60.56/~jnz1568/getInfo.php?workbook=14_04.xlsx&amp;sheet=U0&amp;row=329&amp;col=6&amp;number=3.5&amp;sourceID=14","3.5")</f>
        <v>3.5</v>
      </c>
      <c r="G329" s="4" t="str">
        <f>HYPERLINK("http://141.218.60.56/~jnz1568/getInfo.php?workbook=14_04.xlsx&amp;sheet=U0&amp;row=329&amp;col=7&amp;number=0.00129&amp;sourceID=14","0.00129")</f>
        <v>0.00129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HYPERLINK("http://141.218.60.56/~jnz1568/getInfo.php?workbook=14_04.xlsx&amp;sheet=U0&amp;row=330&amp;col=6&amp;number=3.6&amp;sourceID=14","3.6")</f>
        <v>3.6</v>
      </c>
      <c r="G330" s="4" t="str">
        <f>HYPERLINK("http://141.218.60.56/~jnz1568/getInfo.php?workbook=14_04.xlsx&amp;sheet=U0&amp;row=330&amp;col=7&amp;number=0.00129&amp;sourceID=14","0.00129")</f>
        <v>0.00129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HYPERLINK("http://141.218.60.56/~jnz1568/getInfo.php?workbook=14_04.xlsx&amp;sheet=U0&amp;row=331&amp;col=6&amp;number=3.7&amp;sourceID=14","3.7")</f>
        <v>3.7</v>
      </c>
      <c r="G331" s="4" t="str">
        <f>HYPERLINK("http://141.218.60.56/~jnz1568/getInfo.php?workbook=14_04.xlsx&amp;sheet=U0&amp;row=331&amp;col=7&amp;number=0.00129&amp;sourceID=14","0.00129")</f>
        <v>0.00129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HYPERLINK("http://141.218.60.56/~jnz1568/getInfo.php?workbook=14_04.xlsx&amp;sheet=U0&amp;row=332&amp;col=6&amp;number=3.8&amp;sourceID=14","3.8")</f>
        <v>3.8</v>
      </c>
      <c r="G332" s="4" t="str">
        <f>HYPERLINK("http://141.218.60.56/~jnz1568/getInfo.php?workbook=14_04.xlsx&amp;sheet=U0&amp;row=332&amp;col=7&amp;number=0.00129&amp;sourceID=14","0.00129")</f>
        <v>0.00129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HYPERLINK("http://141.218.60.56/~jnz1568/getInfo.php?workbook=14_04.xlsx&amp;sheet=U0&amp;row=333&amp;col=6&amp;number=3.9&amp;sourceID=14","3.9")</f>
        <v>3.9</v>
      </c>
      <c r="G333" s="4" t="str">
        <f>HYPERLINK("http://141.218.60.56/~jnz1568/getInfo.php?workbook=14_04.xlsx&amp;sheet=U0&amp;row=333&amp;col=7&amp;number=0.00129&amp;sourceID=14","0.00129")</f>
        <v>0.00129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HYPERLINK("http://141.218.60.56/~jnz1568/getInfo.php?workbook=14_04.xlsx&amp;sheet=U0&amp;row=334&amp;col=6&amp;number=4&amp;sourceID=14","4")</f>
        <v>4</v>
      </c>
      <c r="G334" s="4" t="str">
        <f>HYPERLINK("http://141.218.60.56/~jnz1568/getInfo.php?workbook=14_04.xlsx&amp;sheet=U0&amp;row=334&amp;col=7&amp;number=0.00129&amp;sourceID=14","0.00129")</f>
        <v>0.00129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HYPERLINK("http://141.218.60.56/~jnz1568/getInfo.php?workbook=14_04.xlsx&amp;sheet=U0&amp;row=335&amp;col=6&amp;number=4.1&amp;sourceID=14","4.1")</f>
        <v>4.1</v>
      </c>
      <c r="G335" s="4" t="str">
        <f>HYPERLINK("http://141.218.60.56/~jnz1568/getInfo.php?workbook=14_04.xlsx&amp;sheet=U0&amp;row=335&amp;col=7&amp;number=0.00129&amp;sourceID=14","0.00129")</f>
        <v>0.00129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HYPERLINK("http://141.218.60.56/~jnz1568/getInfo.php?workbook=14_04.xlsx&amp;sheet=U0&amp;row=336&amp;col=6&amp;number=4.2&amp;sourceID=14","4.2")</f>
        <v>4.2</v>
      </c>
      <c r="G336" s="4" t="str">
        <f>HYPERLINK("http://141.218.60.56/~jnz1568/getInfo.php?workbook=14_04.xlsx&amp;sheet=U0&amp;row=336&amp;col=7&amp;number=0.00128&amp;sourceID=14","0.00128")</f>
        <v>0.00128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HYPERLINK("http://141.218.60.56/~jnz1568/getInfo.php?workbook=14_04.xlsx&amp;sheet=U0&amp;row=337&amp;col=6&amp;number=4.3&amp;sourceID=14","4.3")</f>
        <v>4.3</v>
      </c>
      <c r="G337" s="4" t="str">
        <f>HYPERLINK("http://141.218.60.56/~jnz1568/getInfo.php?workbook=14_04.xlsx&amp;sheet=U0&amp;row=337&amp;col=7&amp;number=0.00128&amp;sourceID=14","0.00128")</f>
        <v>0.00128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HYPERLINK("http://141.218.60.56/~jnz1568/getInfo.php?workbook=14_04.xlsx&amp;sheet=U0&amp;row=338&amp;col=6&amp;number=4.4&amp;sourceID=14","4.4")</f>
        <v>4.4</v>
      </c>
      <c r="G338" s="4" t="str">
        <f>HYPERLINK("http://141.218.60.56/~jnz1568/getInfo.php?workbook=14_04.xlsx&amp;sheet=U0&amp;row=338&amp;col=7&amp;number=0.00128&amp;sourceID=14","0.00128")</f>
        <v>0.00128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HYPERLINK("http://141.218.60.56/~jnz1568/getInfo.php?workbook=14_04.xlsx&amp;sheet=U0&amp;row=339&amp;col=6&amp;number=4.5&amp;sourceID=14","4.5")</f>
        <v>4.5</v>
      </c>
      <c r="G339" s="4" t="str">
        <f>HYPERLINK("http://141.218.60.56/~jnz1568/getInfo.php?workbook=14_04.xlsx&amp;sheet=U0&amp;row=339&amp;col=7&amp;number=0.00128&amp;sourceID=14","0.00128")</f>
        <v>0.00128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HYPERLINK("http://141.218.60.56/~jnz1568/getInfo.php?workbook=14_04.xlsx&amp;sheet=U0&amp;row=340&amp;col=6&amp;number=4.6&amp;sourceID=14","4.6")</f>
        <v>4.6</v>
      </c>
      <c r="G340" s="4" t="str">
        <f>HYPERLINK("http://141.218.60.56/~jnz1568/getInfo.php?workbook=14_04.xlsx&amp;sheet=U0&amp;row=340&amp;col=7&amp;number=0.00128&amp;sourceID=14","0.00128")</f>
        <v>0.00128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HYPERLINK("http://141.218.60.56/~jnz1568/getInfo.php?workbook=14_04.xlsx&amp;sheet=U0&amp;row=341&amp;col=6&amp;number=4.7&amp;sourceID=14","4.7")</f>
        <v>4.7</v>
      </c>
      <c r="G341" s="4" t="str">
        <f>HYPERLINK("http://141.218.60.56/~jnz1568/getInfo.php?workbook=14_04.xlsx&amp;sheet=U0&amp;row=341&amp;col=7&amp;number=0.00127&amp;sourceID=14","0.00127")</f>
        <v>0.00127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HYPERLINK("http://141.218.60.56/~jnz1568/getInfo.php?workbook=14_04.xlsx&amp;sheet=U0&amp;row=342&amp;col=6&amp;number=4.8&amp;sourceID=14","4.8")</f>
        <v>4.8</v>
      </c>
      <c r="G342" s="4" t="str">
        <f>HYPERLINK("http://141.218.60.56/~jnz1568/getInfo.php?workbook=14_04.xlsx&amp;sheet=U0&amp;row=342&amp;col=7&amp;number=0.00127&amp;sourceID=14","0.00127")</f>
        <v>0.00127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HYPERLINK("http://141.218.60.56/~jnz1568/getInfo.php?workbook=14_04.xlsx&amp;sheet=U0&amp;row=343&amp;col=6&amp;number=4.9&amp;sourceID=14","4.9")</f>
        <v>4.9</v>
      </c>
      <c r="G343" s="4" t="str">
        <f>HYPERLINK("http://141.218.60.56/~jnz1568/getInfo.php?workbook=14_04.xlsx&amp;sheet=U0&amp;row=343&amp;col=7&amp;number=0.00126&amp;sourceID=14","0.00126")</f>
        <v>0.00126</v>
      </c>
    </row>
    <row r="344" spans="1:7">
      <c r="A344" s="3">
        <v>14</v>
      </c>
      <c r="B344" s="3">
        <v>4</v>
      </c>
      <c r="C344" s="3">
        <v>3</v>
      </c>
      <c r="D344" s="3">
        <v>4</v>
      </c>
      <c r="E344" s="3">
        <v>1</v>
      </c>
      <c r="F344" s="4" t="str">
        <f>HYPERLINK("http://141.218.60.56/~jnz1568/getInfo.php?workbook=14_04.xlsx&amp;sheet=U0&amp;row=344&amp;col=6&amp;number=3&amp;sourceID=14","3")</f>
        <v>3</v>
      </c>
      <c r="G344" s="4" t="str">
        <f>HYPERLINK("http://141.218.60.56/~jnz1568/getInfo.php?workbook=14_04.xlsx&amp;sheet=U0&amp;row=344&amp;col=7&amp;number=0.967&amp;sourceID=14","0.967")</f>
        <v>0.967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HYPERLINK("http://141.218.60.56/~jnz1568/getInfo.php?workbook=14_04.xlsx&amp;sheet=U0&amp;row=345&amp;col=6&amp;number=3.1&amp;sourceID=14","3.1")</f>
        <v>3.1</v>
      </c>
      <c r="G345" s="4" t="str">
        <f>HYPERLINK("http://141.218.60.56/~jnz1568/getInfo.php?workbook=14_04.xlsx&amp;sheet=U0&amp;row=345&amp;col=7&amp;number=0.966&amp;sourceID=14","0.966")</f>
        <v>0.966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HYPERLINK("http://141.218.60.56/~jnz1568/getInfo.php?workbook=14_04.xlsx&amp;sheet=U0&amp;row=346&amp;col=6&amp;number=3.2&amp;sourceID=14","3.2")</f>
        <v>3.2</v>
      </c>
      <c r="G346" s="4" t="str">
        <f>HYPERLINK("http://141.218.60.56/~jnz1568/getInfo.php?workbook=14_04.xlsx&amp;sheet=U0&amp;row=346&amp;col=7&amp;number=0.966&amp;sourceID=14","0.966")</f>
        <v>0.966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HYPERLINK("http://141.218.60.56/~jnz1568/getInfo.php?workbook=14_04.xlsx&amp;sheet=U0&amp;row=347&amp;col=6&amp;number=3.3&amp;sourceID=14","3.3")</f>
        <v>3.3</v>
      </c>
      <c r="G347" s="4" t="str">
        <f>HYPERLINK("http://141.218.60.56/~jnz1568/getInfo.php?workbook=14_04.xlsx&amp;sheet=U0&amp;row=347&amp;col=7&amp;number=0.965&amp;sourceID=14","0.965")</f>
        <v>0.965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HYPERLINK("http://141.218.60.56/~jnz1568/getInfo.php?workbook=14_04.xlsx&amp;sheet=U0&amp;row=348&amp;col=6&amp;number=3.4&amp;sourceID=14","3.4")</f>
        <v>3.4</v>
      </c>
      <c r="G348" s="4" t="str">
        <f>HYPERLINK("http://141.218.60.56/~jnz1568/getInfo.php?workbook=14_04.xlsx&amp;sheet=U0&amp;row=348&amp;col=7&amp;number=0.965&amp;sourceID=14","0.965")</f>
        <v>0.965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HYPERLINK("http://141.218.60.56/~jnz1568/getInfo.php?workbook=14_04.xlsx&amp;sheet=U0&amp;row=349&amp;col=6&amp;number=3.5&amp;sourceID=14","3.5")</f>
        <v>3.5</v>
      </c>
      <c r="G349" s="4" t="str">
        <f>HYPERLINK("http://141.218.60.56/~jnz1568/getInfo.php?workbook=14_04.xlsx&amp;sheet=U0&amp;row=349&amp;col=7&amp;number=0.964&amp;sourceID=14","0.964")</f>
        <v>0.964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HYPERLINK("http://141.218.60.56/~jnz1568/getInfo.php?workbook=14_04.xlsx&amp;sheet=U0&amp;row=350&amp;col=6&amp;number=3.6&amp;sourceID=14","3.6")</f>
        <v>3.6</v>
      </c>
      <c r="G350" s="4" t="str">
        <f>HYPERLINK("http://141.218.60.56/~jnz1568/getInfo.php?workbook=14_04.xlsx&amp;sheet=U0&amp;row=350&amp;col=7&amp;number=0.963&amp;sourceID=14","0.963")</f>
        <v>0.963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HYPERLINK("http://141.218.60.56/~jnz1568/getInfo.php?workbook=14_04.xlsx&amp;sheet=U0&amp;row=351&amp;col=6&amp;number=3.7&amp;sourceID=14","3.7")</f>
        <v>3.7</v>
      </c>
      <c r="G351" s="4" t="str">
        <f>HYPERLINK("http://141.218.60.56/~jnz1568/getInfo.php?workbook=14_04.xlsx&amp;sheet=U0&amp;row=351&amp;col=7&amp;number=0.961&amp;sourceID=14","0.961")</f>
        <v>0.961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HYPERLINK("http://141.218.60.56/~jnz1568/getInfo.php?workbook=14_04.xlsx&amp;sheet=U0&amp;row=352&amp;col=6&amp;number=3.8&amp;sourceID=14","3.8")</f>
        <v>3.8</v>
      </c>
      <c r="G352" s="4" t="str">
        <f>HYPERLINK("http://141.218.60.56/~jnz1568/getInfo.php?workbook=14_04.xlsx&amp;sheet=U0&amp;row=352&amp;col=7&amp;number=0.959&amp;sourceID=14","0.959")</f>
        <v>0.959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HYPERLINK("http://141.218.60.56/~jnz1568/getInfo.php?workbook=14_04.xlsx&amp;sheet=U0&amp;row=353&amp;col=6&amp;number=3.9&amp;sourceID=14","3.9")</f>
        <v>3.9</v>
      </c>
      <c r="G353" s="4" t="str">
        <f>HYPERLINK("http://141.218.60.56/~jnz1568/getInfo.php?workbook=14_04.xlsx&amp;sheet=U0&amp;row=353&amp;col=7&amp;number=0.957&amp;sourceID=14","0.957")</f>
        <v>0.957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HYPERLINK("http://141.218.60.56/~jnz1568/getInfo.php?workbook=14_04.xlsx&amp;sheet=U0&amp;row=354&amp;col=6&amp;number=4&amp;sourceID=14","4")</f>
        <v>4</v>
      </c>
      <c r="G354" s="4" t="str">
        <f>HYPERLINK("http://141.218.60.56/~jnz1568/getInfo.php?workbook=14_04.xlsx&amp;sheet=U0&amp;row=354&amp;col=7&amp;number=0.954&amp;sourceID=14","0.954")</f>
        <v>0.954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HYPERLINK("http://141.218.60.56/~jnz1568/getInfo.php?workbook=14_04.xlsx&amp;sheet=U0&amp;row=355&amp;col=6&amp;number=4.1&amp;sourceID=14","4.1")</f>
        <v>4.1</v>
      </c>
      <c r="G355" s="4" t="str">
        <f>HYPERLINK("http://141.218.60.56/~jnz1568/getInfo.php?workbook=14_04.xlsx&amp;sheet=U0&amp;row=355&amp;col=7&amp;number=0.951&amp;sourceID=14","0.951")</f>
        <v>0.951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HYPERLINK("http://141.218.60.56/~jnz1568/getInfo.php?workbook=14_04.xlsx&amp;sheet=U0&amp;row=356&amp;col=6&amp;number=4.2&amp;sourceID=14","4.2")</f>
        <v>4.2</v>
      </c>
      <c r="G356" s="4" t="str">
        <f>HYPERLINK("http://141.218.60.56/~jnz1568/getInfo.php?workbook=14_04.xlsx&amp;sheet=U0&amp;row=356&amp;col=7&amp;number=0.946&amp;sourceID=14","0.946")</f>
        <v>0.946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HYPERLINK("http://141.218.60.56/~jnz1568/getInfo.php?workbook=14_04.xlsx&amp;sheet=U0&amp;row=357&amp;col=6&amp;number=4.3&amp;sourceID=14","4.3")</f>
        <v>4.3</v>
      </c>
      <c r="G357" s="4" t="str">
        <f>HYPERLINK("http://141.218.60.56/~jnz1568/getInfo.php?workbook=14_04.xlsx&amp;sheet=U0&amp;row=357&amp;col=7&amp;number=0.941&amp;sourceID=14","0.941")</f>
        <v>0.941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HYPERLINK("http://141.218.60.56/~jnz1568/getInfo.php?workbook=14_04.xlsx&amp;sheet=U0&amp;row=358&amp;col=6&amp;number=4.4&amp;sourceID=14","4.4")</f>
        <v>4.4</v>
      </c>
      <c r="G358" s="4" t="str">
        <f>HYPERLINK("http://141.218.60.56/~jnz1568/getInfo.php?workbook=14_04.xlsx&amp;sheet=U0&amp;row=358&amp;col=7&amp;number=0.934&amp;sourceID=14","0.934")</f>
        <v>0.934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HYPERLINK("http://141.218.60.56/~jnz1568/getInfo.php?workbook=14_04.xlsx&amp;sheet=U0&amp;row=359&amp;col=6&amp;number=4.5&amp;sourceID=14","4.5")</f>
        <v>4.5</v>
      </c>
      <c r="G359" s="4" t="str">
        <f>HYPERLINK("http://141.218.60.56/~jnz1568/getInfo.php?workbook=14_04.xlsx&amp;sheet=U0&amp;row=359&amp;col=7&amp;number=0.925&amp;sourceID=14","0.925")</f>
        <v>0.925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HYPERLINK("http://141.218.60.56/~jnz1568/getInfo.php?workbook=14_04.xlsx&amp;sheet=U0&amp;row=360&amp;col=6&amp;number=4.6&amp;sourceID=14","4.6")</f>
        <v>4.6</v>
      </c>
      <c r="G360" s="4" t="str">
        <f>HYPERLINK("http://141.218.60.56/~jnz1568/getInfo.php?workbook=14_04.xlsx&amp;sheet=U0&amp;row=360&amp;col=7&amp;number=0.914&amp;sourceID=14","0.914")</f>
        <v>0.914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HYPERLINK("http://141.218.60.56/~jnz1568/getInfo.php?workbook=14_04.xlsx&amp;sheet=U0&amp;row=361&amp;col=6&amp;number=4.7&amp;sourceID=14","4.7")</f>
        <v>4.7</v>
      </c>
      <c r="G361" s="4" t="str">
        <f>HYPERLINK("http://141.218.60.56/~jnz1568/getInfo.php?workbook=14_04.xlsx&amp;sheet=U0&amp;row=361&amp;col=7&amp;number=0.901&amp;sourceID=14","0.901")</f>
        <v>0.901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HYPERLINK("http://141.218.60.56/~jnz1568/getInfo.php?workbook=14_04.xlsx&amp;sheet=U0&amp;row=362&amp;col=6&amp;number=4.8&amp;sourceID=14","4.8")</f>
        <v>4.8</v>
      </c>
      <c r="G362" s="4" t="str">
        <f>HYPERLINK("http://141.218.60.56/~jnz1568/getInfo.php?workbook=14_04.xlsx&amp;sheet=U0&amp;row=362&amp;col=7&amp;number=0.884&amp;sourceID=14","0.884")</f>
        <v>0.884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HYPERLINK("http://141.218.60.56/~jnz1568/getInfo.php?workbook=14_04.xlsx&amp;sheet=U0&amp;row=363&amp;col=6&amp;number=4.9&amp;sourceID=14","4.9")</f>
        <v>4.9</v>
      </c>
      <c r="G363" s="4" t="str">
        <f>HYPERLINK("http://141.218.60.56/~jnz1568/getInfo.php?workbook=14_04.xlsx&amp;sheet=U0&amp;row=363&amp;col=7&amp;number=0.864&amp;sourceID=14","0.864")</f>
        <v>0.864</v>
      </c>
    </row>
    <row r="364" spans="1:7">
      <c r="A364" s="3">
        <v>14</v>
      </c>
      <c r="B364" s="3">
        <v>4</v>
      </c>
      <c r="C364" s="3">
        <v>3</v>
      </c>
      <c r="D364" s="3">
        <v>5</v>
      </c>
      <c r="E364" s="3">
        <v>1</v>
      </c>
      <c r="F364" s="4" t="str">
        <f>HYPERLINK("http://141.218.60.56/~jnz1568/getInfo.php?workbook=14_04.xlsx&amp;sheet=U0&amp;row=364&amp;col=6&amp;number=3&amp;sourceID=14","3")</f>
        <v>3</v>
      </c>
      <c r="G364" s="4" t="str">
        <f>HYPERLINK("http://141.218.60.56/~jnz1568/getInfo.php?workbook=14_04.xlsx&amp;sheet=U0&amp;row=364&amp;col=7&amp;number=0.11&amp;sourceID=14","0.11")</f>
        <v>0.11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HYPERLINK("http://141.218.60.56/~jnz1568/getInfo.php?workbook=14_04.xlsx&amp;sheet=U0&amp;row=365&amp;col=6&amp;number=3.1&amp;sourceID=14","3.1")</f>
        <v>3.1</v>
      </c>
      <c r="G365" s="4" t="str">
        <f>HYPERLINK("http://141.218.60.56/~jnz1568/getInfo.php?workbook=14_04.xlsx&amp;sheet=U0&amp;row=365&amp;col=7&amp;number=0.11&amp;sourceID=14","0.11")</f>
        <v>0.11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HYPERLINK("http://141.218.60.56/~jnz1568/getInfo.php?workbook=14_04.xlsx&amp;sheet=U0&amp;row=366&amp;col=6&amp;number=3.2&amp;sourceID=14","3.2")</f>
        <v>3.2</v>
      </c>
      <c r="G366" s="4" t="str">
        <f>HYPERLINK("http://141.218.60.56/~jnz1568/getInfo.php?workbook=14_04.xlsx&amp;sheet=U0&amp;row=366&amp;col=7&amp;number=0.11&amp;sourceID=14","0.11")</f>
        <v>0.11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HYPERLINK("http://141.218.60.56/~jnz1568/getInfo.php?workbook=14_04.xlsx&amp;sheet=U0&amp;row=367&amp;col=6&amp;number=3.3&amp;sourceID=14","3.3")</f>
        <v>3.3</v>
      </c>
      <c r="G367" s="4" t="str">
        <f>HYPERLINK("http://141.218.60.56/~jnz1568/getInfo.php?workbook=14_04.xlsx&amp;sheet=U0&amp;row=367&amp;col=7&amp;number=0.11&amp;sourceID=14","0.11")</f>
        <v>0.11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HYPERLINK("http://141.218.60.56/~jnz1568/getInfo.php?workbook=14_04.xlsx&amp;sheet=U0&amp;row=368&amp;col=6&amp;number=3.4&amp;sourceID=14","3.4")</f>
        <v>3.4</v>
      </c>
      <c r="G368" s="4" t="str">
        <f>HYPERLINK("http://141.218.60.56/~jnz1568/getInfo.php?workbook=14_04.xlsx&amp;sheet=U0&amp;row=368&amp;col=7&amp;number=0.11&amp;sourceID=14","0.11")</f>
        <v>0.11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HYPERLINK("http://141.218.60.56/~jnz1568/getInfo.php?workbook=14_04.xlsx&amp;sheet=U0&amp;row=369&amp;col=6&amp;number=3.5&amp;sourceID=14","3.5")</f>
        <v>3.5</v>
      </c>
      <c r="G369" s="4" t="str">
        <f>HYPERLINK("http://141.218.60.56/~jnz1568/getInfo.php?workbook=14_04.xlsx&amp;sheet=U0&amp;row=369&amp;col=7&amp;number=0.11&amp;sourceID=14","0.11")</f>
        <v>0.11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HYPERLINK("http://141.218.60.56/~jnz1568/getInfo.php?workbook=14_04.xlsx&amp;sheet=U0&amp;row=370&amp;col=6&amp;number=3.6&amp;sourceID=14","3.6")</f>
        <v>3.6</v>
      </c>
      <c r="G370" s="4" t="str">
        <f>HYPERLINK("http://141.218.60.56/~jnz1568/getInfo.php?workbook=14_04.xlsx&amp;sheet=U0&amp;row=370&amp;col=7&amp;number=0.11&amp;sourceID=14","0.11")</f>
        <v>0.11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HYPERLINK("http://141.218.60.56/~jnz1568/getInfo.php?workbook=14_04.xlsx&amp;sheet=U0&amp;row=371&amp;col=6&amp;number=3.7&amp;sourceID=14","3.7")</f>
        <v>3.7</v>
      </c>
      <c r="G371" s="4" t="str">
        <f>HYPERLINK("http://141.218.60.56/~jnz1568/getInfo.php?workbook=14_04.xlsx&amp;sheet=U0&amp;row=371&amp;col=7&amp;number=0.11&amp;sourceID=14","0.11")</f>
        <v>0.11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HYPERLINK("http://141.218.60.56/~jnz1568/getInfo.php?workbook=14_04.xlsx&amp;sheet=U0&amp;row=372&amp;col=6&amp;number=3.8&amp;sourceID=14","3.8")</f>
        <v>3.8</v>
      </c>
      <c r="G372" s="4" t="str">
        <f>HYPERLINK("http://141.218.60.56/~jnz1568/getInfo.php?workbook=14_04.xlsx&amp;sheet=U0&amp;row=372&amp;col=7&amp;number=0.109&amp;sourceID=14","0.109")</f>
        <v>0.109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HYPERLINK("http://141.218.60.56/~jnz1568/getInfo.php?workbook=14_04.xlsx&amp;sheet=U0&amp;row=373&amp;col=6&amp;number=3.9&amp;sourceID=14","3.9")</f>
        <v>3.9</v>
      </c>
      <c r="G373" s="4" t="str">
        <f>HYPERLINK("http://141.218.60.56/~jnz1568/getInfo.php?workbook=14_04.xlsx&amp;sheet=U0&amp;row=373&amp;col=7&amp;number=0.109&amp;sourceID=14","0.109")</f>
        <v>0.109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HYPERLINK("http://141.218.60.56/~jnz1568/getInfo.php?workbook=14_04.xlsx&amp;sheet=U0&amp;row=374&amp;col=6&amp;number=4&amp;sourceID=14","4")</f>
        <v>4</v>
      </c>
      <c r="G374" s="4" t="str">
        <f>HYPERLINK("http://141.218.60.56/~jnz1568/getInfo.php?workbook=14_04.xlsx&amp;sheet=U0&amp;row=374&amp;col=7&amp;number=0.109&amp;sourceID=14","0.109")</f>
        <v>0.109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HYPERLINK("http://141.218.60.56/~jnz1568/getInfo.php?workbook=14_04.xlsx&amp;sheet=U0&amp;row=375&amp;col=6&amp;number=4.1&amp;sourceID=14","4.1")</f>
        <v>4.1</v>
      </c>
      <c r="G375" s="4" t="str">
        <f>HYPERLINK("http://141.218.60.56/~jnz1568/getInfo.php?workbook=14_04.xlsx&amp;sheet=U0&amp;row=375&amp;col=7&amp;number=0.108&amp;sourceID=14","0.108")</f>
        <v>0.108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HYPERLINK("http://141.218.60.56/~jnz1568/getInfo.php?workbook=14_04.xlsx&amp;sheet=U0&amp;row=376&amp;col=6&amp;number=4.2&amp;sourceID=14","4.2")</f>
        <v>4.2</v>
      </c>
      <c r="G376" s="4" t="str">
        <f>HYPERLINK("http://141.218.60.56/~jnz1568/getInfo.php?workbook=14_04.xlsx&amp;sheet=U0&amp;row=376&amp;col=7&amp;number=0.108&amp;sourceID=14","0.108")</f>
        <v>0.108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HYPERLINK("http://141.218.60.56/~jnz1568/getInfo.php?workbook=14_04.xlsx&amp;sheet=U0&amp;row=377&amp;col=6&amp;number=4.3&amp;sourceID=14","4.3")</f>
        <v>4.3</v>
      </c>
      <c r="G377" s="4" t="str">
        <f>HYPERLINK("http://141.218.60.56/~jnz1568/getInfo.php?workbook=14_04.xlsx&amp;sheet=U0&amp;row=377&amp;col=7&amp;number=0.107&amp;sourceID=14","0.107")</f>
        <v>0.107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HYPERLINK("http://141.218.60.56/~jnz1568/getInfo.php?workbook=14_04.xlsx&amp;sheet=U0&amp;row=378&amp;col=6&amp;number=4.4&amp;sourceID=14","4.4")</f>
        <v>4.4</v>
      </c>
      <c r="G378" s="4" t="str">
        <f>HYPERLINK("http://141.218.60.56/~jnz1568/getInfo.php?workbook=14_04.xlsx&amp;sheet=U0&amp;row=378&amp;col=7&amp;number=0.106&amp;sourceID=14","0.106")</f>
        <v>0.106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HYPERLINK("http://141.218.60.56/~jnz1568/getInfo.php?workbook=14_04.xlsx&amp;sheet=U0&amp;row=379&amp;col=6&amp;number=4.5&amp;sourceID=14","4.5")</f>
        <v>4.5</v>
      </c>
      <c r="G379" s="4" t="str">
        <f>HYPERLINK("http://141.218.60.56/~jnz1568/getInfo.php?workbook=14_04.xlsx&amp;sheet=U0&amp;row=379&amp;col=7&amp;number=0.105&amp;sourceID=14","0.105")</f>
        <v>0.105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HYPERLINK("http://141.218.60.56/~jnz1568/getInfo.php?workbook=14_04.xlsx&amp;sheet=U0&amp;row=380&amp;col=6&amp;number=4.6&amp;sourceID=14","4.6")</f>
        <v>4.6</v>
      </c>
      <c r="G380" s="4" t="str">
        <f>HYPERLINK("http://141.218.60.56/~jnz1568/getInfo.php?workbook=14_04.xlsx&amp;sheet=U0&amp;row=380&amp;col=7&amp;number=0.104&amp;sourceID=14","0.104")</f>
        <v>0.104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HYPERLINK("http://141.218.60.56/~jnz1568/getInfo.php?workbook=14_04.xlsx&amp;sheet=U0&amp;row=381&amp;col=6&amp;number=4.7&amp;sourceID=14","4.7")</f>
        <v>4.7</v>
      </c>
      <c r="G381" s="4" t="str">
        <f>HYPERLINK("http://141.218.60.56/~jnz1568/getInfo.php?workbook=14_04.xlsx&amp;sheet=U0&amp;row=381&amp;col=7&amp;number=0.103&amp;sourceID=14","0.103")</f>
        <v>0.103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HYPERLINK("http://141.218.60.56/~jnz1568/getInfo.php?workbook=14_04.xlsx&amp;sheet=U0&amp;row=382&amp;col=6&amp;number=4.8&amp;sourceID=14","4.8")</f>
        <v>4.8</v>
      </c>
      <c r="G382" s="4" t="str">
        <f>HYPERLINK("http://141.218.60.56/~jnz1568/getInfo.php?workbook=14_04.xlsx&amp;sheet=U0&amp;row=382&amp;col=7&amp;number=0.101&amp;sourceID=14","0.101")</f>
        <v>0.101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HYPERLINK("http://141.218.60.56/~jnz1568/getInfo.php?workbook=14_04.xlsx&amp;sheet=U0&amp;row=383&amp;col=6&amp;number=4.9&amp;sourceID=14","4.9")</f>
        <v>4.9</v>
      </c>
      <c r="G383" s="4" t="str">
        <f>HYPERLINK("http://141.218.60.56/~jnz1568/getInfo.php?workbook=14_04.xlsx&amp;sheet=U0&amp;row=383&amp;col=7&amp;number=0.0986&amp;sourceID=14","0.0986")</f>
        <v>0.0986</v>
      </c>
    </row>
    <row r="384" spans="1:7">
      <c r="A384" s="3">
        <v>14</v>
      </c>
      <c r="B384" s="3">
        <v>4</v>
      </c>
      <c r="C384" s="3">
        <v>3</v>
      </c>
      <c r="D384" s="3">
        <v>6</v>
      </c>
      <c r="E384" s="3">
        <v>1</v>
      </c>
      <c r="F384" s="4" t="str">
        <f>HYPERLINK("http://141.218.60.56/~jnz1568/getInfo.php?workbook=14_04.xlsx&amp;sheet=U0&amp;row=384&amp;col=6&amp;number=3&amp;sourceID=14","3")</f>
        <v>3</v>
      </c>
      <c r="G384" s="4" t="str">
        <f>HYPERLINK("http://141.218.60.56/~jnz1568/getInfo.php?workbook=14_04.xlsx&amp;sheet=U0&amp;row=384&amp;col=7&amp;number=0.493&amp;sourceID=14","0.493")</f>
        <v>0.493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HYPERLINK("http://141.218.60.56/~jnz1568/getInfo.php?workbook=14_04.xlsx&amp;sheet=U0&amp;row=385&amp;col=6&amp;number=3.1&amp;sourceID=14","3.1")</f>
        <v>3.1</v>
      </c>
      <c r="G385" s="4" t="str">
        <f>HYPERLINK("http://141.218.60.56/~jnz1568/getInfo.php?workbook=14_04.xlsx&amp;sheet=U0&amp;row=385&amp;col=7&amp;number=0.493&amp;sourceID=14","0.493")</f>
        <v>0.493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HYPERLINK("http://141.218.60.56/~jnz1568/getInfo.php?workbook=14_04.xlsx&amp;sheet=U0&amp;row=386&amp;col=6&amp;number=3.2&amp;sourceID=14","3.2")</f>
        <v>3.2</v>
      </c>
      <c r="G386" s="4" t="str">
        <f>HYPERLINK("http://141.218.60.56/~jnz1568/getInfo.php?workbook=14_04.xlsx&amp;sheet=U0&amp;row=386&amp;col=7&amp;number=0.493&amp;sourceID=14","0.493")</f>
        <v>0.493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HYPERLINK("http://141.218.60.56/~jnz1568/getInfo.php?workbook=14_04.xlsx&amp;sheet=U0&amp;row=387&amp;col=6&amp;number=3.3&amp;sourceID=14","3.3")</f>
        <v>3.3</v>
      </c>
      <c r="G387" s="4" t="str">
        <f>HYPERLINK("http://141.218.60.56/~jnz1568/getInfo.php?workbook=14_04.xlsx&amp;sheet=U0&amp;row=387&amp;col=7&amp;number=0.493&amp;sourceID=14","0.493")</f>
        <v>0.493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HYPERLINK("http://141.218.60.56/~jnz1568/getInfo.php?workbook=14_04.xlsx&amp;sheet=U0&amp;row=388&amp;col=6&amp;number=3.4&amp;sourceID=14","3.4")</f>
        <v>3.4</v>
      </c>
      <c r="G388" s="4" t="str">
        <f>HYPERLINK("http://141.218.60.56/~jnz1568/getInfo.php?workbook=14_04.xlsx&amp;sheet=U0&amp;row=388&amp;col=7&amp;number=0.493&amp;sourceID=14","0.493")</f>
        <v>0.493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HYPERLINK("http://141.218.60.56/~jnz1568/getInfo.php?workbook=14_04.xlsx&amp;sheet=U0&amp;row=389&amp;col=6&amp;number=3.5&amp;sourceID=14","3.5")</f>
        <v>3.5</v>
      </c>
      <c r="G389" s="4" t="str">
        <f>HYPERLINK("http://141.218.60.56/~jnz1568/getInfo.php?workbook=14_04.xlsx&amp;sheet=U0&amp;row=389&amp;col=7&amp;number=0.493&amp;sourceID=14","0.493")</f>
        <v>0.493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HYPERLINK("http://141.218.60.56/~jnz1568/getInfo.php?workbook=14_04.xlsx&amp;sheet=U0&amp;row=390&amp;col=6&amp;number=3.6&amp;sourceID=14","3.6")</f>
        <v>3.6</v>
      </c>
      <c r="G390" s="4" t="str">
        <f>HYPERLINK("http://141.218.60.56/~jnz1568/getInfo.php?workbook=14_04.xlsx&amp;sheet=U0&amp;row=390&amp;col=7&amp;number=0.493&amp;sourceID=14","0.493")</f>
        <v>0.493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HYPERLINK("http://141.218.60.56/~jnz1568/getInfo.php?workbook=14_04.xlsx&amp;sheet=U0&amp;row=391&amp;col=6&amp;number=3.7&amp;sourceID=14","3.7")</f>
        <v>3.7</v>
      </c>
      <c r="G391" s="4" t="str">
        <f>HYPERLINK("http://141.218.60.56/~jnz1568/getInfo.php?workbook=14_04.xlsx&amp;sheet=U0&amp;row=391&amp;col=7&amp;number=0.493&amp;sourceID=14","0.493")</f>
        <v>0.493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HYPERLINK("http://141.218.60.56/~jnz1568/getInfo.php?workbook=14_04.xlsx&amp;sheet=U0&amp;row=392&amp;col=6&amp;number=3.8&amp;sourceID=14","3.8")</f>
        <v>3.8</v>
      </c>
      <c r="G392" s="4" t="str">
        <f>HYPERLINK("http://141.218.60.56/~jnz1568/getInfo.php?workbook=14_04.xlsx&amp;sheet=U0&amp;row=392&amp;col=7&amp;number=0.493&amp;sourceID=14","0.493")</f>
        <v>0.493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HYPERLINK("http://141.218.60.56/~jnz1568/getInfo.php?workbook=14_04.xlsx&amp;sheet=U0&amp;row=393&amp;col=6&amp;number=3.9&amp;sourceID=14","3.9")</f>
        <v>3.9</v>
      </c>
      <c r="G393" s="4" t="str">
        <f>HYPERLINK("http://141.218.60.56/~jnz1568/getInfo.php?workbook=14_04.xlsx&amp;sheet=U0&amp;row=393&amp;col=7&amp;number=0.494&amp;sourceID=14","0.494")</f>
        <v>0.494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HYPERLINK("http://141.218.60.56/~jnz1568/getInfo.php?workbook=14_04.xlsx&amp;sheet=U0&amp;row=394&amp;col=6&amp;number=4&amp;sourceID=14","4")</f>
        <v>4</v>
      </c>
      <c r="G394" s="4" t="str">
        <f>HYPERLINK("http://141.218.60.56/~jnz1568/getInfo.php?workbook=14_04.xlsx&amp;sheet=U0&amp;row=394&amp;col=7&amp;number=0.494&amp;sourceID=14","0.494")</f>
        <v>0.494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HYPERLINK("http://141.218.60.56/~jnz1568/getInfo.php?workbook=14_04.xlsx&amp;sheet=U0&amp;row=395&amp;col=6&amp;number=4.1&amp;sourceID=14","4.1")</f>
        <v>4.1</v>
      </c>
      <c r="G395" s="4" t="str">
        <f>HYPERLINK("http://141.218.60.56/~jnz1568/getInfo.php?workbook=14_04.xlsx&amp;sheet=U0&amp;row=395&amp;col=7&amp;number=0.494&amp;sourceID=14","0.494")</f>
        <v>0.494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HYPERLINK("http://141.218.60.56/~jnz1568/getInfo.php?workbook=14_04.xlsx&amp;sheet=U0&amp;row=396&amp;col=6&amp;number=4.2&amp;sourceID=14","4.2")</f>
        <v>4.2</v>
      </c>
      <c r="G396" s="4" t="str">
        <f>HYPERLINK("http://141.218.60.56/~jnz1568/getInfo.php?workbook=14_04.xlsx&amp;sheet=U0&amp;row=396&amp;col=7&amp;number=0.495&amp;sourceID=14","0.495")</f>
        <v>0.495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HYPERLINK("http://141.218.60.56/~jnz1568/getInfo.php?workbook=14_04.xlsx&amp;sheet=U0&amp;row=397&amp;col=6&amp;number=4.3&amp;sourceID=14","4.3")</f>
        <v>4.3</v>
      </c>
      <c r="G397" s="4" t="str">
        <f>HYPERLINK("http://141.218.60.56/~jnz1568/getInfo.php?workbook=14_04.xlsx&amp;sheet=U0&amp;row=397&amp;col=7&amp;number=0.495&amp;sourceID=14","0.495")</f>
        <v>0.495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HYPERLINK("http://141.218.60.56/~jnz1568/getInfo.php?workbook=14_04.xlsx&amp;sheet=U0&amp;row=398&amp;col=6&amp;number=4.4&amp;sourceID=14","4.4")</f>
        <v>4.4</v>
      </c>
      <c r="G398" s="4" t="str">
        <f>HYPERLINK("http://141.218.60.56/~jnz1568/getInfo.php?workbook=14_04.xlsx&amp;sheet=U0&amp;row=398&amp;col=7&amp;number=0.496&amp;sourceID=14","0.496")</f>
        <v>0.496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HYPERLINK("http://141.218.60.56/~jnz1568/getInfo.php?workbook=14_04.xlsx&amp;sheet=U0&amp;row=399&amp;col=6&amp;number=4.5&amp;sourceID=14","4.5")</f>
        <v>4.5</v>
      </c>
      <c r="G399" s="4" t="str">
        <f>HYPERLINK("http://141.218.60.56/~jnz1568/getInfo.php?workbook=14_04.xlsx&amp;sheet=U0&amp;row=399&amp;col=7&amp;number=0.497&amp;sourceID=14","0.497")</f>
        <v>0.497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HYPERLINK("http://141.218.60.56/~jnz1568/getInfo.php?workbook=14_04.xlsx&amp;sheet=U0&amp;row=400&amp;col=6&amp;number=4.6&amp;sourceID=14","4.6")</f>
        <v>4.6</v>
      </c>
      <c r="G400" s="4" t="str">
        <f>HYPERLINK("http://141.218.60.56/~jnz1568/getInfo.php?workbook=14_04.xlsx&amp;sheet=U0&amp;row=400&amp;col=7&amp;number=0.498&amp;sourceID=14","0.498")</f>
        <v>0.498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HYPERLINK("http://141.218.60.56/~jnz1568/getInfo.php?workbook=14_04.xlsx&amp;sheet=U0&amp;row=401&amp;col=6&amp;number=4.7&amp;sourceID=14","4.7")</f>
        <v>4.7</v>
      </c>
      <c r="G401" s="4" t="str">
        <f>HYPERLINK("http://141.218.60.56/~jnz1568/getInfo.php?workbook=14_04.xlsx&amp;sheet=U0&amp;row=401&amp;col=7&amp;number=0.499&amp;sourceID=14","0.499")</f>
        <v>0.499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HYPERLINK("http://141.218.60.56/~jnz1568/getInfo.php?workbook=14_04.xlsx&amp;sheet=U0&amp;row=402&amp;col=6&amp;number=4.8&amp;sourceID=14","4.8")</f>
        <v>4.8</v>
      </c>
      <c r="G402" s="4" t="str">
        <f>HYPERLINK("http://141.218.60.56/~jnz1568/getInfo.php?workbook=14_04.xlsx&amp;sheet=U0&amp;row=402&amp;col=7&amp;number=0.5&amp;sourceID=14","0.5")</f>
        <v>0.5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HYPERLINK("http://141.218.60.56/~jnz1568/getInfo.php?workbook=14_04.xlsx&amp;sheet=U0&amp;row=403&amp;col=6&amp;number=4.9&amp;sourceID=14","4.9")</f>
        <v>4.9</v>
      </c>
      <c r="G403" s="4" t="str">
        <f>HYPERLINK("http://141.218.60.56/~jnz1568/getInfo.php?workbook=14_04.xlsx&amp;sheet=U0&amp;row=403&amp;col=7&amp;number=0.502&amp;sourceID=14","0.502")</f>
        <v>0.502</v>
      </c>
    </row>
    <row r="404" spans="1:7">
      <c r="A404" s="3">
        <v>14</v>
      </c>
      <c r="B404" s="3">
        <v>4</v>
      </c>
      <c r="C404" s="3">
        <v>3</v>
      </c>
      <c r="D404" s="3">
        <v>7</v>
      </c>
      <c r="E404" s="3">
        <v>1</v>
      </c>
      <c r="F404" s="4" t="str">
        <f>HYPERLINK("http://141.218.60.56/~jnz1568/getInfo.php?workbook=14_04.xlsx&amp;sheet=U0&amp;row=404&amp;col=6&amp;number=3&amp;sourceID=14","3")</f>
        <v>3</v>
      </c>
      <c r="G404" s="4" t="str">
        <f>HYPERLINK("http://141.218.60.56/~jnz1568/getInfo.php?workbook=14_04.xlsx&amp;sheet=U0&amp;row=404&amp;col=7&amp;number=0.391&amp;sourceID=14","0.391")</f>
        <v>0.391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HYPERLINK("http://141.218.60.56/~jnz1568/getInfo.php?workbook=14_04.xlsx&amp;sheet=U0&amp;row=405&amp;col=6&amp;number=3.1&amp;sourceID=14","3.1")</f>
        <v>3.1</v>
      </c>
      <c r="G405" s="4" t="str">
        <f>HYPERLINK("http://141.218.60.56/~jnz1568/getInfo.php?workbook=14_04.xlsx&amp;sheet=U0&amp;row=405&amp;col=7&amp;number=0.392&amp;sourceID=14","0.392")</f>
        <v>0.392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HYPERLINK("http://141.218.60.56/~jnz1568/getInfo.php?workbook=14_04.xlsx&amp;sheet=U0&amp;row=406&amp;col=6&amp;number=3.2&amp;sourceID=14","3.2")</f>
        <v>3.2</v>
      </c>
      <c r="G406" s="4" t="str">
        <f>HYPERLINK("http://141.218.60.56/~jnz1568/getInfo.php?workbook=14_04.xlsx&amp;sheet=U0&amp;row=406&amp;col=7&amp;number=0.392&amp;sourceID=14","0.392")</f>
        <v>0.392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HYPERLINK("http://141.218.60.56/~jnz1568/getInfo.php?workbook=14_04.xlsx&amp;sheet=U0&amp;row=407&amp;col=6&amp;number=3.3&amp;sourceID=14","3.3")</f>
        <v>3.3</v>
      </c>
      <c r="G407" s="4" t="str">
        <f>HYPERLINK("http://141.218.60.56/~jnz1568/getInfo.php?workbook=14_04.xlsx&amp;sheet=U0&amp;row=407&amp;col=7&amp;number=0.392&amp;sourceID=14","0.392")</f>
        <v>0.392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HYPERLINK("http://141.218.60.56/~jnz1568/getInfo.php?workbook=14_04.xlsx&amp;sheet=U0&amp;row=408&amp;col=6&amp;number=3.4&amp;sourceID=14","3.4")</f>
        <v>3.4</v>
      </c>
      <c r="G408" s="4" t="str">
        <f>HYPERLINK("http://141.218.60.56/~jnz1568/getInfo.php?workbook=14_04.xlsx&amp;sheet=U0&amp;row=408&amp;col=7&amp;number=0.392&amp;sourceID=14","0.392")</f>
        <v>0.392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HYPERLINK("http://141.218.60.56/~jnz1568/getInfo.php?workbook=14_04.xlsx&amp;sheet=U0&amp;row=409&amp;col=6&amp;number=3.5&amp;sourceID=14","3.5")</f>
        <v>3.5</v>
      </c>
      <c r="G409" s="4" t="str">
        <f>HYPERLINK("http://141.218.60.56/~jnz1568/getInfo.php?workbook=14_04.xlsx&amp;sheet=U0&amp;row=409&amp;col=7&amp;number=0.392&amp;sourceID=14","0.392")</f>
        <v>0.392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HYPERLINK("http://141.218.60.56/~jnz1568/getInfo.php?workbook=14_04.xlsx&amp;sheet=U0&amp;row=410&amp;col=6&amp;number=3.6&amp;sourceID=14","3.6")</f>
        <v>3.6</v>
      </c>
      <c r="G410" s="4" t="str">
        <f>HYPERLINK("http://141.218.60.56/~jnz1568/getInfo.php?workbook=14_04.xlsx&amp;sheet=U0&amp;row=410&amp;col=7&amp;number=0.392&amp;sourceID=14","0.392")</f>
        <v>0.392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HYPERLINK("http://141.218.60.56/~jnz1568/getInfo.php?workbook=14_04.xlsx&amp;sheet=U0&amp;row=411&amp;col=6&amp;number=3.7&amp;sourceID=14","3.7")</f>
        <v>3.7</v>
      </c>
      <c r="G411" s="4" t="str">
        <f>HYPERLINK("http://141.218.60.56/~jnz1568/getInfo.php?workbook=14_04.xlsx&amp;sheet=U0&amp;row=411&amp;col=7&amp;number=0.392&amp;sourceID=14","0.392")</f>
        <v>0.392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HYPERLINK("http://141.218.60.56/~jnz1568/getInfo.php?workbook=14_04.xlsx&amp;sheet=U0&amp;row=412&amp;col=6&amp;number=3.8&amp;sourceID=14","3.8")</f>
        <v>3.8</v>
      </c>
      <c r="G412" s="4" t="str">
        <f>HYPERLINK("http://141.218.60.56/~jnz1568/getInfo.php?workbook=14_04.xlsx&amp;sheet=U0&amp;row=412&amp;col=7&amp;number=0.392&amp;sourceID=14","0.392")</f>
        <v>0.392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HYPERLINK("http://141.218.60.56/~jnz1568/getInfo.php?workbook=14_04.xlsx&amp;sheet=U0&amp;row=413&amp;col=6&amp;number=3.9&amp;sourceID=14","3.9")</f>
        <v>3.9</v>
      </c>
      <c r="G413" s="4" t="str">
        <f>HYPERLINK("http://141.218.60.56/~jnz1568/getInfo.php?workbook=14_04.xlsx&amp;sheet=U0&amp;row=413&amp;col=7&amp;number=0.392&amp;sourceID=14","0.392")</f>
        <v>0.392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HYPERLINK("http://141.218.60.56/~jnz1568/getInfo.php?workbook=14_04.xlsx&amp;sheet=U0&amp;row=414&amp;col=6&amp;number=4&amp;sourceID=14","4")</f>
        <v>4</v>
      </c>
      <c r="G414" s="4" t="str">
        <f>HYPERLINK("http://141.218.60.56/~jnz1568/getInfo.php?workbook=14_04.xlsx&amp;sheet=U0&amp;row=414&amp;col=7&amp;number=0.392&amp;sourceID=14","0.392")</f>
        <v>0.392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HYPERLINK("http://141.218.60.56/~jnz1568/getInfo.php?workbook=14_04.xlsx&amp;sheet=U0&amp;row=415&amp;col=6&amp;number=4.1&amp;sourceID=14","4.1")</f>
        <v>4.1</v>
      </c>
      <c r="G415" s="4" t="str">
        <f>HYPERLINK("http://141.218.60.56/~jnz1568/getInfo.php?workbook=14_04.xlsx&amp;sheet=U0&amp;row=415&amp;col=7&amp;number=0.393&amp;sourceID=14","0.393")</f>
        <v>0.393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HYPERLINK("http://141.218.60.56/~jnz1568/getInfo.php?workbook=14_04.xlsx&amp;sheet=U0&amp;row=416&amp;col=6&amp;number=4.2&amp;sourceID=14","4.2")</f>
        <v>4.2</v>
      </c>
      <c r="G416" s="4" t="str">
        <f>HYPERLINK("http://141.218.60.56/~jnz1568/getInfo.php?workbook=14_04.xlsx&amp;sheet=U0&amp;row=416&amp;col=7&amp;number=0.393&amp;sourceID=14","0.393")</f>
        <v>0.393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HYPERLINK("http://141.218.60.56/~jnz1568/getInfo.php?workbook=14_04.xlsx&amp;sheet=U0&amp;row=417&amp;col=6&amp;number=4.3&amp;sourceID=14","4.3")</f>
        <v>4.3</v>
      </c>
      <c r="G417" s="4" t="str">
        <f>HYPERLINK("http://141.218.60.56/~jnz1568/getInfo.php?workbook=14_04.xlsx&amp;sheet=U0&amp;row=417&amp;col=7&amp;number=0.393&amp;sourceID=14","0.393")</f>
        <v>0.393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HYPERLINK("http://141.218.60.56/~jnz1568/getInfo.php?workbook=14_04.xlsx&amp;sheet=U0&amp;row=418&amp;col=6&amp;number=4.4&amp;sourceID=14","4.4")</f>
        <v>4.4</v>
      </c>
      <c r="G418" s="4" t="str">
        <f>HYPERLINK("http://141.218.60.56/~jnz1568/getInfo.php?workbook=14_04.xlsx&amp;sheet=U0&amp;row=418&amp;col=7&amp;number=0.394&amp;sourceID=14","0.394")</f>
        <v>0.394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HYPERLINK("http://141.218.60.56/~jnz1568/getInfo.php?workbook=14_04.xlsx&amp;sheet=U0&amp;row=419&amp;col=6&amp;number=4.5&amp;sourceID=14","4.5")</f>
        <v>4.5</v>
      </c>
      <c r="G419" s="4" t="str">
        <f>HYPERLINK("http://141.218.60.56/~jnz1568/getInfo.php?workbook=14_04.xlsx&amp;sheet=U0&amp;row=419&amp;col=7&amp;number=0.394&amp;sourceID=14","0.394")</f>
        <v>0.394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HYPERLINK("http://141.218.60.56/~jnz1568/getInfo.php?workbook=14_04.xlsx&amp;sheet=U0&amp;row=420&amp;col=6&amp;number=4.6&amp;sourceID=14","4.6")</f>
        <v>4.6</v>
      </c>
      <c r="G420" s="4" t="str">
        <f>HYPERLINK("http://141.218.60.56/~jnz1568/getInfo.php?workbook=14_04.xlsx&amp;sheet=U0&amp;row=420&amp;col=7&amp;number=0.395&amp;sourceID=14","0.395")</f>
        <v>0.395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HYPERLINK("http://141.218.60.56/~jnz1568/getInfo.php?workbook=14_04.xlsx&amp;sheet=U0&amp;row=421&amp;col=6&amp;number=4.7&amp;sourceID=14","4.7")</f>
        <v>4.7</v>
      </c>
      <c r="G421" s="4" t="str">
        <f>HYPERLINK("http://141.218.60.56/~jnz1568/getInfo.php?workbook=14_04.xlsx&amp;sheet=U0&amp;row=421&amp;col=7&amp;number=0.396&amp;sourceID=14","0.396")</f>
        <v>0.396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HYPERLINK("http://141.218.60.56/~jnz1568/getInfo.php?workbook=14_04.xlsx&amp;sheet=U0&amp;row=422&amp;col=6&amp;number=4.8&amp;sourceID=14","4.8")</f>
        <v>4.8</v>
      </c>
      <c r="G422" s="4" t="str">
        <f>HYPERLINK("http://141.218.60.56/~jnz1568/getInfo.php?workbook=14_04.xlsx&amp;sheet=U0&amp;row=422&amp;col=7&amp;number=0.397&amp;sourceID=14","0.397")</f>
        <v>0.397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HYPERLINK("http://141.218.60.56/~jnz1568/getInfo.php?workbook=14_04.xlsx&amp;sheet=U0&amp;row=423&amp;col=6&amp;number=4.9&amp;sourceID=14","4.9")</f>
        <v>4.9</v>
      </c>
      <c r="G423" s="4" t="str">
        <f>HYPERLINK("http://141.218.60.56/~jnz1568/getInfo.php?workbook=14_04.xlsx&amp;sheet=U0&amp;row=423&amp;col=7&amp;number=0.399&amp;sourceID=14","0.399")</f>
        <v>0.399</v>
      </c>
    </row>
    <row r="424" spans="1:7">
      <c r="A424" s="3">
        <v>14</v>
      </c>
      <c r="B424" s="3">
        <v>4</v>
      </c>
      <c r="C424" s="3">
        <v>3</v>
      </c>
      <c r="D424" s="3">
        <v>8</v>
      </c>
      <c r="E424" s="3">
        <v>1</v>
      </c>
      <c r="F424" s="4" t="str">
        <f>HYPERLINK("http://141.218.60.56/~jnz1568/getInfo.php?workbook=14_04.xlsx&amp;sheet=U0&amp;row=424&amp;col=6&amp;number=3&amp;sourceID=14","3")</f>
        <v>3</v>
      </c>
      <c r="G424" s="4" t="str">
        <f>HYPERLINK("http://141.218.60.56/~jnz1568/getInfo.php?workbook=14_04.xlsx&amp;sheet=U0&amp;row=424&amp;col=7&amp;number=0.641&amp;sourceID=14","0.641")</f>
        <v>0.641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HYPERLINK("http://141.218.60.56/~jnz1568/getInfo.php?workbook=14_04.xlsx&amp;sheet=U0&amp;row=425&amp;col=6&amp;number=3.1&amp;sourceID=14","3.1")</f>
        <v>3.1</v>
      </c>
      <c r="G425" s="4" t="str">
        <f>HYPERLINK("http://141.218.60.56/~jnz1568/getInfo.php?workbook=14_04.xlsx&amp;sheet=U0&amp;row=425&amp;col=7&amp;number=0.641&amp;sourceID=14","0.641")</f>
        <v>0.641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HYPERLINK("http://141.218.60.56/~jnz1568/getInfo.php?workbook=14_04.xlsx&amp;sheet=U0&amp;row=426&amp;col=6&amp;number=3.2&amp;sourceID=14","3.2")</f>
        <v>3.2</v>
      </c>
      <c r="G426" s="4" t="str">
        <f>HYPERLINK("http://141.218.60.56/~jnz1568/getInfo.php?workbook=14_04.xlsx&amp;sheet=U0&amp;row=426&amp;col=7&amp;number=0.641&amp;sourceID=14","0.641")</f>
        <v>0.641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HYPERLINK("http://141.218.60.56/~jnz1568/getInfo.php?workbook=14_04.xlsx&amp;sheet=U0&amp;row=427&amp;col=6&amp;number=3.3&amp;sourceID=14","3.3")</f>
        <v>3.3</v>
      </c>
      <c r="G427" s="4" t="str">
        <f>HYPERLINK("http://141.218.60.56/~jnz1568/getInfo.php?workbook=14_04.xlsx&amp;sheet=U0&amp;row=427&amp;col=7&amp;number=0.641&amp;sourceID=14","0.641")</f>
        <v>0.641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HYPERLINK("http://141.218.60.56/~jnz1568/getInfo.php?workbook=14_04.xlsx&amp;sheet=U0&amp;row=428&amp;col=6&amp;number=3.4&amp;sourceID=14","3.4")</f>
        <v>3.4</v>
      </c>
      <c r="G428" s="4" t="str">
        <f>HYPERLINK("http://141.218.60.56/~jnz1568/getInfo.php?workbook=14_04.xlsx&amp;sheet=U0&amp;row=428&amp;col=7&amp;number=0.641&amp;sourceID=14","0.641")</f>
        <v>0.641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HYPERLINK("http://141.218.60.56/~jnz1568/getInfo.php?workbook=14_04.xlsx&amp;sheet=U0&amp;row=429&amp;col=6&amp;number=3.5&amp;sourceID=14","3.5")</f>
        <v>3.5</v>
      </c>
      <c r="G429" s="4" t="str">
        <f>HYPERLINK("http://141.218.60.56/~jnz1568/getInfo.php?workbook=14_04.xlsx&amp;sheet=U0&amp;row=429&amp;col=7&amp;number=0.641&amp;sourceID=14","0.641")</f>
        <v>0.641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HYPERLINK("http://141.218.60.56/~jnz1568/getInfo.php?workbook=14_04.xlsx&amp;sheet=U0&amp;row=430&amp;col=6&amp;number=3.6&amp;sourceID=14","3.6")</f>
        <v>3.6</v>
      </c>
      <c r="G430" s="4" t="str">
        <f>HYPERLINK("http://141.218.60.56/~jnz1568/getInfo.php?workbook=14_04.xlsx&amp;sheet=U0&amp;row=430&amp;col=7&amp;number=0.641&amp;sourceID=14","0.641")</f>
        <v>0.641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HYPERLINK("http://141.218.60.56/~jnz1568/getInfo.php?workbook=14_04.xlsx&amp;sheet=U0&amp;row=431&amp;col=6&amp;number=3.7&amp;sourceID=14","3.7")</f>
        <v>3.7</v>
      </c>
      <c r="G431" s="4" t="str">
        <f>HYPERLINK("http://141.218.60.56/~jnz1568/getInfo.php?workbook=14_04.xlsx&amp;sheet=U0&amp;row=431&amp;col=7&amp;number=0.641&amp;sourceID=14","0.641")</f>
        <v>0.641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HYPERLINK("http://141.218.60.56/~jnz1568/getInfo.php?workbook=14_04.xlsx&amp;sheet=U0&amp;row=432&amp;col=6&amp;number=3.8&amp;sourceID=14","3.8")</f>
        <v>3.8</v>
      </c>
      <c r="G432" s="4" t="str">
        <f>HYPERLINK("http://141.218.60.56/~jnz1568/getInfo.php?workbook=14_04.xlsx&amp;sheet=U0&amp;row=432&amp;col=7&amp;number=0.642&amp;sourceID=14","0.642")</f>
        <v>0.642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HYPERLINK("http://141.218.60.56/~jnz1568/getInfo.php?workbook=14_04.xlsx&amp;sheet=U0&amp;row=433&amp;col=6&amp;number=3.9&amp;sourceID=14","3.9")</f>
        <v>3.9</v>
      </c>
      <c r="G433" s="4" t="str">
        <f>HYPERLINK("http://141.218.60.56/~jnz1568/getInfo.php?workbook=14_04.xlsx&amp;sheet=U0&amp;row=433&amp;col=7&amp;number=0.642&amp;sourceID=14","0.642")</f>
        <v>0.642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HYPERLINK("http://141.218.60.56/~jnz1568/getInfo.php?workbook=14_04.xlsx&amp;sheet=U0&amp;row=434&amp;col=6&amp;number=4&amp;sourceID=14","4")</f>
        <v>4</v>
      </c>
      <c r="G434" s="4" t="str">
        <f>HYPERLINK("http://141.218.60.56/~jnz1568/getInfo.php?workbook=14_04.xlsx&amp;sheet=U0&amp;row=434&amp;col=7&amp;number=0.642&amp;sourceID=14","0.642")</f>
        <v>0.642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HYPERLINK("http://141.218.60.56/~jnz1568/getInfo.php?workbook=14_04.xlsx&amp;sheet=U0&amp;row=435&amp;col=6&amp;number=4.1&amp;sourceID=14","4.1")</f>
        <v>4.1</v>
      </c>
      <c r="G435" s="4" t="str">
        <f>HYPERLINK("http://141.218.60.56/~jnz1568/getInfo.php?workbook=14_04.xlsx&amp;sheet=U0&amp;row=435&amp;col=7&amp;number=0.643&amp;sourceID=14","0.643")</f>
        <v>0.643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HYPERLINK("http://141.218.60.56/~jnz1568/getInfo.php?workbook=14_04.xlsx&amp;sheet=U0&amp;row=436&amp;col=6&amp;number=4.2&amp;sourceID=14","4.2")</f>
        <v>4.2</v>
      </c>
      <c r="G436" s="4" t="str">
        <f>HYPERLINK("http://141.218.60.56/~jnz1568/getInfo.php?workbook=14_04.xlsx&amp;sheet=U0&amp;row=436&amp;col=7&amp;number=0.643&amp;sourceID=14","0.643")</f>
        <v>0.643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HYPERLINK("http://141.218.60.56/~jnz1568/getInfo.php?workbook=14_04.xlsx&amp;sheet=U0&amp;row=437&amp;col=6&amp;number=4.3&amp;sourceID=14","4.3")</f>
        <v>4.3</v>
      </c>
      <c r="G437" s="4" t="str">
        <f>HYPERLINK("http://141.218.60.56/~jnz1568/getInfo.php?workbook=14_04.xlsx&amp;sheet=U0&amp;row=437&amp;col=7&amp;number=0.644&amp;sourceID=14","0.644")</f>
        <v>0.644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HYPERLINK("http://141.218.60.56/~jnz1568/getInfo.php?workbook=14_04.xlsx&amp;sheet=U0&amp;row=438&amp;col=6&amp;number=4.4&amp;sourceID=14","4.4")</f>
        <v>4.4</v>
      </c>
      <c r="G438" s="4" t="str">
        <f>HYPERLINK("http://141.218.60.56/~jnz1568/getInfo.php?workbook=14_04.xlsx&amp;sheet=U0&amp;row=438&amp;col=7&amp;number=0.644&amp;sourceID=14","0.644")</f>
        <v>0.644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HYPERLINK("http://141.218.60.56/~jnz1568/getInfo.php?workbook=14_04.xlsx&amp;sheet=U0&amp;row=439&amp;col=6&amp;number=4.5&amp;sourceID=14","4.5")</f>
        <v>4.5</v>
      </c>
      <c r="G439" s="4" t="str">
        <f>HYPERLINK("http://141.218.60.56/~jnz1568/getInfo.php?workbook=14_04.xlsx&amp;sheet=U0&amp;row=439&amp;col=7&amp;number=0.645&amp;sourceID=14","0.645")</f>
        <v>0.645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HYPERLINK("http://141.218.60.56/~jnz1568/getInfo.php?workbook=14_04.xlsx&amp;sheet=U0&amp;row=440&amp;col=6&amp;number=4.6&amp;sourceID=14","4.6")</f>
        <v>4.6</v>
      </c>
      <c r="G440" s="4" t="str">
        <f>HYPERLINK("http://141.218.60.56/~jnz1568/getInfo.php?workbook=14_04.xlsx&amp;sheet=U0&amp;row=440&amp;col=7&amp;number=0.647&amp;sourceID=14","0.647")</f>
        <v>0.647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HYPERLINK("http://141.218.60.56/~jnz1568/getInfo.php?workbook=14_04.xlsx&amp;sheet=U0&amp;row=441&amp;col=6&amp;number=4.7&amp;sourceID=14","4.7")</f>
        <v>4.7</v>
      </c>
      <c r="G441" s="4" t="str">
        <f>HYPERLINK("http://141.218.60.56/~jnz1568/getInfo.php?workbook=14_04.xlsx&amp;sheet=U0&amp;row=441&amp;col=7&amp;number=0.648&amp;sourceID=14","0.648")</f>
        <v>0.648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HYPERLINK("http://141.218.60.56/~jnz1568/getInfo.php?workbook=14_04.xlsx&amp;sheet=U0&amp;row=442&amp;col=6&amp;number=4.8&amp;sourceID=14","4.8")</f>
        <v>4.8</v>
      </c>
      <c r="G442" s="4" t="str">
        <f>HYPERLINK("http://141.218.60.56/~jnz1568/getInfo.php?workbook=14_04.xlsx&amp;sheet=U0&amp;row=442&amp;col=7&amp;number=0.65&amp;sourceID=14","0.65")</f>
        <v>0.65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HYPERLINK("http://141.218.60.56/~jnz1568/getInfo.php?workbook=14_04.xlsx&amp;sheet=U0&amp;row=443&amp;col=6&amp;number=4.9&amp;sourceID=14","4.9")</f>
        <v>4.9</v>
      </c>
      <c r="G443" s="4" t="str">
        <f>HYPERLINK("http://141.218.60.56/~jnz1568/getInfo.php?workbook=14_04.xlsx&amp;sheet=U0&amp;row=443&amp;col=7&amp;number=0.652&amp;sourceID=14","0.652")</f>
        <v>0.652</v>
      </c>
    </row>
    <row r="444" spans="1:7">
      <c r="A444" s="3">
        <v>14</v>
      </c>
      <c r="B444" s="3">
        <v>4</v>
      </c>
      <c r="C444" s="3">
        <v>3</v>
      </c>
      <c r="D444" s="3">
        <v>9</v>
      </c>
      <c r="E444" s="3">
        <v>1</v>
      </c>
      <c r="F444" s="4" t="str">
        <f>HYPERLINK("http://141.218.60.56/~jnz1568/getInfo.php?workbook=14_04.xlsx&amp;sheet=U0&amp;row=444&amp;col=6&amp;number=3&amp;sourceID=14","3")</f>
        <v>3</v>
      </c>
      <c r="G444" s="4" t="str">
        <f>HYPERLINK("http://141.218.60.56/~jnz1568/getInfo.php?workbook=14_04.xlsx&amp;sheet=U0&amp;row=444&amp;col=7&amp;number=0.0305&amp;sourceID=14","0.0305")</f>
        <v>0.0305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HYPERLINK("http://141.218.60.56/~jnz1568/getInfo.php?workbook=14_04.xlsx&amp;sheet=U0&amp;row=445&amp;col=6&amp;number=3.1&amp;sourceID=14","3.1")</f>
        <v>3.1</v>
      </c>
      <c r="G445" s="4" t="str">
        <f>HYPERLINK("http://141.218.60.56/~jnz1568/getInfo.php?workbook=14_04.xlsx&amp;sheet=U0&amp;row=445&amp;col=7&amp;number=0.0305&amp;sourceID=14","0.0305")</f>
        <v>0.0305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HYPERLINK("http://141.218.60.56/~jnz1568/getInfo.php?workbook=14_04.xlsx&amp;sheet=U0&amp;row=446&amp;col=6&amp;number=3.2&amp;sourceID=14","3.2")</f>
        <v>3.2</v>
      </c>
      <c r="G446" s="4" t="str">
        <f>HYPERLINK("http://141.218.60.56/~jnz1568/getInfo.php?workbook=14_04.xlsx&amp;sheet=U0&amp;row=446&amp;col=7&amp;number=0.0305&amp;sourceID=14","0.0305")</f>
        <v>0.0305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HYPERLINK("http://141.218.60.56/~jnz1568/getInfo.php?workbook=14_04.xlsx&amp;sheet=U0&amp;row=447&amp;col=6&amp;number=3.3&amp;sourceID=14","3.3")</f>
        <v>3.3</v>
      </c>
      <c r="G447" s="4" t="str">
        <f>HYPERLINK("http://141.218.60.56/~jnz1568/getInfo.php?workbook=14_04.xlsx&amp;sheet=U0&amp;row=447&amp;col=7&amp;number=0.0305&amp;sourceID=14","0.0305")</f>
        <v>0.0305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HYPERLINK("http://141.218.60.56/~jnz1568/getInfo.php?workbook=14_04.xlsx&amp;sheet=U0&amp;row=448&amp;col=6&amp;number=3.4&amp;sourceID=14","3.4")</f>
        <v>3.4</v>
      </c>
      <c r="G448" s="4" t="str">
        <f>HYPERLINK("http://141.218.60.56/~jnz1568/getInfo.php?workbook=14_04.xlsx&amp;sheet=U0&amp;row=448&amp;col=7&amp;number=0.0305&amp;sourceID=14","0.0305")</f>
        <v>0.0305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HYPERLINK("http://141.218.60.56/~jnz1568/getInfo.php?workbook=14_04.xlsx&amp;sheet=U0&amp;row=449&amp;col=6&amp;number=3.5&amp;sourceID=14","3.5")</f>
        <v>3.5</v>
      </c>
      <c r="G449" s="4" t="str">
        <f>HYPERLINK("http://141.218.60.56/~jnz1568/getInfo.php?workbook=14_04.xlsx&amp;sheet=U0&amp;row=449&amp;col=7&amp;number=0.0305&amp;sourceID=14","0.0305")</f>
        <v>0.0305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HYPERLINK("http://141.218.60.56/~jnz1568/getInfo.php?workbook=14_04.xlsx&amp;sheet=U0&amp;row=450&amp;col=6&amp;number=3.6&amp;sourceID=14","3.6")</f>
        <v>3.6</v>
      </c>
      <c r="G450" s="4" t="str">
        <f>HYPERLINK("http://141.218.60.56/~jnz1568/getInfo.php?workbook=14_04.xlsx&amp;sheet=U0&amp;row=450&amp;col=7&amp;number=0.0305&amp;sourceID=14","0.0305")</f>
        <v>0.0305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HYPERLINK("http://141.218.60.56/~jnz1568/getInfo.php?workbook=14_04.xlsx&amp;sheet=U0&amp;row=451&amp;col=6&amp;number=3.7&amp;sourceID=14","3.7")</f>
        <v>3.7</v>
      </c>
      <c r="G451" s="4" t="str">
        <f>HYPERLINK("http://141.218.60.56/~jnz1568/getInfo.php?workbook=14_04.xlsx&amp;sheet=U0&amp;row=451&amp;col=7&amp;number=0.0305&amp;sourceID=14","0.0305")</f>
        <v>0.0305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HYPERLINK("http://141.218.60.56/~jnz1568/getInfo.php?workbook=14_04.xlsx&amp;sheet=U0&amp;row=452&amp;col=6&amp;number=3.8&amp;sourceID=14","3.8")</f>
        <v>3.8</v>
      </c>
      <c r="G452" s="4" t="str">
        <f>HYPERLINK("http://141.218.60.56/~jnz1568/getInfo.php?workbook=14_04.xlsx&amp;sheet=U0&amp;row=452&amp;col=7&amp;number=0.0304&amp;sourceID=14","0.0304")</f>
        <v>0.0304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HYPERLINK("http://141.218.60.56/~jnz1568/getInfo.php?workbook=14_04.xlsx&amp;sheet=U0&amp;row=453&amp;col=6&amp;number=3.9&amp;sourceID=14","3.9")</f>
        <v>3.9</v>
      </c>
      <c r="G453" s="4" t="str">
        <f>HYPERLINK("http://141.218.60.56/~jnz1568/getInfo.php?workbook=14_04.xlsx&amp;sheet=U0&amp;row=453&amp;col=7&amp;number=0.0304&amp;sourceID=14","0.0304")</f>
        <v>0.0304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HYPERLINK("http://141.218.60.56/~jnz1568/getInfo.php?workbook=14_04.xlsx&amp;sheet=U0&amp;row=454&amp;col=6&amp;number=4&amp;sourceID=14","4")</f>
        <v>4</v>
      </c>
      <c r="G454" s="4" t="str">
        <f>HYPERLINK("http://141.218.60.56/~jnz1568/getInfo.php?workbook=14_04.xlsx&amp;sheet=U0&amp;row=454&amp;col=7&amp;number=0.0304&amp;sourceID=14","0.0304")</f>
        <v>0.0304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HYPERLINK("http://141.218.60.56/~jnz1568/getInfo.php?workbook=14_04.xlsx&amp;sheet=U0&amp;row=455&amp;col=6&amp;number=4.1&amp;sourceID=14","4.1")</f>
        <v>4.1</v>
      </c>
      <c r="G455" s="4" t="str">
        <f>HYPERLINK("http://141.218.60.56/~jnz1568/getInfo.php?workbook=14_04.xlsx&amp;sheet=U0&amp;row=455&amp;col=7&amp;number=0.0304&amp;sourceID=14","0.0304")</f>
        <v>0.0304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HYPERLINK("http://141.218.60.56/~jnz1568/getInfo.php?workbook=14_04.xlsx&amp;sheet=U0&amp;row=456&amp;col=6&amp;number=4.2&amp;sourceID=14","4.2")</f>
        <v>4.2</v>
      </c>
      <c r="G456" s="4" t="str">
        <f>HYPERLINK("http://141.218.60.56/~jnz1568/getInfo.php?workbook=14_04.xlsx&amp;sheet=U0&amp;row=456&amp;col=7&amp;number=0.0304&amp;sourceID=14","0.0304")</f>
        <v>0.0304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HYPERLINK("http://141.218.60.56/~jnz1568/getInfo.php?workbook=14_04.xlsx&amp;sheet=U0&amp;row=457&amp;col=6&amp;number=4.3&amp;sourceID=14","4.3")</f>
        <v>4.3</v>
      </c>
      <c r="G457" s="4" t="str">
        <f>HYPERLINK("http://141.218.60.56/~jnz1568/getInfo.php?workbook=14_04.xlsx&amp;sheet=U0&amp;row=457&amp;col=7&amp;number=0.0303&amp;sourceID=14","0.0303")</f>
        <v>0.0303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HYPERLINK("http://141.218.60.56/~jnz1568/getInfo.php?workbook=14_04.xlsx&amp;sheet=U0&amp;row=458&amp;col=6&amp;number=4.4&amp;sourceID=14","4.4")</f>
        <v>4.4</v>
      </c>
      <c r="G458" s="4" t="str">
        <f>HYPERLINK("http://141.218.60.56/~jnz1568/getInfo.php?workbook=14_04.xlsx&amp;sheet=U0&amp;row=458&amp;col=7&amp;number=0.0303&amp;sourceID=14","0.0303")</f>
        <v>0.0303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HYPERLINK("http://141.218.60.56/~jnz1568/getInfo.php?workbook=14_04.xlsx&amp;sheet=U0&amp;row=459&amp;col=6&amp;number=4.5&amp;sourceID=14","4.5")</f>
        <v>4.5</v>
      </c>
      <c r="G459" s="4" t="str">
        <f>HYPERLINK("http://141.218.60.56/~jnz1568/getInfo.php?workbook=14_04.xlsx&amp;sheet=U0&amp;row=459&amp;col=7&amp;number=0.0302&amp;sourceID=14","0.0302")</f>
        <v>0.0302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HYPERLINK("http://141.218.60.56/~jnz1568/getInfo.php?workbook=14_04.xlsx&amp;sheet=U0&amp;row=460&amp;col=6&amp;number=4.6&amp;sourceID=14","4.6")</f>
        <v>4.6</v>
      </c>
      <c r="G460" s="4" t="str">
        <f>HYPERLINK("http://141.218.60.56/~jnz1568/getInfo.php?workbook=14_04.xlsx&amp;sheet=U0&amp;row=460&amp;col=7&amp;number=0.0302&amp;sourceID=14","0.0302")</f>
        <v>0.0302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HYPERLINK("http://141.218.60.56/~jnz1568/getInfo.php?workbook=14_04.xlsx&amp;sheet=U0&amp;row=461&amp;col=6&amp;number=4.7&amp;sourceID=14","4.7")</f>
        <v>4.7</v>
      </c>
      <c r="G461" s="4" t="str">
        <f>HYPERLINK("http://141.218.60.56/~jnz1568/getInfo.php?workbook=14_04.xlsx&amp;sheet=U0&amp;row=461&amp;col=7&amp;number=0.0301&amp;sourceID=14","0.0301")</f>
        <v>0.0301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HYPERLINK("http://141.218.60.56/~jnz1568/getInfo.php?workbook=14_04.xlsx&amp;sheet=U0&amp;row=462&amp;col=6&amp;number=4.8&amp;sourceID=14","4.8")</f>
        <v>4.8</v>
      </c>
      <c r="G462" s="4" t="str">
        <f>HYPERLINK("http://141.218.60.56/~jnz1568/getInfo.php?workbook=14_04.xlsx&amp;sheet=U0&amp;row=462&amp;col=7&amp;number=0.03&amp;sourceID=14","0.03")</f>
        <v>0.03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HYPERLINK("http://141.218.60.56/~jnz1568/getInfo.php?workbook=14_04.xlsx&amp;sheet=U0&amp;row=463&amp;col=6&amp;number=4.9&amp;sourceID=14","4.9")</f>
        <v>4.9</v>
      </c>
      <c r="G463" s="4" t="str">
        <f>HYPERLINK("http://141.218.60.56/~jnz1568/getInfo.php?workbook=14_04.xlsx&amp;sheet=U0&amp;row=463&amp;col=7&amp;number=0.0299&amp;sourceID=14","0.0299")</f>
        <v>0.0299</v>
      </c>
    </row>
    <row r="464" spans="1:7">
      <c r="A464" s="3">
        <v>14</v>
      </c>
      <c r="B464" s="3">
        <v>4</v>
      </c>
      <c r="C464" s="3">
        <v>3</v>
      </c>
      <c r="D464" s="3">
        <v>10</v>
      </c>
      <c r="E464" s="3">
        <v>1</v>
      </c>
      <c r="F464" s="4" t="str">
        <f>HYPERLINK("http://141.218.60.56/~jnz1568/getInfo.php?workbook=14_04.xlsx&amp;sheet=U0&amp;row=464&amp;col=6&amp;number=3&amp;sourceID=14","3")</f>
        <v>3</v>
      </c>
      <c r="G464" s="4" t="str">
        <f>HYPERLINK("http://141.218.60.56/~jnz1568/getInfo.php?workbook=14_04.xlsx&amp;sheet=U0&amp;row=464&amp;col=7&amp;number=0.00387&amp;sourceID=14","0.00387")</f>
        <v>0.00387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HYPERLINK("http://141.218.60.56/~jnz1568/getInfo.php?workbook=14_04.xlsx&amp;sheet=U0&amp;row=465&amp;col=6&amp;number=3.1&amp;sourceID=14","3.1")</f>
        <v>3.1</v>
      </c>
      <c r="G465" s="4" t="str">
        <f>HYPERLINK("http://141.218.60.56/~jnz1568/getInfo.php?workbook=14_04.xlsx&amp;sheet=U0&amp;row=465&amp;col=7&amp;number=0.00387&amp;sourceID=14","0.00387")</f>
        <v>0.00387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HYPERLINK("http://141.218.60.56/~jnz1568/getInfo.php?workbook=14_04.xlsx&amp;sheet=U0&amp;row=466&amp;col=6&amp;number=3.2&amp;sourceID=14","3.2")</f>
        <v>3.2</v>
      </c>
      <c r="G466" s="4" t="str">
        <f>HYPERLINK("http://141.218.60.56/~jnz1568/getInfo.php?workbook=14_04.xlsx&amp;sheet=U0&amp;row=466&amp;col=7&amp;number=0.00387&amp;sourceID=14","0.00387")</f>
        <v>0.00387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HYPERLINK("http://141.218.60.56/~jnz1568/getInfo.php?workbook=14_04.xlsx&amp;sheet=U0&amp;row=467&amp;col=6&amp;number=3.3&amp;sourceID=14","3.3")</f>
        <v>3.3</v>
      </c>
      <c r="G467" s="4" t="str">
        <f>HYPERLINK("http://141.218.60.56/~jnz1568/getInfo.php?workbook=14_04.xlsx&amp;sheet=U0&amp;row=467&amp;col=7&amp;number=0.00387&amp;sourceID=14","0.00387")</f>
        <v>0.00387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HYPERLINK("http://141.218.60.56/~jnz1568/getInfo.php?workbook=14_04.xlsx&amp;sheet=U0&amp;row=468&amp;col=6&amp;number=3.4&amp;sourceID=14","3.4")</f>
        <v>3.4</v>
      </c>
      <c r="G468" s="4" t="str">
        <f>HYPERLINK("http://141.218.60.56/~jnz1568/getInfo.php?workbook=14_04.xlsx&amp;sheet=U0&amp;row=468&amp;col=7&amp;number=0.00387&amp;sourceID=14","0.00387")</f>
        <v>0.00387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HYPERLINK("http://141.218.60.56/~jnz1568/getInfo.php?workbook=14_04.xlsx&amp;sheet=U0&amp;row=469&amp;col=6&amp;number=3.5&amp;sourceID=14","3.5")</f>
        <v>3.5</v>
      </c>
      <c r="G469" s="4" t="str">
        <f>HYPERLINK("http://141.218.60.56/~jnz1568/getInfo.php?workbook=14_04.xlsx&amp;sheet=U0&amp;row=469&amp;col=7&amp;number=0.00387&amp;sourceID=14","0.00387")</f>
        <v>0.00387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HYPERLINK("http://141.218.60.56/~jnz1568/getInfo.php?workbook=14_04.xlsx&amp;sheet=U0&amp;row=470&amp;col=6&amp;number=3.6&amp;sourceID=14","3.6")</f>
        <v>3.6</v>
      </c>
      <c r="G470" s="4" t="str">
        <f>HYPERLINK("http://141.218.60.56/~jnz1568/getInfo.php?workbook=14_04.xlsx&amp;sheet=U0&amp;row=470&amp;col=7&amp;number=0.00387&amp;sourceID=14","0.00387")</f>
        <v>0.00387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HYPERLINK("http://141.218.60.56/~jnz1568/getInfo.php?workbook=14_04.xlsx&amp;sheet=U0&amp;row=471&amp;col=6&amp;number=3.7&amp;sourceID=14","3.7")</f>
        <v>3.7</v>
      </c>
      <c r="G471" s="4" t="str">
        <f>HYPERLINK("http://141.218.60.56/~jnz1568/getInfo.php?workbook=14_04.xlsx&amp;sheet=U0&amp;row=471&amp;col=7&amp;number=0.00386&amp;sourceID=14","0.00386")</f>
        <v>0.00386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HYPERLINK("http://141.218.60.56/~jnz1568/getInfo.php?workbook=14_04.xlsx&amp;sheet=U0&amp;row=472&amp;col=6&amp;number=3.8&amp;sourceID=14","3.8")</f>
        <v>3.8</v>
      </c>
      <c r="G472" s="4" t="str">
        <f>HYPERLINK("http://141.218.60.56/~jnz1568/getInfo.php?workbook=14_04.xlsx&amp;sheet=U0&amp;row=472&amp;col=7&amp;number=0.00386&amp;sourceID=14","0.00386")</f>
        <v>0.00386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HYPERLINK("http://141.218.60.56/~jnz1568/getInfo.php?workbook=14_04.xlsx&amp;sheet=U0&amp;row=473&amp;col=6&amp;number=3.9&amp;sourceID=14","3.9")</f>
        <v>3.9</v>
      </c>
      <c r="G473" s="4" t="str">
        <f>HYPERLINK("http://141.218.60.56/~jnz1568/getInfo.php?workbook=14_04.xlsx&amp;sheet=U0&amp;row=473&amp;col=7&amp;number=0.00386&amp;sourceID=14","0.00386")</f>
        <v>0.00386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HYPERLINK("http://141.218.60.56/~jnz1568/getInfo.php?workbook=14_04.xlsx&amp;sheet=U0&amp;row=474&amp;col=6&amp;number=4&amp;sourceID=14","4")</f>
        <v>4</v>
      </c>
      <c r="G474" s="4" t="str">
        <f>HYPERLINK("http://141.218.60.56/~jnz1568/getInfo.php?workbook=14_04.xlsx&amp;sheet=U0&amp;row=474&amp;col=7&amp;number=0.00386&amp;sourceID=14","0.00386")</f>
        <v>0.00386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HYPERLINK("http://141.218.60.56/~jnz1568/getInfo.php?workbook=14_04.xlsx&amp;sheet=U0&amp;row=475&amp;col=6&amp;number=4.1&amp;sourceID=14","4.1")</f>
        <v>4.1</v>
      </c>
      <c r="G475" s="4" t="str">
        <f>HYPERLINK("http://141.218.60.56/~jnz1568/getInfo.php?workbook=14_04.xlsx&amp;sheet=U0&amp;row=475&amp;col=7&amp;number=0.00386&amp;sourceID=14","0.00386")</f>
        <v>0.00386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HYPERLINK("http://141.218.60.56/~jnz1568/getInfo.php?workbook=14_04.xlsx&amp;sheet=U0&amp;row=476&amp;col=6&amp;number=4.2&amp;sourceID=14","4.2")</f>
        <v>4.2</v>
      </c>
      <c r="G476" s="4" t="str">
        <f>HYPERLINK("http://141.218.60.56/~jnz1568/getInfo.php?workbook=14_04.xlsx&amp;sheet=U0&amp;row=476&amp;col=7&amp;number=0.00385&amp;sourceID=14","0.00385")</f>
        <v>0.00385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HYPERLINK("http://141.218.60.56/~jnz1568/getInfo.php?workbook=14_04.xlsx&amp;sheet=U0&amp;row=477&amp;col=6&amp;number=4.3&amp;sourceID=14","4.3")</f>
        <v>4.3</v>
      </c>
      <c r="G477" s="4" t="str">
        <f>HYPERLINK("http://141.218.60.56/~jnz1568/getInfo.php?workbook=14_04.xlsx&amp;sheet=U0&amp;row=477&amp;col=7&amp;number=0.00385&amp;sourceID=14","0.00385")</f>
        <v>0.00385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HYPERLINK("http://141.218.60.56/~jnz1568/getInfo.php?workbook=14_04.xlsx&amp;sheet=U0&amp;row=478&amp;col=6&amp;number=4.4&amp;sourceID=14","4.4")</f>
        <v>4.4</v>
      </c>
      <c r="G478" s="4" t="str">
        <f>HYPERLINK("http://141.218.60.56/~jnz1568/getInfo.php?workbook=14_04.xlsx&amp;sheet=U0&amp;row=478&amp;col=7&amp;number=0.00384&amp;sourceID=14","0.00384")</f>
        <v>0.00384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HYPERLINK("http://141.218.60.56/~jnz1568/getInfo.php?workbook=14_04.xlsx&amp;sheet=U0&amp;row=479&amp;col=6&amp;number=4.5&amp;sourceID=14","4.5")</f>
        <v>4.5</v>
      </c>
      <c r="G479" s="4" t="str">
        <f>HYPERLINK("http://141.218.60.56/~jnz1568/getInfo.php?workbook=14_04.xlsx&amp;sheet=U0&amp;row=479&amp;col=7&amp;number=0.00383&amp;sourceID=14","0.00383")</f>
        <v>0.00383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HYPERLINK("http://141.218.60.56/~jnz1568/getInfo.php?workbook=14_04.xlsx&amp;sheet=U0&amp;row=480&amp;col=6&amp;number=4.6&amp;sourceID=14","4.6")</f>
        <v>4.6</v>
      </c>
      <c r="G480" s="4" t="str">
        <f>HYPERLINK("http://141.218.60.56/~jnz1568/getInfo.php?workbook=14_04.xlsx&amp;sheet=U0&amp;row=480&amp;col=7&amp;number=0.00382&amp;sourceID=14","0.00382")</f>
        <v>0.00382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HYPERLINK("http://141.218.60.56/~jnz1568/getInfo.php?workbook=14_04.xlsx&amp;sheet=U0&amp;row=481&amp;col=6&amp;number=4.7&amp;sourceID=14","4.7")</f>
        <v>4.7</v>
      </c>
      <c r="G481" s="4" t="str">
        <f>HYPERLINK("http://141.218.60.56/~jnz1568/getInfo.php?workbook=14_04.xlsx&amp;sheet=U0&amp;row=481&amp;col=7&amp;number=0.00381&amp;sourceID=14","0.00381")</f>
        <v>0.00381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HYPERLINK("http://141.218.60.56/~jnz1568/getInfo.php?workbook=14_04.xlsx&amp;sheet=U0&amp;row=482&amp;col=6&amp;number=4.8&amp;sourceID=14","4.8")</f>
        <v>4.8</v>
      </c>
      <c r="G482" s="4" t="str">
        <f>HYPERLINK("http://141.218.60.56/~jnz1568/getInfo.php?workbook=14_04.xlsx&amp;sheet=U0&amp;row=482&amp;col=7&amp;number=0.0038&amp;sourceID=14","0.0038")</f>
        <v>0.0038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HYPERLINK("http://141.218.60.56/~jnz1568/getInfo.php?workbook=14_04.xlsx&amp;sheet=U0&amp;row=483&amp;col=6&amp;number=4.9&amp;sourceID=14","4.9")</f>
        <v>4.9</v>
      </c>
      <c r="G483" s="4" t="str">
        <f>HYPERLINK("http://141.218.60.56/~jnz1568/getInfo.php?workbook=14_04.xlsx&amp;sheet=U0&amp;row=483&amp;col=7&amp;number=0.00378&amp;sourceID=14","0.00378")</f>
        <v>0.00378</v>
      </c>
    </row>
    <row r="484" spans="1:7">
      <c r="A484" s="3">
        <v>14</v>
      </c>
      <c r="B484" s="3">
        <v>4</v>
      </c>
      <c r="C484" s="3">
        <v>4</v>
      </c>
      <c r="D484" s="3">
        <v>5</v>
      </c>
      <c r="E484" s="3">
        <v>1</v>
      </c>
      <c r="F484" s="4" t="str">
        <f>HYPERLINK("http://141.218.60.56/~jnz1568/getInfo.php?workbook=14_04.xlsx&amp;sheet=U0&amp;row=484&amp;col=6&amp;number=3&amp;sourceID=14","3")</f>
        <v>3</v>
      </c>
      <c r="G484" s="4" t="str">
        <f>HYPERLINK("http://141.218.60.56/~jnz1568/getInfo.php?workbook=14_04.xlsx&amp;sheet=U0&amp;row=484&amp;col=7&amp;number=0.179&amp;sourceID=14","0.179")</f>
        <v>0.179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HYPERLINK("http://141.218.60.56/~jnz1568/getInfo.php?workbook=14_04.xlsx&amp;sheet=U0&amp;row=485&amp;col=6&amp;number=3.1&amp;sourceID=14","3.1")</f>
        <v>3.1</v>
      </c>
      <c r="G485" s="4" t="str">
        <f>HYPERLINK("http://141.218.60.56/~jnz1568/getInfo.php?workbook=14_04.xlsx&amp;sheet=U0&amp;row=485&amp;col=7&amp;number=0.179&amp;sourceID=14","0.179")</f>
        <v>0.179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HYPERLINK("http://141.218.60.56/~jnz1568/getInfo.php?workbook=14_04.xlsx&amp;sheet=U0&amp;row=486&amp;col=6&amp;number=3.2&amp;sourceID=14","3.2")</f>
        <v>3.2</v>
      </c>
      <c r="G486" s="4" t="str">
        <f>HYPERLINK("http://141.218.60.56/~jnz1568/getInfo.php?workbook=14_04.xlsx&amp;sheet=U0&amp;row=486&amp;col=7&amp;number=0.179&amp;sourceID=14","0.179")</f>
        <v>0.179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HYPERLINK("http://141.218.60.56/~jnz1568/getInfo.php?workbook=14_04.xlsx&amp;sheet=U0&amp;row=487&amp;col=6&amp;number=3.3&amp;sourceID=14","3.3")</f>
        <v>3.3</v>
      </c>
      <c r="G487" s="4" t="str">
        <f>HYPERLINK("http://141.218.60.56/~jnz1568/getInfo.php?workbook=14_04.xlsx&amp;sheet=U0&amp;row=487&amp;col=7&amp;number=0.179&amp;sourceID=14","0.179")</f>
        <v>0.179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HYPERLINK("http://141.218.60.56/~jnz1568/getInfo.php?workbook=14_04.xlsx&amp;sheet=U0&amp;row=488&amp;col=6&amp;number=3.4&amp;sourceID=14","3.4")</f>
        <v>3.4</v>
      </c>
      <c r="G488" s="4" t="str">
        <f>HYPERLINK("http://141.218.60.56/~jnz1568/getInfo.php?workbook=14_04.xlsx&amp;sheet=U0&amp;row=488&amp;col=7&amp;number=0.179&amp;sourceID=14","0.179")</f>
        <v>0.179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HYPERLINK("http://141.218.60.56/~jnz1568/getInfo.php?workbook=14_04.xlsx&amp;sheet=U0&amp;row=489&amp;col=6&amp;number=3.5&amp;sourceID=14","3.5")</f>
        <v>3.5</v>
      </c>
      <c r="G489" s="4" t="str">
        <f>HYPERLINK("http://141.218.60.56/~jnz1568/getInfo.php?workbook=14_04.xlsx&amp;sheet=U0&amp;row=489&amp;col=7&amp;number=0.179&amp;sourceID=14","0.179")</f>
        <v>0.179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HYPERLINK("http://141.218.60.56/~jnz1568/getInfo.php?workbook=14_04.xlsx&amp;sheet=U0&amp;row=490&amp;col=6&amp;number=3.6&amp;sourceID=14","3.6")</f>
        <v>3.6</v>
      </c>
      <c r="G490" s="4" t="str">
        <f>HYPERLINK("http://141.218.60.56/~jnz1568/getInfo.php?workbook=14_04.xlsx&amp;sheet=U0&amp;row=490&amp;col=7&amp;number=0.178&amp;sourceID=14","0.178")</f>
        <v>0.178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HYPERLINK("http://141.218.60.56/~jnz1568/getInfo.php?workbook=14_04.xlsx&amp;sheet=U0&amp;row=491&amp;col=6&amp;number=3.7&amp;sourceID=14","3.7")</f>
        <v>3.7</v>
      </c>
      <c r="G491" s="4" t="str">
        <f>HYPERLINK("http://141.218.60.56/~jnz1568/getInfo.php?workbook=14_04.xlsx&amp;sheet=U0&amp;row=491&amp;col=7&amp;number=0.178&amp;sourceID=14","0.178")</f>
        <v>0.178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HYPERLINK("http://141.218.60.56/~jnz1568/getInfo.php?workbook=14_04.xlsx&amp;sheet=U0&amp;row=492&amp;col=6&amp;number=3.8&amp;sourceID=14","3.8")</f>
        <v>3.8</v>
      </c>
      <c r="G492" s="4" t="str">
        <f>HYPERLINK("http://141.218.60.56/~jnz1568/getInfo.php?workbook=14_04.xlsx&amp;sheet=U0&amp;row=492&amp;col=7&amp;number=0.178&amp;sourceID=14","0.178")</f>
        <v>0.178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HYPERLINK("http://141.218.60.56/~jnz1568/getInfo.php?workbook=14_04.xlsx&amp;sheet=U0&amp;row=493&amp;col=6&amp;number=3.9&amp;sourceID=14","3.9")</f>
        <v>3.9</v>
      </c>
      <c r="G493" s="4" t="str">
        <f>HYPERLINK("http://141.218.60.56/~jnz1568/getInfo.php?workbook=14_04.xlsx&amp;sheet=U0&amp;row=493&amp;col=7&amp;number=0.177&amp;sourceID=14","0.177")</f>
        <v>0.177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HYPERLINK("http://141.218.60.56/~jnz1568/getInfo.php?workbook=14_04.xlsx&amp;sheet=U0&amp;row=494&amp;col=6&amp;number=4&amp;sourceID=14","4")</f>
        <v>4</v>
      </c>
      <c r="G494" s="4" t="str">
        <f>HYPERLINK("http://141.218.60.56/~jnz1568/getInfo.php?workbook=14_04.xlsx&amp;sheet=U0&amp;row=494&amp;col=7&amp;number=0.177&amp;sourceID=14","0.177")</f>
        <v>0.177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HYPERLINK("http://141.218.60.56/~jnz1568/getInfo.php?workbook=14_04.xlsx&amp;sheet=U0&amp;row=495&amp;col=6&amp;number=4.1&amp;sourceID=14","4.1")</f>
        <v>4.1</v>
      </c>
      <c r="G495" s="4" t="str">
        <f>HYPERLINK("http://141.218.60.56/~jnz1568/getInfo.php?workbook=14_04.xlsx&amp;sheet=U0&amp;row=495&amp;col=7&amp;number=0.176&amp;sourceID=14","0.176")</f>
        <v>0.176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HYPERLINK("http://141.218.60.56/~jnz1568/getInfo.php?workbook=14_04.xlsx&amp;sheet=U0&amp;row=496&amp;col=6&amp;number=4.2&amp;sourceID=14","4.2")</f>
        <v>4.2</v>
      </c>
      <c r="G496" s="4" t="str">
        <f>HYPERLINK("http://141.218.60.56/~jnz1568/getInfo.php?workbook=14_04.xlsx&amp;sheet=U0&amp;row=496&amp;col=7&amp;number=0.176&amp;sourceID=14","0.176")</f>
        <v>0.176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HYPERLINK("http://141.218.60.56/~jnz1568/getInfo.php?workbook=14_04.xlsx&amp;sheet=U0&amp;row=497&amp;col=6&amp;number=4.3&amp;sourceID=14","4.3")</f>
        <v>4.3</v>
      </c>
      <c r="G497" s="4" t="str">
        <f>HYPERLINK("http://141.218.60.56/~jnz1568/getInfo.php?workbook=14_04.xlsx&amp;sheet=U0&amp;row=497&amp;col=7&amp;number=0.175&amp;sourceID=14","0.175")</f>
        <v>0.175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HYPERLINK("http://141.218.60.56/~jnz1568/getInfo.php?workbook=14_04.xlsx&amp;sheet=U0&amp;row=498&amp;col=6&amp;number=4.4&amp;sourceID=14","4.4")</f>
        <v>4.4</v>
      </c>
      <c r="G498" s="4" t="str">
        <f>HYPERLINK("http://141.218.60.56/~jnz1568/getInfo.php?workbook=14_04.xlsx&amp;sheet=U0&amp;row=498&amp;col=7&amp;number=0.174&amp;sourceID=14","0.174")</f>
        <v>0.174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HYPERLINK("http://141.218.60.56/~jnz1568/getInfo.php?workbook=14_04.xlsx&amp;sheet=U0&amp;row=499&amp;col=6&amp;number=4.5&amp;sourceID=14","4.5")</f>
        <v>4.5</v>
      </c>
      <c r="G499" s="4" t="str">
        <f>HYPERLINK("http://141.218.60.56/~jnz1568/getInfo.php?workbook=14_04.xlsx&amp;sheet=U0&amp;row=499&amp;col=7&amp;number=0.172&amp;sourceID=14","0.172")</f>
        <v>0.172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HYPERLINK("http://141.218.60.56/~jnz1568/getInfo.php?workbook=14_04.xlsx&amp;sheet=U0&amp;row=500&amp;col=6&amp;number=4.6&amp;sourceID=14","4.6")</f>
        <v>4.6</v>
      </c>
      <c r="G500" s="4" t="str">
        <f>HYPERLINK("http://141.218.60.56/~jnz1568/getInfo.php?workbook=14_04.xlsx&amp;sheet=U0&amp;row=500&amp;col=7&amp;number=0.17&amp;sourceID=14","0.17")</f>
        <v>0.17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HYPERLINK("http://141.218.60.56/~jnz1568/getInfo.php?workbook=14_04.xlsx&amp;sheet=U0&amp;row=501&amp;col=6&amp;number=4.7&amp;sourceID=14","4.7")</f>
        <v>4.7</v>
      </c>
      <c r="G501" s="4" t="str">
        <f>HYPERLINK("http://141.218.60.56/~jnz1568/getInfo.php?workbook=14_04.xlsx&amp;sheet=U0&amp;row=501&amp;col=7&amp;number=0.168&amp;sourceID=14","0.168")</f>
        <v>0.168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HYPERLINK("http://141.218.60.56/~jnz1568/getInfo.php?workbook=14_04.xlsx&amp;sheet=U0&amp;row=502&amp;col=6&amp;number=4.8&amp;sourceID=14","4.8")</f>
        <v>4.8</v>
      </c>
      <c r="G502" s="4" t="str">
        <f>HYPERLINK("http://141.218.60.56/~jnz1568/getInfo.php?workbook=14_04.xlsx&amp;sheet=U0&amp;row=502&amp;col=7&amp;number=0.165&amp;sourceID=14","0.165")</f>
        <v>0.165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HYPERLINK("http://141.218.60.56/~jnz1568/getInfo.php?workbook=14_04.xlsx&amp;sheet=U0&amp;row=503&amp;col=6&amp;number=4.9&amp;sourceID=14","4.9")</f>
        <v>4.9</v>
      </c>
      <c r="G503" s="4" t="str">
        <f>HYPERLINK("http://141.218.60.56/~jnz1568/getInfo.php?workbook=14_04.xlsx&amp;sheet=U0&amp;row=503&amp;col=7&amp;number=0.162&amp;sourceID=14","0.162")</f>
        <v>0.162</v>
      </c>
    </row>
    <row r="504" spans="1:7">
      <c r="A504" s="3">
        <v>14</v>
      </c>
      <c r="B504" s="3">
        <v>4</v>
      </c>
      <c r="C504" s="3">
        <v>4</v>
      </c>
      <c r="D504" s="3">
        <v>6</v>
      </c>
      <c r="E504" s="3">
        <v>1</v>
      </c>
      <c r="F504" s="4" t="str">
        <f>HYPERLINK("http://141.218.60.56/~jnz1568/getInfo.php?workbook=14_04.xlsx&amp;sheet=U0&amp;row=504&amp;col=6&amp;number=3&amp;sourceID=14","3")</f>
        <v>3</v>
      </c>
      <c r="G504" s="4" t="str">
        <f>HYPERLINK("http://141.218.60.56/~jnz1568/getInfo.php?workbook=14_04.xlsx&amp;sheet=U0&amp;row=504&amp;col=7&amp;number=0.00581&amp;sourceID=14","0.00581")</f>
        <v>0.00581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HYPERLINK("http://141.218.60.56/~jnz1568/getInfo.php?workbook=14_04.xlsx&amp;sheet=U0&amp;row=505&amp;col=6&amp;number=3.1&amp;sourceID=14","3.1")</f>
        <v>3.1</v>
      </c>
      <c r="G505" s="4" t="str">
        <f>HYPERLINK("http://141.218.60.56/~jnz1568/getInfo.php?workbook=14_04.xlsx&amp;sheet=U0&amp;row=505&amp;col=7&amp;number=0.00581&amp;sourceID=14","0.00581")</f>
        <v>0.00581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HYPERLINK("http://141.218.60.56/~jnz1568/getInfo.php?workbook=14_04.xlsx&amp;sheet=U0&amp;row=506&amp;col=6&amp;number=3.2&amp;sourceID=14","3.2")</f>
        <v>3.2</v>
      </c>
      <c r="G506" s="4" t="str">
        <f>HYPERLINK("http://141.218.60.56/~jnz1568/getInfo.php?workbook=14_04.xlsx&amp;sheet=U0&amp;row=506&amp;col=7&amp;number=0.00581&amp;sourceID=14","0.00581")</f>
        <v>0.00581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HYPERLINK("http://141.218.60.56/~jnz1568/getInfo.php?workbook=14_04.xlsx&amp;sheet=U0&amp;row=507&amp;col=6&amp;number=3.3&amp;sourceID=14","3.3")</f>
        <v>3.3</v>
      </c>
      <c r="G507" s="4" t="str">
        <f>HYPERLINK("http://141.218.60.56/~jnz1568/getInfo.php?workbook=14_04.xlsx&amp;sheet=U0&amp;row=507&amp;col=7&amp;number=0.00581&amp;sourceID=14","0.00581")</f>
        <v>0.00581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HYPERLINK("http://141.218.60.56/~jnz1568/getInfo.php?workbook=14_04.xlsx&amp;sheet=U0&amp;row=508&amp;col=6&amp;number=3.4&amp;sourceID=14","3.4")</f>
        <v>3.4</v>
      </c>
      <c r="G508" s="4" t="str">
        <f>HYPERLINK("http://141.218.60.56/~jnz1568/getInfo.php?workbook=14_04.xlsx&amp;sheet=U0&amp;row=508&amp;col=7&amp;number=0.00581&amp;sourceID=14","0.00581")</f>
        <v>0.00581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HYPERLINK("http://141.218.60.56/~jnz1568/getInfo.php?workbook=14_04.xlsx&amp;sheet=U0&amp;row=509&amp;col=6&amp;number=3.5&amp;sourceID=14","3.5")</f>
        <v>3.5</v>
      </c>
      <c r="G509" s="4" t="str">
        <f>HYPERLINK("http://141.218.60.56/~jnz1568/getInfo.php?workbook=14_04.xlsx&amp;sheet=U0&amp;row=509&amp;col=7&amp;number=0.00581&amp;sourceID=14","0.00581")</f>
        <v>0.00581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HYPERLINK("http://141.218.60.56/~jnz1568/getInfo.php?workbook=14_04.xlsx&amp;sheet=U0&amp;row=510&amp;col=6&amp;number=3.6&amp;sourceID=14","3.6")</f>
        <v>3.6</v>
      </c>
      <c r="G510" s="4" t="str">
        <f>HYPERLINK("http://141.218.60.56/~jnz1568/getInfo.php?workbook=14_04.xlsx&amp;sheet=U0&amp;row=510&amp;col=7&amp;number=0.0058&amp;sourceID=14","0.0058")</f>
        <v>0.0058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HYPERLINK("http://141.218.60.56/~jnz1568/getInfo.php?workbook=14_04.xlsx&amp;sheet=U0&amp;row=511&amp;col=6&amp;number=3.7&amp;sourceID=14","3.7")</f>
        <v>3.7</v>
      </c>
      <c r="G511" s="4" t="str">
        <f>HYPERLINK("http://141.218.60.56/~jnz1568/getInfo.php?workbook=14_04.xlsx&amp;sheet=U0&amp;row=511&amp;col=7&amp;number=0.0058&amp;sourceID=14","0.0058")</f>
        <v>0.0058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HYPERLINK("http://141.218.60.56/~jnz1568/getInfo.php?workbook=14_04.xlsx&amp;sheet=U0&amp;row=512&amp;col=6&amp;number=3.8&amp;sourceID=14","3.8")</f>
        <v>3.8</v>
      </c>
      <c r="G512" s="4" t="str">
        <f>HYPERLINK("http://141.218.60.56/~jnz1568/getInfo.php?workbook=14_04.xlsx&amp;sheet=U0&amp;row=512&amp;col=7&amp;number=0.0058&amp;sourceID=14","0.0058")</f>
        <v>0.0058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HYPERLINK("http://141.218.60.56/~jnz1568/getInfo.php?workbook=14_04.xlsx&amp;sheet=U0&amp;row=513&amp;col=6&amp;number=3.9&amp;sourceID=14","3.9")</f>
        <v>3.9</v>
      </c>
      <c r="G513" s="4" t="str">
        <f>HYPERLINK("http://141.218.60.56/~jnz1568/getInfo.php?workbook=14_04.xlsx&amp;sheet=U0&amp;row=513&amp;col=7&amp;number=0.0058&amp;sourceID=14","0.0058")</f>
        <v>0.0058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HYPERLINK("http://141.218.60.56/~jnz1568/getInfo.php?workbook=14_04.xlsx&amp;sheet=U0&amp;row=514&amp;col=6&amp;number=4&amp;sourceID=14","4")</f>
        <v>4</v>
      </c>
      <c r="G514" s="4" t="str">
        <f>HYPERLINK("http://141.218.60.56/~jnz1568/getInfo.php?workbook=14_04.xlsx&amp;sheet=U0&amp;row=514&amp;col=7&amp;number=0.00579&amp;sourceID=14","0.00579")</f>
        <v>0.00579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HYPERLINK("http://141.218.60.56/~jnz1568/getInfo.php?workbook=14_04.xlsx&amp;sheet=U0&amp;row=515&amp;col=6&amp;number=4.1&amp;sourceID=14","4.1")</f>
        <v>4.1</v>
      </c>
      <c r="G515" s="4" t="str">
        <f>HYPERLINK("http://141.218.60.56/~jnz1568/getInfo.php?workbook=14_04.xlsx&amp;sheet=U0&amp;row=515&amp;col=7&amp;number=0.00579&amp;sourceID=14","0.00579")</f>
        <v>0.00579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HYPERLINK("http://141.218.60.56/~jnz1568/getInfo.php?workbook=14_04.xlsx&amp;sheet=U0&amp;row=516&amp;col=6&amp;number=4.2&amp;sourceID=14","4.2")</f>
        <v>4.2</v>
      </c>
      <c r="G516" s="4" t="str">
        <f>HYPERLINK("http://141.218.60.56/~jnz1568/getInfo.php?workbook=14_04.xlsx&amp;sheet=U0&amp;row=516&amp;col=7&amp;number=0.00578&amp;sourceID=14","0.00578")</f>
        <v>0.00578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HYPERLINK("http://141.218.60.56/~jnz1568/getInfo.php?workbook=14_04.xlsx&amp;sheet=U0&amp;row=517&amp;col=6&amp;number=4.3&amp;sourceID=14","4.3")</f>
        <v>4.3</v>
      </c>
      <c r="G517" s="4" t="str">
        <f>HYPERLINK("http://141.218.60.56/~jnz1568/getInfo.php?workbook=14_04.xlsx&amp;sheet=U0&amp;row=517&amp;col=7&amp;number=0.00578&amp;sourceID=14","0.00578")</f>
        <v>0.00578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HYPERLINK("http://141.218.60.56/~jnz1568/getInfo.php?workbook=14_04.xlsx&amp;sheet=U0&amp;row=518&amp;col=6&amp;number=4.4&amp;sourceID=14","4.4")</f>
        <v>4.4</v>
      </c>
      <c r="G518" s="4" t="str">
        <f>HYPERLINK("http://141.218.60.56/~jnz1568/getInfo.php?workbook=14_04.xlsx&amp;sheet=U0&amp;row=518&amp;col=7&amp;number=0.00577&amp;sourceID=14","0.00577")</f>
        <v>0.00577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HYPERLINK("http://141.218.60.56/~jnz1568/getInfo.php?workbook=14_04.xlsx&amp;sheet=U0&amp;row=519&amp;col=6&amp;number=4.5&amp;sourceID=14","4.5")</f>
        <v>4.5</v>
      </c>
      <c r="G519" s="4" t="str">
        <f>HYPERLINK("http://141.218.60.56/~jnz1568/getInfo.php?workbook=14_04.xlsx&amp;sheet=U0&amp;row=519&amp;col=7&amp;number=0.00576&amp;sourceID=14","0.00576")</f>
        <v>0.00576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HYPERLINK("http://141.218.60.56/~jnz1568/getInfo.php?workbook=14_04.xlsx&amp;sheet=U0&amp;row=520&amp;col=6&amp;number=4.6&amp;sourceID=14","4.6")</f>
        <v>4.6</v>
      </c>
      <c r="G520" s="4" t="str">
        <f>HYPERLINK("http://141.218.60.56/~jnz1568/getInfo.php?workbook=14_04.xlsx&amp;sheet=U0&amp;row=520&amp;col=7&amp;number=0.00574&amp;sourceID=14","0.00574")</f>
        <v>0.00574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HYPERLINK("http://141.218.60.56/~jnz1568/getInfo.php?workbook=14_04.xlsx&amp;sheet=U0&amp;row=521&amp;col=6&amp;number=4.7&amp;sourceID=14","4.7")</f>
        <v>4.7</v>
      </c>
      <c r="G521" s="4" t="str">
        <f>HYPERLINK("http://141.218.60.56/~jnz1568/getInfo.php?workbook=14_04.xlsx&amp;sheet=U0&amp;row=521&amp;col=7&amp;number=0.00573&amp;sourceID=14","0.00573")</f>
        <v>0.00573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HYPERLINK("http://141.218.60.56/~jnz1568/getInfo.php?workbook=14_04.xlsx&amp;sheet=U0&amp;row=522&amp;col=6&amp;number=4.8&amp;sourceID=14","4.8")</f>
        <v>4.8</v>
      </c>
      <c r="G522" s="4" t="str">
        <f>HYPERLINK("http://141.218.60.56/~jnz1568/getInfo.php?workbook=14_04.xlsx&amp;sheet=U0&amp;row=522&amp;col=7&amp;number=0.0057&amp;sourceID=14","0.0057")</f>
        <v>0.0057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HYPERLINK("http://141.218.60.56/~jnz1568/getInfo.php?workbook=14_04.xlsx&amp;sheet=U0&amp;row=523&amp;col=6&amp;number=4.9&amp;sourceID=14","4.9")</f>
        <v>4.9</v>
      </c>
      <c r="G523" s="4" t="str">
        <f>HYPERLINK("http://141.218.60.56/~jnz1568/getInfo.php?workbook=14_04.xlsx&amp;sheet=U0&amp;row=523&amp;col=7&amp;number=0.00568&amp;sourceID=14","0.00568")</f>
        <v>0.00568</v>
      </c>
    </row>
    <row r="524" spans="1:7">
      <c r="A524" s="3">
        <v>14</v>
      </c>
      <c r="B524" s="3">
        <v>4</v>
      </c>
      <c r="C524" s="3">
        <v>4</v>
      </c>
      <c r="D524" s="3">
        <v>7</v>
      </c>
      <c r="E524" s="3">
        <v>1</v>
      </c>
      <c r="F524" s="4" t="str">
        <f>HYPERLINK("http://141.218.60.56/~jnz1568/getInfo.php?workbook=14_04.xlsx&amp;sheet=U0&amp;row=524&amp;col=6&amp;number=3&amp;sourceID=14","3")</f>
        <v>3</v>
      </c>
      <c r="G524" s="4" t="str">
        <f>HYPERLINK("http://141.218.60.56/~jnz1568/getInfo.php?workbook=14_04.xlsx&amp;sheet=U0&amp;row=524&amp;col=7&amp;number=0.639&amp;sourceID=14","0.639")</f>
        <v>0.639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HYPERLINK("http://141.218.60.56/~jnz1568/getInfo.php?workbook=14_04.xlsx&amp;sheet=U0&amp;row=525&amp;col=6&amp;number=3.1&amp;sourceID=14","3.1")</f>
        <v>3.1</v>
      </c>
      <c r="G525" s="4" t="str">
        <f>HYPERLINK("http://141.218.60.56/~jnz1568/getInfo.php?workbook=14_04.xlsx&amp;sheet=U0&amp;row=525&amp;col=7&amp;number=0.639&amp;sourceID=14","0.639")</f>
        <v>0.639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HYPERLINK("http://141.218.60.56/~jnz1568/getInfo.php?workbook=14_04.xlsx&amp;sheet=U0&amp;row=526&amp;col=6&amp;number=3.2&amp;sourceID=14","3.2")</f>
        <v>3.2</v>
      </c>
      <c r="G526" s="4" t="str">
        <f>HYPERLINK("http://141.218.60.56/~jnz1568/getInfo.php?workbook=14_04.xlsx&amp;sheet=U0&amp;row=526&amp;col=7&amp;number=0.639&amp;sourceID=14","0.639")</f>
        <v>0.639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HYPERLINK("http://141.218.60.56/~jnz1568/getInfo.php?workbook=14_04.xlsx&amp;sheet=U0&amp;row=527&amp;col=6&amp;number=3.3&amp;sourceID=14","3.3")</f>
        <v>3.3</v>
      </c>
      <c r="G527" s="4" t="str">
        <f>HYPERLINK("http://141.218.60.56/~jnz1568/getInfo.php?workbook=14_04.xlsx&amp;sheet=U0&amp;row=527&amp;col=7&amp;number=0.639&amp;sourceID=14","0.639")</f>
        <v>0.639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HYPERLINK("http://141.218.60.56/~jnz1568/getInfo.php?workbook=14_04.xlsx&amp;sheet=U0&amp;row=528&amp;col=6&amp;number=3.4&amp;sourceID=14","3.4")</f>
        <v>3.4</v>
      </c>
      <c r="G528" s="4" t="str">
        <f>HYPERLINK("http://141.218.60.56/~jnz1568/getInfo.php?workbook=14_04.xlsx&amp;sheet=U0&amp;row=528&amp;col=7&amp;number=0.639&amp;sourceID=14","0.639")</f>
        <v>0.639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HYPERLINK("http://141.218.60.56/~jnz1568/getInfo.php?workbook=14_04.xlsx&amp;sheet=U0&amp;row=529&amp;col=6&amp;number=3.5&amp;sourceID=14","3.5")</f>
        <v>3.5</v>
      </c>
      <c r="G529" s="4" t="str">
        <f>HYPERLINK("http://141.218.60.56/~jnz1568/getInfo.php?workbook=14_04.xlsx&amp;sheet=U0&amp;row=529&amp;col=7&amp;number=0.639&amp;sourceID=14","0.639")</f>
        <v>0.639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HYPERLINK("http://141.218.60.56/~jnz1568/getInfo.php?workbook=14_04.xlsx&amp;sheet=U0&amp;row=530&amp;col=6&amp;number=3.6&amp;sourceID=14","3.6")</f>
        <v>3.6</v>
      </c>
      <c r="G530" s="4" t="str">
        <f>HYPERLINK("http://141.218.60.56/~jnz1568/getInfo.php?workbook=14_04.xlsx&amp;sheet=U0&amp;row=530&amp;col=7&amp;number=0.639&amp;sourceID=14","0.639")</f>
        <v>0.639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HYPERLINK("http://141.218.60.56/~jnz1568/getInfo.php?workbook=14_04.xlsx&amp;sheet=U0&amp;row=531&amp;col=6&amp;number=3.7&amp;sourceID=14","3.7")</f>
        <v>3.7</v>
      </c>
      <c r="G531" s="4" t="str">
        <f>HYPERLINK("http://141.218.60.56/~jnz1568/getInfo.php?workbook=14_04.xlsx&amp;sheet=U0&amp;row=531&amp;col=7&amp;number=0.639&amp;sourceID=14","0.639")</f>
        <v>0.639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HYPERLINK("http://141.218.60.56/~jnz1568/getInfo.php?workbook=14_04.xlsx&amp;sheet=U0&amp;row=532&amp;col=6&amp;number=3.8&amp;sourceID=14","3.8")</f>
        <v>3.8</v>
      </c>
      <c r="G532" s="4" t="str">
        <f>HYPERLINK("http://141.218.60.56/~jnz1568/getInfo.php?workbook=14_04.xlsx&amp;sheet=U0&amp;row=532&amp;col=7&amp;number=0.639&amp;sourceID=14","0.639")</f>
        <v>0.639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HYPERLINK("http://141.218.60.56/~jnz1568/getInfo.php?workbook=14_04.xlsx&amp;sheet=U0&amp;row=533&amp;col=6&amp;number=3.9&amp;sourceID=14","3.9")</f>
        <v>3.9</v>
      </c>
      <c r="G533" s="4" t="str">
        <f>HYPERLINK("http://141.218.60.56/~jnz1568/getInfo.php?workbook=14_04.xlsx&amp;sheet=U0&amp;row=533&amp;col=7&amp;number=0.64&amp;sourceID=14","0.64")</f>
        <v>0.64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HYPERLINK("http://141.218.60.56/~jnz1568/getInfo.php?workbook=14_04.xlsx&amp;sheet=U0&amp;row=534&amp;col=6&amp;number=4&amp;sourceID=14","4")</f>
        <v>4</v>
      </c>
      <c r="G534" s="4" t="str">
        <f>HYPERLINK("http://141.218.60.56/~jnz1568/getInfo.php?workbook=14_04.xlsx&amp;sheet=U0&amp;row=534&amp;col=7&amp;number=0.64&amp;sourceID=14","0.64")</f>
        <v>0.64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HYPERLINK("http://141.218.60.56/~jnz1568/getInfo.php?workbook=14_04.xlsx&amp;sheet=U0&amp;row=535&amp;col=6&amp;number=4.1&amp;sourceID=14","4.1")</f>
        <v>4.1</v>
      </c>
      <c r="G535" s="4" t="str">
        <f>HYPERLINK("http://141.218.60.56/~jnz1568/getInfo.php?workbook=14_04.xlsx&amp;sheet=U0&amp;row=535&amp;col=7&amp;number=0.64&amp;sourceID=14","0.64")</f>
        <v>0.64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HYPERLINK("http://141.218.60.56/~jnz1568/getInfo.php?workbook=14_04.xlsx&amp;sheet=U0&amp;row=536&amp;col=6&amp;number=4.2&amp;sourceID=14","4.2")</f>
        <v>4.2</v>
      </c>
      <c r="G536" s="4" t="str">
        <f>HYPERLINK("http://141.218.60.56/~jnz1568/getInfo.php?workbook=14_04.xlsx&amp;sheet=U0&amp;row=536&amp;col=7&amp;number=0.641&amp;sourceID=14","0.641")</f>
        <v>0.641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HYPERLINK("http://141.218.60.56/~jnz1568/getInfo.php?workbook=14_04.xlsx&amp;sheet=U0&amp;row=537&amp;col=6&amp;number=4.3&amp;sourceID=14","4.3")</f>
        <v>4.3</v>
      </c>
      <c r="G537" s="4" t="str">
        <f>HYPERLINK("http://141.218.60.56/~jnz1568/getInfo.php?workbook=14_04.xlsx&amp;sheet=U0&amp;row=537&amp;col=7&amp;number=0.642&amp;sourceID=14","0.642")</f>
        <v>0.642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HYPERLINK("http://141.218.60.56/~jnz1568/getInfo.php?workbook=14_04.xlsx&amp;sheet=U0&amp;row=538&amp;col=6&amp;number=4.4&amp;sourceID=14","4.4")</f>
        <v>4.4</v>
      </c>
      <c r="G538" s="4" t="str">
        <f>HYPERLINK("http://141.218.60.56/~jnz1568/getInfo.php?workbook=14_04.xlsx&amp;sheet=U0&amp;row=538&amp;col=7&amp;number=0.642&amp;sourceID=14","0.642")</f>
        <v>0.642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HYPERLINK("http://141.218.60.56/~jnz1568/getInfo.php?workbook=14_04.xlsx&amp;sheet=U0&amp;row=539&amp;col=6&amp;number=4.5&amp;sourceID=14","4.5")</f>
        <v>4.5</v>
      </c>
      <c r="G539" s="4" t="str">
        <f>HYPERLINK("http://141.218.60.56/~jnz1568/getInfo.php?workbook=14_04.xlsx&amp;sheet=U0&amp;row=539&amp;col=7&amp;number=0.644&amp;sourceID=14","0.644")</f>
        <v>0.644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HYPERLINK("http://141.218.60.56/~jnz1568/getInfo.php?workbook=14_04.xlsx&amp;sheet=U0&amp;row=540&amp;col=6&amp;number=4.6&amp;sourceID=14","4.6")</f>
        <v>4.6</v>
      </c>
      <c r="G540" s="4" t="str">
        <f>HYPERLINK("http://141.218.60.56/~jnz1568/getInfo.php?workbook=14_04.xlsx&amp;sheet=U0&amp;row=540&amp;col=7&amp;number=0.645&amp;sourceID=14","0.645")</f>
        <v>0.645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HYPERLINK("http://141.218.60.56/~jnz1568/getInfo.php?workbook=14_04.xlsx&amp;sheet=U0&amp;row=541&amp;col=6&amp;number=4.7&amp;sourceID=14","4.7")</f>
        <v>4.7</v>
      </c>
      <c r="G541" s="4" t="str">
        <f>HYPERLINK("http://141.218.60.56/~jnz1568/getInfo.php?workbook=14_04.xlsx&amp;sheet=U0&amp;row=541&amp;col=7&amp;number=0.646&amp;sourceID=14","0.646")</f>
        <v>0.646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HYPERLINK("http://141.218.60.56/~jnz1568/getInfo.php?workbook=14_04.xlsx&amp;sheet=U0&amp;row=542&amp;col=6&amp;number=4.8&amp;sourceID=14","4.8")</f>
        <v>4.8</v>
      </c>
      <c r="G542" s="4" t="str">
        <f>HYPERLINK("http://141.218.60.56/~jnz1568/getInfo.php?workbook=14_04.xlsx&amp;sheet=U0&amp;row=542&amp;col=7&amp;number=0.648&amp;sourceID=14","0.648")</f>
        <v>0.648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HYPERLINK("http://141.218.60.56/~jnz1568/getInfo.php?workbook=14_04.xlsx&amp;sheet=U0&amp;row=543&amp;col=6&amp;number=4.9&amp;sourceID=14","4.9")</f>
        <v>4.9</v>
      </c>
      <c r="G543" s="4" t="str">
        <f>HYPERLINK("http://141.218.60.56/~jnz1568/getInfo.php?workbook=14_04.xlsx&amp;sheet=U0&amp;row=543&amp;col=7&amp;number=0.651&amp;sourceID=14","0.651")</f>
        <v>0.651</v>
      </c>
    </row>
    <row r="544" spans="1:7">
      <c r="A544" s="3">
        <v>14</v>
      </c>
      <c r="B544" s="3">
        <v>4</v>
      </c>
      <c r="C544" s="3">
        <v>4</v>
      </c>
      <c r="D544" s="3">
        <v>8</v>
      </c>
      <c r="E544" s="3">
        <v>1</v>
      </c>
      <c r="F544" s="4" t="str">
        <f>HYPERLINK("http://141.218.60.56/~jnz1568/getInfo.php?workbook=14_04.xlsx&amp;sheet=U0&amp;row=544&amp;col=6&amp;number=3&amp;sourceID=14","3")</f>
        <v>3</v>
      </c>
      <c r="G544" s="4" t="str">
        <f>HYPERLINK("http://141.218.60.56/~jnz1568/getInfo.php?workbook=14_04.xlsx&amp;sheet=U0&amp;row=544&amp;col=7&amp;number=1.9&amp;sourceID=14","1.9")</f>
        <v>1.9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HYPERLINK("http://141.218.60.56/~jnz1568/getInfo.php?workbook=14_04.xlsx&amp;sheet=U0&amp;row=545&amp;col=6&amp;number=3.1&amp;sourceID=14","3.1")</f>
        <v>3.1</v>
      </c>
      <c r="G545" s="4" t="str">
        <f>HYPERLINK("http://141.218.60.56/~jnz1568/getInfo.php?workbook=14_04.xlsx&amp;sheet=U0&amp;row=545&amp;col=7&amp;number=1.9&amp;sourceID=14","1.9")</f>
        <v>1.9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HYPERLINK("http://141.218.60.56/~jnz1568/getInfo.php?workbook=14_04.xlsx&amp;sheet=U0&amp;row=546&amp;col=6&amp;number=3.2&amp;sourceID=14","3.2")</f>
        <v>3.2</v>
      </c>
      <c r="G546" s="4" t="str">
        <f>HYPERLINK("http://141.218.60.56/~jnz1568/getInfo.php?workbook=14_04.xlsx&amp;sheet=U0&amp;row=546&amp;col=7&amp;number=1.9&amp;sourceID=14","1.9")</f>
        <v>1.9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HYPERLINK("http://141.218.60.56/~jnz1568/getInfo.php?workbook=14_04.xlsx&amp;sheet=U0&amp;row=547&amp;col=6&amp;number=3.3&amp;sourceID=14","3.3")</f>
        <v>3.3</v>
      </c>
      <c r="G547" s="4" t="str">
        <f>HYPERLINK("http://141.218.60.56/~jnz1568/getInfo.php?workbook=14_04.xlsx&amp;sheet=U0&amp;row=547&amp;col=7&amp;number=1.9&amp;sourceID=14","1.9")</f>
        <v>1.9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HYPERLINK("http://141.218.60.56/~jnz1568/getInfo.php?workbook=14_04.xlsx&amp;sheet=U0&amp;row=548&amp;col=6&amp;number=3.4&amp;sourceID=14","3.4")</f>
        <v>3.4</v>
      </c>
      <c r="G548" s="4" t="str">
        <f>HYPERLINK("http://141.218.60.56/~jnz1568/getInfo.php?workbook=14_04.xlsx&amp;sheet=U0&amp;row=548&amp;col=7&amp;number=1.9&amp;sourceID=14","1.9")</f>
        <v>1.9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HYPERLINK("http://141.218.60.56/~jnz1568/getInfo.php?workbook=14_04.xlsx&amp;sheet=U0&amp;row=549&amp;col=6&amp;number=3.5&amp;sourceID=14","3.5")</f>
        <v>3.5</v>
      </c>
      <c r="G549" s="4" t="str">
        <f>HYPERLINK("http://141.218.60.56/~jnz1568/getInfo.php?workbook=14_04.xlsx&amp;sheet=U0&amp;row=549&amp;col=7&amp;number=1.9&amp;sourceID=14","1.9")</f>
        <v>1.9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HYPERLINK("http://141.218.60.56/~jnz1568/getInfo.php?workbook=14_04.xlsx&amp;sheet=U0&amp;row=550&amp;col=6&amp;number=3.6&amp;sourceID=14","3.6")</f>
        <v>3.6</v>
      </c>
      <c r="G550" s="4" t="str">
        <f>HYPERLINK("http://141.218.60.56/~jnz1568/getInfo.php?workbook=14_04.xlsx&amp;sheet=U0&amp;row=550&amp;col=7&amp;number=1.9&amp;sourceID=14","1.9")</f>
        <v>1.9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HYPERLINK("http://141.218.60.56/~jnz1568/getInfo.php?workbook=14_04.xlsx&amp;sheet=U0&amp;row=551&amp;col=6&amp;number=3.7&amp;sourceID=14","3.7")</f>
        <v>3.7</v>
      </c>
      <c r="G551" s="4" t="str">
        <f>HYPERLINK("http://141.218.60.56/~jnz1568/getInfo.php?workbook=14_04.xlsx&amp;sheet=U0&amp;row=551&amp;col=7&amp;number=1.9&amp;sourceID=14","1.9")</f>
        <v>1.9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HYPERLINK("http://141.218.60.56/~jnz1568/getInfo.php?workbook=14_04.xlsx&amp;sheet=U0&amp;row=552&amp;col=6&amp;number=3.8&amp;sourceID=14","3.8")</f>
        <v>3.8</v>
      </c>
      <c r="G552" s="4" t="str">
        <f>HYPERLINK("http://141.218.60.56/~jnz1568/getInfo.php?workbook=14_04.xlsx&amp;sheet=U0&amp;row=552&amp;col=7&amp;number=1.9&amp;sourceID=14","1.9")</f>
        <v>1.9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HYPERLINK("http://141.218.60.56/~jnz1568/getInfo.php?workbook=14_04.xlsx&amp;sheet=U0&amp;row=553&amp;col=6&amp;number=3.9&amp;sourceID=14","3.9")</f>
        <v>3.9</v>
      </c>
      <c r="G553" s="4" t="str">
        <f>HYPERLINK("http://141.218.60.56/~jnz1568/getInfo.php?workbook=14_04.xlsx&amp;sheet=U0&amp;row=553&amp;col=7&amp;number=1.9&amp;sourceID=14","1.9")</f>
        <v>1.9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HYPERLINK("http://141.218.60.56/~jnz1568/getInfo.php?workbook=14_04.xlsx&amp;sheet=U0&amp;row=554&amp;col=6&amp;number=4&amp;sourceID=14","4")</f>
        <v>4</v>
      </c>
      <c r="G554" s="4" t="str">
        <f>HYPERLINK("http://141.218.60.56/~jnz1568/getInfo.php?workbook=14_04.xlsx&amp;sheet=U0&amp;row=554&amp;col=7&amp;number=1.9&amp;sourceID=14","1.9")</f>
        <v>1.9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HYPERLINK("http://141.218.60.56/~jnz1568/getInfo.php?workbook=14_04.xlsx&amp;sheet=U0&amp;row=555&amp;col=6&amp;number=4.1&amp;sourceID=14","4.1")</f>
        <v>4.1</v>
      </c>
      <c r="G555" s="4" t="str">
        <f>HYPERLINK("http://141.218.60.56/~jnz1568/getInfo.php?workbook=14_04.xlsx&amp;sheet=U0&amp;row=555&amp;col=7&amp;number=1.9&amp;sourceID=14","1.9")</f>
        <v>1.9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HYPERLINK("http://141.218.60.56/~jnz1568/getInfo.php?workbook=14_04.xlsx&amp;sheet=U0&amp;row=556&amp;col=6&amp;number=4.2&amp;sourceID=14","4.2")</f>
        <v>4.2</v>
      </c>
      <c r="G556" s="4" t="str">
        <f>HYPERLINK("http://141.218.60.56/~jnz1568/getInfo.php?workbook=14_04.xlsx&amp;sheet=U0&amp;row=556&amp;col=7&amp;number=1.91&amp;sourceID=14","1.91")</f>
        <v>1.91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HYPERLINK("http://141.218.60.56/~jnz1568/getInfo.php?workbook=14_04.xlsx&amp;sheet=U0&amp;row=557&amp;col=6&amp;number=4.3&amp;sourceID=14","4.3")</f>
        <v>4.3</v>
      </c>
      <c r="G557" s="4" t="str">
        <f>HYPERLINK("http://141.218.60.56/~jnz1568/getInfo.php?workbook=14_04.xlsx&amp;sheet=U0&amp;row=557&amp;col=7&amp;number=1.91&amp;sourceID=14","1.91")</f>
        <v>1.91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HYPERLINK("http://141.218.60.56/~jnz1568/getInfo.php?workbook=14_04.xlsx&amp;sheet=U0&amp;row=558&amp;col=6&amp;number=4.4&amp;sourceID=14","4.4")</f>
        <v>4.4</v>
      </c>
      <c r="G558" s="4" t="str">
        <f>HYPERLINK("http://141.218.60.56/~jnz1568/getInfo.php?workbook=14_04.xlsx&amp;sheet=U0&amp;row=558&amp;col=7&amp;number=1.91&amp;sourceID=14","1.91")</f>
        <v>1.91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HYPERLINK("http://141.218.60.56/~jnz1568/getInfo.php?workbook=14_04.xlsx&amp;sheet=U0&amp;row=559&amp;col=6&amp;number=4.5&amp;sourceID=14","4.5")</f>
        <v>4.5</v>
      </c>
      <c r="G559" s="4" t="str">
        <f>HYPERLINK("http://141.218.60.56/~jnz1568/getInfo.php?workbook=14_04.xlsx&amp;sheet=U0&amp;row=559&amp;col=7&amp;number=1.91&amp;sourceID=14","1.91")</f>
        <v>1.91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HYPERLINK("http://141.218.60.56/~jnz1568/getInfo.php?workbook=14_04.xlsx&amp;sheet=U0&amp;row=560&amp;col=6&amp;number=4.6&amp;sourceID=14","4.6")</f>
        <v>4.6</v>
      </c>
      <c r="G560" s="4" t="str">
        <f>HYPERLINK("http://141.218.60.56/~jnz1568/getInfo.php?workbook=14_04.xlsx&amp;sheet=U0&amp;row=560&amp;col=7&amp;number=1.92&amp;sourceID=14","1.92")</f>
        <v>1.92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HYPERLINK("http://141.218.60.56/~jnz1568/getInfo.php?workbook=14_04.xlsx&amp;sheet=U0&amp;row=561&amp;col=6&amp;number=4.7&amp;sourceID=14","4.7")</f>
        <v>4.7</v>
      </c>
      <c r="G561" s="4" t="str">
        <f>HYPERLINK("http://141.218.60.56/~jnz1568/getInfo.php?workbook=14_04.xlsx&amp;sheet=U0&amp;row=561&amp;col=7&amp;number=1.92&amp;sourceID=14","1.92")</f>
        <v>1.92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HYPERLINK("http://141.218.60.56/~jnz1568/getInfo.php?workbook=14_04.xlsx&amp;sheet=U0&amp;row=562&amp;col=6&amp;number=4.8&amp;sourceID=14","4.8")</f>
        <v>4.8</v>
      </c>
      <c r="G562" s="4" t="str">
        <f>HYPERLINK("http://141.218.60.56/~jnz1568/getInfo.php?workbook=14_04.xlsx&amp;sheet=U0&amp;row=562&amp;col=7&amp;number=1.93&amp;sourceID=14","1.93")</f>
        <v>1.93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HYPERLINK("http://141.218.60.56/~jnz1568/getInfo.php?workbook=14_04.xlsx&amp;sheet=U0&amp;row=563&amp;col=6&amp;number=4.9&amp;sourceID=14","4.9")</f>
        <v>4.9</v>
      </c>
      <c r="G563" s="4" t="str">
        <f>HYPERLINK("http://141.218.60.56/~jnz1568/getInfo.php?workbook=14_04.xlsx&amp;sheet=U0&amp;row=563&amp;col=7&amp;number=1.94&amp;sourceID=14","1.94")</f>
        <v>1.94</v>
      </c>
    </row>
    <row r="564" spans="1:7">
      <c r="A564" s="3">
        <v>14</v>
      </c>
      <c r="B564" s="3">
        <v>4</v>
      </c>
      <c r="C564" s="3">
        <v>4</v>
      </c>
      <c r="D564" s="3">
        <v>9</v>
      </c>
      <c r="E564" s="3">
        <v>1</v>
      </c>
      <c r="F564" s="4" t="str">
        <f>HYPERLINK("http://141.218.60.56/~jnz1568/getInfo.php?workbook=14_04.xlsx&amp;sheet=U0&amp;row=564&amp;col=6&amp;number=3&amp;sourceID=14","3")</f>
        <v>3</v>
      </c>
      <c r="G564" s="4" t="str">
        <f>HYPERLINK("http://141.218.60.56/~jnz1568/getInfo.php?workbook=14_04.xlsx&amp;sheet=U0&amp;row=564&amp;col=7&amp;number=0.0508&amp;sourceID=14","0.0508")</f>
        <v>0.0508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HYPERLINK("http://141.218.60.56/~jnz1568/getInfo.php?workbook=14_04.xlsx&amp;sheet=U0&amp;row=565&amp;col=6&amp;number=3.1&amp;sourceID=14","3.1")</f>
        <v>3.1</v>
      </c>
      <c r="G565" s="4" t="str">
        <f>HYPERLINK("http://141.218.60.56/~jnz1568/getInfo.php?workbook=14_04.xlsx&amp;sheet=U0&amp;row=565&amp;col=7&amp;number=0.0508&amp;sourceID=14","0.0508")</f>
        <v>0.0508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HYPERLINK("http://141.218.60.56/~jnz1568/getInfo.php?workbook=14_04.xlsx&amp;sheet=U0&amp;row=566&amp;col=6&amp;number=3.2&amp;sourceID=14","3.2")</f>
        <v>3.2</v>
      </c>
      <c r="G566" s="4" t="str">
        <f>HYPERLINK("http://141.218.60.56/~jnz1568/getInfo.php?workbook=14_04.xlsx&amp;sheet=U0&amp;row=566&amp;col=7&amp;number=0.0508&amp;sourceID=14","0.0508")</f>
        <v>0.0508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HYPERLINK("http://141.218.60.56/~jnz1568/getInfo.php?workbook=14_04.xlsx&amp;sheet=U0&amp;row=567&amp;col=6&amp;number=3.3&amp;sourceID=14","3.3")</f>
        <v>3.3</v>
      </c>
      <c r="G567" s="4" t="str">
        <f>HYPERLINK("http://141.218.60.56/~jnz1568/getInfo.php?workbook=14_04.xlsx&amp;sheet=U0&amp;row=567&amp;col=7&amp;number=0.0508&amp;sourceID=14","0.0508")</f>
        <v>0.0508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HYPERLINK("http://141.218.60.56/~jnz1568/getInfo.php?workbook=14_04.xlsx&amp;sheet=U0&amp;row=568&amp;col=6&amp;number=3.4&amp;sourceID=14","3.4")</f>
        <v>3.4</v>
      </c>
      <c r="G568" s="4" t="str">
        <f>HYPERLINK("http://141.218.60.56/~jnz1568/getInfo.php?workbook=14_04.xlsx&amp;sheet=U0&amp;row=568&amp;col=7&amp;number=0.0508&amp;sourceID=14","0.0508")</f>
        <v>0.0508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HYPERLINK("http://141.218.60.56/~jnz1568/getInfo.php?workbook=14_04.xlsx&amp;sheet=U0&amp;row=569&amp;col=6&amp;number=3.5&amp;sourceID=14","3.5")</f>
        <v>3.5</v>
      </c>
      <c r="G569" s="4" t="str">
        <f>HYPERLINK("http://141.218.60.56/~jnz1568/getInfo.php?workbook=14_04.xlsx&amp;sheet=U0&amp;row=569&amp;col=7&amp;number=0.0508&amp;sourceID=14","0.0508")</f>
        <v>0.0508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HYPERLINK("http://141.218.60.56/~jnz1568/getInfo.php?workbook=14_04.xlsx&amp;sheet=U0&amp;row=570&amp;col=6&amp;number=3.6&amp;sourceID=14","3.6")</f>
        <v>3.6</v>
      </c>
      <c r="G570" s="4" t="str">
        <f>HYPERLINK("http://141.218.60.56/~jnz1568/getInfo.php?workbook=14_04.xlsx&amp;sheet=U0&amp;row=570&amp;col=7&amp;number=0.0508&amp;sourceID=14","0.0508")</f>
        <v>0.0508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HYPERLINK("http://141.218.60.56/~jnz1568/getInfo.php?workbook=14_04.xlsx&amp;sheet=U0&amp;row=571&amp;col=6&amp;number=3.7&amp;sourceID=14","3.7")</f>
        <v>3.7</v>
      </c>
      <c r="G571" s="4" t="str">
        <f>HYPERLINK("http://141.218.60.56/~jnz1568/getInfo.php?workbook=14_04.xlsx&amp;sheet=U0&amp;row=571&amp;col=7&amp;number=0.0507&amp;sourceID=14","0.0507")</f>
        <v>0.0507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HYPERLINK("http://141.218.60.56/~jnz1568/getInfo.php?workbook=14_04.xlsx&amp;sheet=U0&amp;row=572&amp;col=6&amp;number=3.8&amp;sourceID=14","3.8")</f>
        <v>3.8</v>
      </c>
      <c r="G572" s="4" t="str">
        <f>HYPERLINK("http://141.218.60.56/~jnz1568/getInfo.php?workbook=14_04.xlsx&amp;sheet=U0&amp;row=572&amp;col=7&amp;number=0.0507&amp;sourceID=14","0.0507")</f>
        <v>0.0507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HYPERLINK("http://141.218.60.56/~jnz1568/getInfo.php?workbook=14_04.xlsx&amp;sheet=U0&amp;row=573&amp;col=6&amp;number=3.9&amp;sourceID=14","3.9")</f>
        <v>3.9</v>
      </c>
      <c r="G573" s="4" t="str">
        <f>HYPERLINK("http://141.218.60.56/~jnz1568/getInfo.php?workbook=14_04.xlsx&amp;sheet=U0&amp;row=573&amp;col=7&amp;number=0.0507&amp;sourceID=14","0.0507")</f>
        <v>0.0507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HYPERLINK("http://141.218.60.56/~jnz1568/getInfo.php?workbook=14_04.xlsx&amp;sheet=U0&amp;row=574&amp;col=6&amp;number=4&amp;sourceID=14","4")</f>
        <v>4</v>
      </c>
      <c r="G574" s="4" t="str">
        <f>HYPERLINK("http://141.218.60.56/~jnz1568/getInfo.php?workbook=14_04.xlsx&amp;sheet=U0&amp;row=574&amp;col=7&amp;number=0.0507&amp;sourceID=14","0.0507")</f>
        <v>0.0507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HYPERLINK("http://141.218.60.56/~jnz1568/getInfo.php?workbook=14_04.xlsx&amp;sheet=U0&amp;row=575&amp;col=6&amp;number=4.1&amp;sourceID=14","4.1")</f>
        <v>4.1</v>
      </c>
      <c r="G575" s="4" t="str">
        <f>HYPERLINK("http://141.218.60.56/~jnz1568/getInfo.php?workbook=14_04.xlsx&amp;sheet=U0&amp;row=575&amp;col=7&amp;number=0.0506&amp;sourceID=14","0.0506")</f>
        <v>0.0506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HYPERLINK("http://141.218.60.56/~jnz1568/getInfo.php?workbook=14_04.xlsx&amp;sheet=U0&amp;row=576&amp;col=6&amp;number=4.2&amp;sourceID=14","4.2")</f>
        <v>4.2</v>
      </c>
      <c r="G576" s="4" t="str">
        <f>HYPERLINK("http://141.218.60.56/~jnz1568/getInfo.php?workbook=14_04.xlsx&amp;sheet=U0&amp;row=576&amp;col=7&amp;number=0.0506&amp;sourceID=14","0.0506")</f>
        <v>0.0506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HYPERLINK("http://141.218.60.56/~jnz1568/getInfo.php?workbook=14_04.xlsx&amp;sheet=U0&amp;row=577&amp;col=6&amp;number=4.3&amp;sourceID=14","4.3")</f>
        <v>4.3</v>
      </c>
      <c r="G577" s="4" t="str">
        <f>HYPERLINK("http://141.218.60.56/~jnz1568/getInfo.php?workbook=14_04.xlsx&amp;sheet=U0&amp;row=577&amp;col=7&amp;number=0.0505&amp;sourceID=14","0.0505")</f>
        <v>0.0505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HYPERLINK("http://141.218.60.56/~jnz1568/getInfo.php?workbook=14_04.xlsx&amp;sheet=U0&amp;row=578&amp;col=6&amp;number=4.4&amp;sourceID=14","4.4")</f>
        <v>4.4</v>
      </c>
      <c r="G578" s="4" t="str">
        <f>HYPERLINK("http://141.218.60.56/~jnz1568/getInfo.php?workbook=14_04.xlsx&amp;sheet=U0&amp;row=578&amp;col=7&amp;number=0.0505&amp;sourceID=14","0.0505")</f>
        <v>0.0505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HYPERLINK("http://141.218.60.56/~jnz1568/getInfo.php?workbook=14_04.xlsx&amp;sheet=U0&amp;row=579&amp;col=6&amp;number=4.5&amp;sourceID=14","4.5")</f>
        <v>4.5</v>
      </c>
      <c r="G579" s="4" t="str">
        <f>HYPERLINK("http://141.218.60.56/~jnz1568/getInfo.php?workbook=14_04.xlsx&amp;sheet=U0&amp;row=579&amp;col=7&amp;number=0.0504&amp;sourceID=14","0.0504")</f>
        <v>0.0504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HYPERLINK("http://141.218.60.56/~jnz1568/getInfo.php?workbook=14_04.xlsx&amp;sheet=U0&amp;row=580&amp;col=6&amp;number=4.6&amp;sourceID=14","4.6")</f>
        <v>4.6</v>
      </c>
      <c r="G580" s="4" t="str">
        <f>HYPERLINK("http://141.218.60.56/~jnz1568/getInfo.php?workbook=14_04.xlsx&amp;sheet=U0&amp;row=580&amp;col=7&amp;number=0.0503&amp;sourceID=14","0.0503")</f>
        <v>0.0503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HYPERLINK("http://141.218.60.56/~jnz1568/getInfo.php?workbook=14_04.xlsx&amp;sheet=U0&amp;row=581&amp;col=6&amp;number=4.7&amp;sourceID=14","4.7")</f>
        <v>4.7</v>
      </c>
      <c r="G581" s="4" t="str">
        <f>HYPERLINK("http://141.218.60.56/~jnz1568/getInfo.php?workbook=14_04.xlsx&amp;sheet=U0&amp;row=581&amp;col=7&amp;number=0.0501&amp;sourceID=14","0.0501")</f>
        <v>0.0501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HYPERLINK("http://141.218.60.56/~jnz1568/getInfo.php?workbook=14_04.xlsx&amp;sheet=U0&amp;row=582&amp;col=6&amp;number=4.8&amp;sourceID=14","4.8")</f>
        <v>4.8</v>
      </c>
      <c r="G582" s="4" t="str">
        <f>HYPERLINK("http://141.218.60.56/~jnz1568/getInfo.php?workbook=14_04.xlsx&amp;sheet=U0&amp;row=582&amp;col=7&amp;number=0.05&amp;sourceID=14","0.05")</f>
        <v>0.05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HYPERLINK("http://141.218.60.56/~jnz1568/getInfo.php?workbook=14_04.xlsx&amp;sheet=U0&amp;row=583&amp;col=6&amp;number=4.9&amp;sourceID=14","4.9")</f>
        <v>4.9</v>
      </c>
      <c r="G583" s="4" t="str">
        <f>HYPERLINK("http://141.218.60.56/~jnz1568/getInfo.php?workbook=14_04.xlsx&amp;sheet=U0&amp;row=583&amp;col=7&amp;number=0.0497&amp;sourceID=14","0.0497")</f>
        <v>0.0497</v>
      </c>
    </row>
    <row r="584" spans="1:7">
      <c r="A584" s="3">
        <v>14</v>
      </c>
      <c r="B584" s="3">
        <v>4</v>
      </c>
      <c r="C584" s="3">
        <v>4</v>
      </c>
      <c r="D584" s="3">
        <v>10</v>
      </c>
      <c r="E584" s="3">
        <v>1</v>
      </c>
      <c r="F584" s="4" t="str">
        <f>HYPERLINK("http://141.218.60.56/~jnz1568/getInfo.php?workbook=14_04.xlsx&amp;sheet=U0&amp;row=584&amp;col=6&amp;number=3&amp;sourceID=14","3")</f>
        <v>3</v>
      </c>
      <c r="G584" s="4" t="str">
        <f>HYPERLINK("http://141.218.60.56/~jnz1568/getInfo.php?workbook=14_04.xlsx&amp;sheet=U0&amp;row=584&amp;col=7&amp;number=0.00645&amp;sourceID=14","0.00645")</f>
        <v>0.00645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HYPERLINK("http://141.218.60.56/~jnz1568/getInfo.php?workbook=14_04.xlsx&amp;sheet=U0&amp;row=585&amp;col=6&amp;number=3.1&amp;sourceID=14","3.1")</f>
        <v>3.1</v>
      </c>
      <c r="G585" s="4" t="str">
        <f>HYPERLINK("http://141.218.60.56/~jnz1568/getInfo.php?workbook=14_04.xlsx&amp;sheet=U0&amp;row=585&amp;col=7&amp;number=0.00645&amp;sourceID=14","0.00645")</f>
        <v>0.00645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HYPERLINK("http://141.218.60.56/~jnz1568/getInfo.php?workbook=14_04.xlsx&amp;sheet=U0&amp;row=586&amp;col=6&amp;number=3.2&amp;sourceID=14","3.2")</f>
        <v>3.2</v>
      </c>
      <c r="G586" s="4" t="str">
        <f>HYPERLINK("http://141.218.60.56/~jnz1568/getInfo.php?workbook=14_04.xlsx&amp;sheet=U0&amp;row=586&amp;col=7&amp;number=0.00645&amp;sourceID=14","0.00645")</f>
        <v>0.00645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HYPERLINK("http://141.218.60.56/~jnz1568/getInfo.php?workbook=14_04.xlsx&amp;sheet=U0&amp;row=587&amp;col=6&amp;number=3.3&amp;sourceID=14","3.3")</f>
        <v>3.3</v>
      </c>
      <c r="G587" s="4" t="str">
        <f>HYPERLINK("http://141.218.60.56/~jnz1568/getInfo.php?workbook=14_04.xlsx&amp;sheet=U0&amp;row=587&amp;col=7&amp;number=0.00645&amp;sourceID=14","0.00645")</f>
        <v>0.00645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HYPERLINK("http://141.218.60.56/~jnz1568/getInfo.php?workbook=14_04.xlsx&amp;sheet=U0&amp;row=588&amp;col=6&amp;number=3.4&amp;sourceID=14","3.4")</f>
        <v>3.4</v>
      </c>
      <c r="G588" s="4" t="str">
        <f>HYPERLINK("http://141.218.60.56/~jnz1568/getInfo.php?workbook=14_04.xlsx&amp;sheet=U0&amp;row=588&amp;col=7&amp;number=0.00645&amp;sourceID=14","0.00645")</f>
        <v>0.00645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HYPERLINK("http://141.218.60.56/~jnz1568/getInfo.php?workbook=14_04.xlsx&amp;sheet=U0&amp;row=589&amp;col=6&amp;number=3.5&amp;sourceID=14","3.5")</f>
        <v>3.5</v>
      </c>
      <c r="G589" s="4" t="str">
        <f>HYPERLINK("http://141.218.60.56/~jnz1568/getInfo.php?workbook=14_04.xlsx&amp;sheet=U0&amp;row=589&amp;col=7&amp;number=0.00645&amp;sourceID=14","0.00645")</f>
        <v>0.00645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HYPERLINK("http://141.218.60.56/~jnz1568/getInfo.php?workbook=14_04.xlsx&amp;sheet=U0&amp;row=590&amp;col=6&amp;number=3.6&amp;sourceID=14","3.6")</f>
        <v>3.6</v>
      </c>
      <c r="G590" s="4" t="str">
        <f>HYPERLINK("http://141.218.60.56/~jnz1568/getInfo.php?workbook=14_04.xlsx&amp;sheet=U0&amp;row=590&amp;col=7&amp;number=0.00645&amp;sourceID=14","0.00645")</f>
        <v>0.00645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HYPERLINK("http://141.218.60.56/~jnz1568/getInfo.php?workbook=14_04.xlsx&amp;sheet=U0&amp;row=591&amp;col=6&amp;number=3.7&amp;sourceID=14","3.7")</f>
        <v>3.7</v>
      </c>
      <c r="G591" s="4" t="str">
        <f>HYPERLINK("http://141.218.60.56/~jnz1568/getInfo.php?workbook=14_04.xlsx&amp;sheet=U0&amp;row=591&amp;col=7&amp;number=0.00644&amp;sourceID=14","0.00644")</f>
        <v>0.00644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HYPERLINK("http://141.218.60.56/~jnz1568/getInfo.php?workbook=14_04.xlsx&amp;sheet=U0&amp;row=592&amp;col=6&amp;number=3.8&amp;sourceID=14","3.8")</f>
        <v>3.8</v>
      </c>
      <c r="G592" s="4" t="str">
        <f>HYPERLINK("http://141.218.60.56/~jnz1568/getInfo.php?workbook=14_04.xlsx&amp;sheet=U0&amp;row=592&amp;col=7&amp;number=0.00644&amp;sourceID=14","0.00644")</f>
        <v>0.00644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HYPERLINK("http://141.218.60.56/~jnz1568/getInfo.php?workbook=14_04.xlsx&amp;sheet=U0&amp;row=593&amp;col=6&amp;number=3.9&amp;sourceID=14","3.9")</f>
        <v>3.9</v>
      </c>
      <c r="G593" s="4" t="str">
        <f>HYPERLINK("http://141.218.60.56/~jnz1568/getInfo.php?workbook=14_04.xlsx&amp;sheet=U0&amp;row=593&amp;col=7&amp;number=0.00644&amp;sourceID=14","0.00644")</f>
        <v>0.00644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HYPERLINK("http://141.218.60.56/~jnz1568/getInfo.php?workbook=14_04.xlsx&amp;sheet=U0&amp;row=594&amp;col=6&amp;number=4&amp;sourceID=14","4")</f>
        <v>4</v>
      </c>
      <c r="G594" s="4" t="str">
        <f>HYPERLINK("http://141.218.60.56/~jnz1568/getInfo.php?workbook=14_04.xlsx&amp;sheet=U0&amp;row=594&amp;col=7&amp;number=0.00643&amp;sourceID=14","0.00643")</f>
        <v>0.00643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HYPERLINK("http://141.218.60.56/~jnz1568/getInfo.php?workbook=14_04.xlsx&amp;sheet=U0&amp;row=595&amp;col=6&amp;number=4.1&amp;sourceID=14","4.1")</f>
        <v>4.1</v>
      </c>
      <c r="G595" s="4" t="str">
        <f>HYPERLINK("http://141.218.60.56/~jnz1568/getInfo.php?workbook=14_04.xlsx&amp;sheet=U0&amp;row=595&amp;col=7&amp;number=0.00643&amp;sourceID=14","0.00643")</f>
        <v>0.00643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HYPERLINK("http://141.218.60.56/~jnz1568/getInfo.php?workbook=14_04.xlsx&amp;sheet=U0&amp;row=596&amp;col=6&amp;number=4.2&amp;sourceID=14","4.2")</f>
        <v>4.2</v>
      </c>
      <c r="G596" s="4" t="str">
        <f>HYPERLINK("http://141.218.60.56/~jnz1568/getInfo.php?workbook=14_04.xlsx&amp;sheet=U0&amp;row=596&amp;col=7&amp;number=0.00642&amp;sourceID=14","0.00642")</f>
        <v>0.00642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HYPERLINK("http://141.218.60.56/~jnz1568/getInfo.php?workbook=14_04.xlsx&amp;sheet=U0&amp;row=597&amp;col=6&amp;number=4.3&amp;sourceID=14","4.3")</f>
        <v>4.3</v>
      </c>
      <c r="G597" s="4" t="str">
        <f>HYPERLINK("http://141.218.60.56/~jnz1568/getInfo.php?workbook=14_04.xlsx&amp;sheet=U0&amp;row=597&amp;col=7&amp;number=0.00641&amp;sourceID=14","0.00641")</f>
        <v>0.00641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HYPERLINK("http://141.218.60.56/~jnz1568/getInfo.php?workbook=14_04.xlsx&amp;sheet=U0&amp;row=598&amp;col=6&amp;number=4.4&amp;sourceID=14","4.4")</f>
        <v>4.4</v>
      </c>
      <c r="G598" s="4" t="str">
        <f>HYPERLINK("http://141.218.60.56/~jnz1568/getInfo.php?workbook=14_04.xlsx&amp;sheet=U0&amp;row=598&amp;col=7&amp;number=0.0064&amp;sourceID=14","0.0064")</f>
        <v>0.0064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HYPERLINK("http://141.218.60.56/~jnz1568/getInfo.php?workbook=14_04.xlsx&amp;sheet=U0&amp;row=599&amp;col=6&amp;number=4.5&amp;sourceID=14","4.5")</f>
        <v>4.5</v>
      </c>
      <c r="G599" s="4" t="str">
        <f>HYPERLINK("http://141.218.60.56/~jnz1568/getInfo.php?workbook=14_04.xlsx&amp;sheet=U0&amp;row=599&amp;col=7&amp;number=0.00639&amp;sourceID=14","0.00639")</f>
        <v>0.00639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HYPERLINK("http://141.218.60.56/~jnz1568/getInfo.php?workbook=14_04.xlsx&amp;sheet=U0&amp;row=600&amp;col=6&amp;number=4.6&amp;sourceID=14","4.6")</f>
        <v>4.6</v>
      </c>
      <c r="G600" s="4" t="str">
        <f>HYPERLINK("http://141.218.60.56/~jnz1568/getInfo.php?workbook=14_04.xlsx&amp;sheet=U0&amp;row=600&amp;col=7&amp;number=0.00638&amp;sourceID=14","0.00638")</f>
        <v>0.00638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HYPERLINK("http://141.218.60.56/~jnz1568/getInfo.php?workbook=14_04.xlsx&amp;sheet=U0&amp;row=601&amp;col=6&amp;number=4.7&amp;sourceID=14","4.7")</f>
        <v>4.7</v>
      </c>
      <c r="G601" s="4" t="str">
        <f>HYPERLINK("http://141.218.60.56/~jnz1568/getInfo.php?workbook=14_04.xlsx&amp;sheet=U0&amp;row=601&amp;col=7&amp;number=0.00636&amp;sourceID=14","0.00636")</f>
        <v>0.00636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HYPERLINK("http://141.218.60.56/~jnz1568/getInfo.php?workbook=14_04.xlsx&amp;sheet=U0&amp;row=602&amp;col=6&amp;number=4.8&amp;sourceID=14","4.8")</f>
        <v>4.8</v>
      </c>
      <c r="G602" s="4" t="str">
        <f>HYPERLINK("http://141.218.60.56/~jnz1568/getInfo.php?workbook=14_04.xlsx&amp;sheet=U0&amp;row=602&amp;col=7&amp;number=0.00633&amp;sourceID=14","0.00633")</f>
        <v>0.00633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HYPERLINK("http://141.218.60.56/~jnz1568/getInfo.php?workbook=14_04.xlsx&amp;sheet=U0&amp;row=603&amp;col=6&amp;number=4.9&amp;sourceID=14","4.9")</f>
        <v>4.9</v>
      </c>
      <c r="G603" s="4" t="str">
        <f>HYPERLINK("http://141.218.60.56/~jnz1568/getInfo.php?workbook=14_04.xlsx&amp;sheet=U0&amp;row=603&amp;col=7&amp;number=0.0063&amp;sourceID=14","0.0063")</f>
        <v>0.0063</v>
      </c>
    </row>
    <row r="604" spans="1:7">
      <c r="A604" s="3">
        <v>14</v>
      </c>
      <c r="B604" s="3">
        <v>4</v>
      </c>
      <c r="C604" s="3">
        <v>5</v>
      </c>
      <c r="D604" s="3">
        <v>6</v>
      </c>
      <c r="E604" s="3">
        <v>1</v>
      </c>
      <c r="F604" s="4" t="str">
        <f>HYPERLINK("http://141.218.60.56/~jnz1568/getInfo.php?workbook=14_04.xlsx&amp;sheet=U0&amp;row=604&amp;col=6&amp;number=3&amp;sourceID=14","3")</f>
        <v>3</v>
      </c>
      <c r="G604" s="4" t="str">
        <f>HYPERLINK("http://141.218.60.56/~jnz1568/getInfo.php?workbook=14_04.xlsx&amp;sheet=U0&amp;row=604&amp;col=7&amp;number=0.0102&amp;sourceID=14","0.0102")</f>
        <v>0.0102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HYPERLINK("http://141.218.60.56/~jnz1568/getInfo.php?workbook=14_04.xlsx&amp;sheet=U0&amp;row=605&amp;col=6&amp;number=3.1&amp;sourceID=14","3.1")</f>
        <v>3.1</v>
      </c>
      <c r="G605" s="4" t="str">
        <f>HYPERLINK("http://141.218.60.56/~jnz1568/getInfo.php?workbook=14_04.xlsx&amp;sheet=U0&amp;row=605&amp;col=7&amp;number=0.0102&amp;sourceID=14","0.0102")</f>
        <v>0.0102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HYPERLINK("http://141.218.60.56/~jnz1568/getInfo.php?workbook=14_04.xlsx&amp;sheet=U0&amp;row=606&amp;col=6&amp;number=3.2&amp;sourceID=14","3.2")</f>
        <v>3.2</v>
      </c>
      <c r="G606" s="4" t="str">
        <f>HYPERLINK("http://141.218.60.56/~jnz1568/getInfo.php?workbook=14_04.xlsx&amp;sheet=U0&amp;row=606&amp;col=7&amp;number=0.0102&amp;sourceID=14","0.0102")</f>
        <v>0.0102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HYPERLINK("http://141.218.60.56/~jnz1568/getInfo.php?workbook=14_04.xlsx&amp;sheet=U0&amp;row=607&amp;col=6&amp;number=3.3&amp;sourceID=14","3.3")</f>
        <v>3.3</v>
      </c>
      <c r="G607" s="4" t="str">
        <f>HYPERLINK("http://141.218.60.56/~jnz1568/getInfo.php?workbook=14_04.xlsx&amp;sheet=U0&amp;row=607&amp;col=7&amp;number=0.0102&amp;sourceID=14","0.0102")</f>
        <v>0.0102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HYPERLINK("http://141.218.60.56/~jnz1568/getInfo.php?workbook=14_04.xlsx&amp;sheet=U0&amp;row=608&amp;col=6&amp;number=3.4&amp;sourceID=14","3.4")</f>
        <v>3.4</v>
      </c>
      <c r="G608" s="4" t="str">
        <f>HYPERLINK("http://141.218.60.56/~jnz1568/getInfo.php?workbook=14_04.xlsx&amp;sheet=U0&amp;row=608&amp;col=7&amp;number=0.0102&amp;sourceID=14","0.0102")</f>
        <v>0.0102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HYPERLINK("http://141.218.60.56/~jnz1568/getInfo.php?workbook=14_04.xlsx&amp;sheet=U0&amp;row=609&amp;col=6&amp;number=3.5&amp;sourceID=14","3.5")</f>
        <v>3.5</v>
      </c>
      <c r="G609" s="4" t="str">
        <f>HYPERLINK("http://141.218.60.56/~jnz1568/getInfo.php?workbook=14_04.xlsx&amp;sheet=U0&amp;row=609&amp;col=7&amp;number=0.0102&amp;sourceID=14","0.0102")</f>
        <v>0.0102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HYPERLINK("http://141.218.60.56/~jnz1568/getInfo.php?workbook=14_04.xlsx&amp;sheet=U0&amp;row=610&amp;col=6&amp;number=3.6&amp;sourceID=14","3.6")</f>
        <v>3.6</v>
      </c>
      <c r="G610" s="4" t="str">
        <f>HYPERLINK("http://141.218.60.56/~jnz1568/getInfo.php?workbook=14_04.xlsx&amp;sheet=U0&amp;row=610&amp;col=7&amp;number=0.0102&amp;sourceID=14","0.0102")</f>
        <v>0.0102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HYPERLINK("http://141.218.60.56/~jnz1568/getInfo.php?workbook=14_04.xlsx&amp;sheet=U0&amp;row=611&amp;col=6&amp;number=3.7&amp;sourceID=14","3.7")</f>
        <v>3.7</v>
      </c>
      <c r="G611" s="4" t="str">
        <f>HYPERLINK("http://141.218.60.56/~jnz1568/getInfo.php?workbook=14_04.xlsx&amp;sheet=U0&amp;row=611&amp;col=7&amp;number=0.0102&amp;sourceID=14","0.0102")</f>
        <v>0.0102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HYPERLINK("http://141.218.60.56/~jnz1568/getInfo.php?workbook=14_04.xlsx&amp;sheet=U0&amp;row=612&amp;col=6&amp;number=3.8&amp;sourceID=14","3.8")</f>
        <v>3.8</v>
      </c>
      <c r="G612" s="4" t="str">
        <f>HYPERLINK("http://141.218.60.56/~jnz1568/getInfo.php?workbook=14_04.xlsx&amp;sheet=U0&amp;row=612&amp;col=7&amp;number=0.0102&amp;sourceID=14","0.0102")</f>
        <v>0.0102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HYPERLINK("http://141.218.60.56/~jnz1568/getInfo.php?workbook=14_04.xlsx&amp;sheet=U0&amp;row=613&amp;col=6&amp;number=3.9&amp;sourceID=14","3.9")</f>
        <v>3.9</v>
      </c>
      <c r="G613" s="4" t="str">
        <f>HYPERLINK("http://141.218.60.56/~jnz1568/getInfo.php?workbook=14_04.xlsx&amp;sheet=U0&amp;row=613&amp;col=7&amp;number=0.0102&amp;sourceID=14","0.0102")</f>
        <v>0.0102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HYPERLINK("http://141.218.60.56/~jnz1568/getInfo.php?workbook=14_04.xlsx&amp;sheet=U0&amp;row=614&amp;col=6&amp;number=4&amp;sourceID=14","4")</f>
        <v>4</v>
      </c>
      <c r="G614" s="4" t="str">
        <f>HYPERLINK("http://141.218.60.56/~jnz1568/getInfo.php?workbook=14_04.xlsx&amp;sheet=U0&amp;row=614&amp;col=7&amp;number=0.0101&amp;sourceID=14","0.0101")</f>
        <v>0.0101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HYPERLINK("http://141.218.60.56/~jnz1568/getInfo.php?workbook=14_04.xlsx&amp;sheet=U0&amp;row=615&amp;col=6&amp;number=4.1&amp;sourceID=14","4.1")</f>
        <v>4.1</v>
      </c>
      <c r="G615" s="4" t="str">
        <f>HYPERLINK("http://141.218.60.56/~jnz1568/getInfo.php?workbook=14_04.xlsx&amp;sheet=U0&amp;row=615&amp;col=7&amp;number=0.0101&amp;sourceID=14","0.0101")</f>
        <v>0.0101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HYPERLINK("http://141.218.60.56/~jnz1568/getInfo.php?workbook=14_04.xlsx&amp;sheet=U0&amp;row=616&amp;col=6&amp;number=4.2&amp;sourceID=14","4.2")</f>
        <v>4.2</v>
      </c>
      <c r="G616" s="4" t="str">
        <f>HYPERLINK("http://141.218.60.56/~jnz1568/getInfo.php?workbook=14_04.xlsx&amp;sheet=U0&amp;row=616&amp;col=7&amp;number=0.0101&amp;sourceID=14","0.0101")</f>
        <v>0.0101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HYPERLINK("http://141.218.60.56/~jnz1568/getInfo.php?workbook=14_04.xlsx&amp;sheet=U0&amp;row=617&amp;col=6&amp;number=4.3&amp;sourceID=14","4.3")</f>
        <v>4.3</v>
      </c>
      <c r="G617" s="4" t="str">
        <f>HYPERLINK("http://141.218.60.56/~jnz1568/getInfo.php?workbook=14_04.xlsx&amp;sheet=U0&amp;row=617&amp;col=7&amp;number=0.01&amp;sourceID=14","0.01")</f>
        <v>0.01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HYPERLINK("http://141.218.60.56/~jnz1568/getInfo.php?workbook=14_04.xlsx&amp;sheet=U0&amp;row=618&amp;col=6&amp;number=4.4&amp;sourceID=14","4.4")</f>
        <v>4.4</v>
      </c>
      <c r="G618" s="4" t="str">
        <f>HYPERLINK("http://141.218.60.56/~jnz1568/getInfo.php?workbook=14_04.xlsx&amp;sheet=U0&amp;row=618&amp;col=7&amp;number=0.00999&amp;sourceID=14","0.00999")</f>
        <v>0.00999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HYPERLINK("http://141.218.60.56/~jnz1568/getInfo.php?workbook=14_04.xlsx&amp;sheet=U0&amp;row=619&amp;col=6&amp;number=4.5&amp;sourceID=14","4.5")</f>
        <v>4.5</v>
      </c>
      <c r="G619" s="4" t="str">
        <f>HYPERLINK("http://141.218.60.56/~jnz1568/getInfo.php?workbook=14_04.xlsx&amp;sheet=U0&amp;row=619&amp;col=7&amp;number=0.00994&amp;sourceID=14","0.00994")</f>
        <v>0.00994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HYPERLINK("http://141.218.60.56/~jnz1568/getInfo.php?workbook=14_04.xlsx&amp;sheet=U0&amp;row=620&amp;col=6&amp;number=4.6&amp;sourceID=14","4.6")</f>
        <v>4.6</v>
      </c>
      <c r="G620" s="4" t="str">
        <f>HYPERLINK("http://141.218.60.56/~jnz1568/getInfo.php?workbook=14_04.xlsx&amp;sheet=U0&amp;row=620&amp;col=7&amp;number=0.00986&amp;sourceID=14","0.00986")</f>
        <v>0.00986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HYPERLINK("http://141.218.60.56/~jnz1568/getInfo.php?workbook=14_04.xlsx&amp;sheet=U0&amp;row=621&amp;col=6&amp;number=4.7&amp;sourceID=14","4.7")</f>
        <v>4.7</v>
      </c>
      <c r="G621" s="4" t="str">
        <f>HYPERLINK("http://141.218.60.56/~jnz1568/getInfo.php?workbook=14_04.xlsx&amp;sheet=U0&amp;row=621&amp;col=7&amp;number=0.00977&amp;sourceID=14","0.00977")</f>
        <v>0.00977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HYPERLINK("http://141.218.60.56/~jnz1568/getInfo.php?workbook=14_04.xlsx&amp;sheet=U0&amp;row=622&amp;col=6&amp;number=4.8&amp;sourceID=14","4.8")</f>
        <v>4.8</v>
      </c>
      <c r="G622" s="4" t="str">
        <f>HYPERLINK("http://141.218.60.56/~jnz1568/getInfo.php?workbook=14_04.xlsx&amp;sheet=U0&amp;row=622&amp;col=7&amp;number=0.00966&amp;sourceID=14","0.00966")</f>
        <v>0.00966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HYPERLINK("http://141.218.60.56/~jnz1568/getInfo.php?workbook=14_04.xlsx&amp;sheet=U0&amp;row=623&amp;col=6&amp;number=4.9&amp;sourceID=14","4.9")</f>
        <v>4.9</v>
      </c>
      <c r="G623" s="4" t="str">
        <f>HYPERLINK("http://141.218.60.56/~jnz1568/getInfo.php?workbook=14_04.xlsx&amp;sheet=U0&amp;row=623&amp;col=7&amp;number=0.00951&amp;sourceID=14","0.00951")</f>
        <v>0.00951</v>
      </c>
    </row>
    <row r="624" spans="1:7">
      <c r="A624" s="3">
        <v>14</v>
      </c>
      <c r="B624" s="3">
        <v>4</v>
      </c>
      <c r="C624" s="3">
        <v>5</v>
      </c>
      <c r="D624" s="3">
        <v>7</v>
      </c>
      <c r="E624" s="3">
        <v>1</v>
      </c>
      <c r="F624" s="4" t="str">
        <f>HYPERLINK("http://141.218.60.56/~jnz1568/getInfo.php?workbook=14_04.xlsx&amp;sheet=U0&amp;row=624&amp;col=6&amp;number=3&amp;sourceID=14","3")</f>
        <v>3</v>
      </c>
      <c r="G624" s="4" t="str">
        <f>HYPERLINK("http://141.218.60.56/~jnz1568/getInfo.php?workbook=14_04.xlsx&amp;sheet=U0&amp;row=624&amp;col=7&amp;number=0.0313&amp;sourceID=14","0.0313")</f>
        <v>0.0313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HYPERLINK("http://141.218.60.56/~jnz1568/getInfo.php?workbook=14_04.xlsx&amp;sheet=U0&amp;row=625&amp;col=6&amp;number=3.1&amp;sourceID=14","3.1")</f>
        <v>3.1</v>
      </c>
      <c r="G625" s="4" t="str">
        <f>HYPERLINK("http://141.218.60.56/~jnz1568/getInfo.php?workbook=14_04.xlsx&amp;sheet=U0&amp;row=625&amp;col=7&amp;number=0.0313&amp;sourceID=14","0.0313")</f>
        <v>0.0313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HYPERLINK("http://141.218.60.56/~jnz1568/getInfo.php?workbook=14_04.xlsx&amp;sheet=U0&amp;row=626&amp;col=6&amp;number=3.2&amp;sourceID=14","3.2")</f>
        <v>3.2</v>
      </c>
      <c r="G626" s="4" t="str">
        <f>HYPERLINK("http://141.218.60.56/~jnz1568/getInfo.php?workbook=14_04.xlsx&amp;sheet=U0&amp;row=626&amp;col=7&amp;number=0.0313&amp;sourceID=14","0.0313")</f>
        <v>0.0313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HYPERLINK("http://141.218.60.56/~jnz1568/getInfo.php?workbook=14_04.xlsx&amp;sheet=U0&amp;row=627&amp;col=6&amp;number=3.3&amp;sourceID=14","3.3")</f>
        <v>3.3</v>
      </c>
      <c r="G627" s="4" t="str">
        <f>HYPERLINK("http://141.218.60.56/~jnz1568/getInfo.php?workbook=14_04.xlsx&amp;sheet=U0&amp;row=627&amp;col=7&amp;number=0.0313&amp;sourceID=14","0.0313")</f>
        <v>0.0313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HYPERLINK("http://141.218.60.56/~jnz1568/getInfo.php?workbook=14_04.xlsx&amp;sheet=U0&amp;row=628&amp;col=6&amp;number=3.4&amp;sourceID=14","3.4")</f>
        <v>3.4</v>
      </c>
      <c r="G628" s="4" t="str">
        <f>HYPERLINK("http://141.218.60.56/~jnz1568/getInfo.php?workbook=14_04.xlsx&amp;sheet=U0&amp;row=628&amp;col=7&amp;number=0.0313&amp;sourceID=14","0.0313")</f>
        <v>0.0313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HYPERLINK("http://141.218.60.56/~jnz1568/getInfo.php?workbook=14_04.xlsx&amp;sheet=U0&amp;row=629&amp;col=6&amp;number=3.5&amp;sourceID=14","3.5")</f>
        <v>3.5</v>
      </c>
      <c r="G629" s="4" t="str">
        <f>HYPERLINK("http://141.218.60.56/~jnz1568/getInfo.php?workbook=14_04.xlsx&amp;sheet=U0&amp;row=629&amp;col=7&amp;number=0.0312&amp;sourceID=14","0.0312")</f>
        <v>0.0312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HYPERLINK("http://141.218.60.56/~jnz1568/getInfo.php?workbook=14_04.xlsx&amp;sheet=U0&amp;row=630&amp;col=6&amp;number=3.6&amp;sourceID=14","3.6")</f>
        <v>3.6</v>
      </c>
      <c r="G630" s="4" t="str">
        <f>HYPERLINK("http://141.218.60.56/~jnz1568/getInfo.php?workbook=14_04.xlsx&amp;sheet=U0&amp;row=630&amp;col=7&amp;number=0.0312&amp;sourceID=14","0.0312")</f>
        <v>0.0312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HYPERLINK("http://141.218.60.56/~jnz1568/getInfo.php?workbook=14_04.xlsx&amp;sheet=U0&amp;row=631&amp;col=6&amp;number=3.7&amp;sourceID=14","3.7")</f>
        <v>3.7</v>
      </c>
      <c r="G631" s="4" t="str">
        <f>HYPERLINK("http://141.218.60.56/~jnz1568/getInfo.php?workbook=14_04.xlsx&amp;sheet=U0&amp;row=631&amp;col=7&amp;number=0.0312&amp;sourceID=14","0.0312")</f>
        <v>0.0312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HYPERLINK("http://141.218.60.56/~jnz1568/getInfo.php?workbook=14_04.xlsx&amp;sheet=U0&amp;row=632&amp;col=6&amp;number=3.8&amp;sourceID=14","3.8")</f>
        <v>3.8</v>
      </c>
      <c r="G632" s="4" t="str">
        <f>HYPERLINK("http://141.218.60.56/~jnz1568/getInfo.php?workbook=14_04.xlsx&amp;sheet=U0&amp;row=632&amp;col=7&amp;number=0.0311&amp;sourceID=14","0.0311")</f>
        <v>0.0311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HYPERLINK("http://141.218.60.56/~jnz1568/getInfo.php?workbook=14_04.xlsx&amp;sheet=U0&amp;row=633&amp;col=6&amp;number=3.9&amp;sourceID=14","3.9")</f>
        <v>3.9</v>
      </c>
      <c r="G633" s="4" t="str">
        <f>HYPERLINK("http://141.218.60.56/~jnz1568/getInfo.php?workbook=14_04.xlsx&amp;sheet=U0&amp;row=633&amp;col=7&amp;number=0.0311&amp;sourceID=14","0.0311")</f>
        <v>0.0311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HYPERLINK("http://141.218.60.56/~jnz1568/getInfo.php?workbook=14_04.xlsx&amp;sheet=U0&amp;row=634&amp;col=6&amp;number=4&amp;sourceID=14","4")</f>
        <v>4</v>
      </c>
      <c r="G634" s="4" t="str">
        <f>HYPERLINK("http://141.218.60.56/~jnz1568/getInfo.php?workbook=14_04.xlsx&amp;sheet=U0&amp;row=634&amp;col=7&amp;number=0.031&amp;sourceID=14","0.031")</f>
        <v>0.031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HYPERLINK("http://141.218.60.56/~jnz1568/getInfo.php?workbook=14_04.xlsx&amp;sheet=U0&amp;row=635&amp;col=6&amp;number=4.1&amp;sourceID=14","4.1")</f>
        <v>4.1</v>
      </c>
      <c r="G635" s="4" t="str">
        <f>HYPERLINK("http://141.218.60.56/~jnz1568/getInfo.php?workbook=14_04.xlsx&amp;sheet=U0&amp;row=635&amp;col=7&amp;number=0.0309&amp;sourceID=14","0.0309")</f>
        <v>0.0309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HYPERLINK("http://141.218.60.56/~jnz1568/getInfo.php?workbook=14_04.xlsx&amp;sheet=U0&amp;row=636&amp;col=6&amp;number=4.2&amp;sourceID=14","4.2")</f>
        <v>4.2</v>
      </c>
      <c r="G636" s="4" t="str">
        <f>HYPERLINK("http://141.218.60.56/~jnz1568/getInfo.php?workbook=14_04.xlsx&amp;sheet=U0&amp;row=636&amp;col=7&amp;number=0.0308&amp;sourceID=14","0.0308")</f>
        <v>0.0308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HYPERLINK("http://141.218.60.56/~jnz1568/getInfo.php?workbook=14_04.xlsx&amp;sheet=U0&amp;row=637&amp;col=6&amp;number=4.3&amp;sourceID=14","4.3")</f>
        <v>4.3</v>
      </c>
      <c r="G637" s="4" t="str">
        <f>HYPERLINK("http://141.218.60.56/~jnz1568/getInfo.php?workbook=14_04.xlsx&amp;sheet=U0&amp;row=637&amp;col=7&amp;number=0.0307&amp;sourceID=14","0.0307")</f>
        <v>0.0307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HYPERLINK("http://141.218.60.56/~jnz1568/getInfo.php?workbook=14_04.xlsx&amp;sheet=U0&amp;row=638&amp;col=6&amp;number=4.4&amp;sourceID=14","4.4")</f>
        <v>4.4</v>
      </c>
      <c r="G638" s="4" t="str">
        <f>HYPERLINK("http://141.218.60.56/~jnz1568/getInfo.php?workbook=14_04.xlsx&amp;sheet=U0&amp;row=638&amp;col=7&amp;number=0.0306&amp;sourceID=14","0.0306")</f>
        <v>0.0306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HYPERLINK("http://141.218.60.56/~jnz1568/getInfo.php?workbook=14_04.xlsx&amp;sheet=U0&amp;row=639&amp;col=6&amp;number=4.5&amp;sourceID=14","4.5")</f>
        <v>4.5</v>
      </c>
      <c r="G639" s="4" t="str">
        <f>HYPERLINK("http://141.218.60.56/~jnz1568/getInfo.php?workbook=14_04.xlsx&amp;sheet=U0&amp;row=639&amp;col=7&amp;number=0.0304&amp;sourceID=14","0.0304")</f>
        <v>0.0304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HYPERLINK("http://141.218.60.56/~jnz1568/getInfo.php?workbook=14_04.xlsx&amp;sheet=U0&amp;row=640&amp;col=6&amp;number=4.6&amp;sourceID=14","4.6")</f>
        <v>4.6</v>
      </c>
      <c r="G640" s="4" t="str">
        <f>HYPERLINK("http://141.218.60.56/~jnz1568/getInfo.php?workbook=14_04.xlsx&amp;sheet=U0&amp;row=640&amp;col=7&amp;number=0.0301&amp;sourceID=14","0.0301")</f>
        <v>0.0301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HYPERLINK("http://141.218.60.56/~jnz1568/getInfo.php?workbook=14_04.xlsx&amp;sheet=U0&amp;row=641&amp;col=6&amp;number=4.7&amp;sourceID=14","4.7")</f>
        <v>4.7</v>
      </c>
      <c r="G641" s="4" t="str">
        <f>HYPERLINK("http://141.218.60.56/~jnz1568/getInfo.php?workbook=14_04.xlsx&amp;sheet=U0&amp;row=641&amp;col=7&amp;number=0.0298&amp;sourceID=14","0.0298")</f>
        <v>0.0298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HYPERLINK("http://141.218.60.56/~jnz1568/getInfo.php?workbook=14_04.xlsx&amp;sheet=U0&amp;row=642&amp;col=6&amp;number=4.8&amp;sourceID=14","4.8")</f>
        <v>4.8</v>
      </c>
      <c r="G642" s="4" t="str">
        <f>HYPERLINK("http://141.218.60.56/~jnz1568/getInfo.php?workbook=14_04.xlsx&amp;sheet=U0&amp;row=642&amp;col=7&amp;number=0.0295&amp;sourceID=14","0.0295")</f>
        <v>0.0295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HYPERLINK("http://141.218.60.56/~jnz1568/getInfo.php?workbook=14_04.xlsx&amp;sheet=U0&amp;row=643&amp;col=6&amp;number=4.9&amp;sourceID=14","4.9")</f>
        <v>4.9</v>
      </c>
      <c r="G643" s="4" t="str">
        <f>HYPERLINK("http://141.218.60.56/~jnz1568/getInfo.php?workbook=14_04.xlsx&amp;sheet=U0&amp;row=643&amp;col=7&amp;number=0.029&amp;sourceID=14","0.029")</f>
        <v>0.029</v>
      </c>
    </row>
    <row r="644" spans="1:7">
      <c r="A644" s="3">
        <v>14</v>
      </c>
      <c r="B644" s="3">
        <v>4</v>
      </c>
      <c r="C644" s="3">
        <v>5</v>
      </c>
      <c r="D644" s="3">
        <v>8</v>
      </c>
      <c r="E644" s="3">
        <v>1</v>
      </c>
      <c r="F644" s="4" t="str">
        <f>HYPERLINK("http://141.218.60.56/~jnz1568/getInfo.php?workbook=14_04.xlsx&amp;sheet=U0&amp;row=644&amp;col=6&amp;number=3&amp;sourceID=14","3")</f>
        <v>3</v>
      </c>
      <c r="G644" s="4" t="str">
        <f>HYPERLINK("http://141.218.60.56/~jnz1568/getInfo.php?workbook=14_04.xlsx&amp;sheet=U0&amp;row=644&amp;col=7&amp;number=0.0509&amp;sourceID=14","0.0509")</f>
        <v>0.0509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HYPERLINK("http://141.218.60.56/~jnz1568/getInfo.php?workbook=14_04.xlsx&amp;sheet=U0&amp;row=645&amp;col=6&amp;number=3.1&amp;sourceID=14","3.1")</f>
        <v>3.1</v>
      </c>
      <c r="G645" s="4" t="str">
        <f>HYPERLINK("http://141.218.60.56/~jnz1568/getInfo.php?workbook=14_04.xlsx&amp;sheet=U0&amp;row=645&amp;col=7&amp;number=0.0509&amp;sourceID=14","0.0509")</f>
        <v>0.0509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HYPERLINK("http://141.218.60.56/~jnz1568/getInfo.php?workbook=14_04.xlsx&amp;sheet=U0&amp;row=646&amp;col=6&amp;number=3.2&amp;sourceID=14","3.2")</f>
        <v>3.2</v>
      </c>
      <c r="G646" s="4" t="str">
        <f>HYPERLINK("http://141.218.60.56/~jnz1568/getInfo.php?workbook=14_04.xlsx&amp;sheet=U0&amp;row=646&amp;col=7&amp;number=0.0509&amp;sourceID=14","0.0509")</f>
        <v>0.0509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HYPERLINK("http://141.218.60.56/~jnz1568/getInfo.php?workbook=14_04.xlsx&amp;sheet=U0&amp;row=647&amp;col=6&amp;number=3.3&amp;sourceID=14","3.3")</f>
        <v>3.3</v>
      </c>
      <c r="G647" s="4" t="str">
        <f>HYPERLINK("http://141.218.60.56/~jnz1568/getInfo.php?workbook=14_04.xlsx&amp;sheet=U0&amp;row=647&amp;col=7&amp;number=0.0509&amp;sourceID=14","0.0509")</f>
        <v>0.0509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HYPERLINK("http://141.218.60.56/~jnz1568/getInfo.php?workbook=14_04.xlsx&amp;sheet=U0&amp;row=648&amp;col=6&amp;number=3.4&amp;sourceID=14","3.4")</f>
        <v>3.4</v>
      </c>
      <c r="G648" s="4" t="str">
        <f>HYPERLINK("http://141.218.60.56/~jnz1568/getInfo.php?workbook=14_04.xlsx&amp;sheet=U0&amp;row=648&amp;col=7&amp;number=0.0509&amp;sourceID=14","0.0509")</f>
        <v>0.0509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HYPERLINK("http://141.218.60.56/~jnz1568/getInfo.php?workbook=14_04.xlsx&amp;sheet=U0&amp;row=649&amp;col=6&amp;number=3.5&amp;sourceID=14","3.5")</f>
        <v>3.5</v>
      </c>
      <c r="G649" s="4" t="str">
        <f>HYPERLINK("http://141.218.60.56/~jnz1568/getInfo.php?workbook=14_04.xlsx&amp;sheet=U0&amp;row=649&amp;col=7&amp;number=0.0508&amp;sourceID=14","0.0508")</f>
        <v>0.0508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HYPERLINK("http://141.218.60.56/~jnz1568/getInfo.php?workbook=14_04.xlsx&amp;sheet=U0&amp;row=650&amp;col=6&amp;number=3.6&amp;sourceID=14","3.6")</f>
        <v>3.6</v>
      </c>
      <c r="G650" s="4" t="str">
        <f>HYPERLINK("http://141.218.60.56/~jnz1568/getInfo.php?workbook=14_04.xlsx&amp;sheet=U0&amp;row=650&amp;col=7&amp;number=0.0508&amp;sourceID=14","0.0508")</f>
        <v>0.0508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HYPERLINK("http://141.218.60.56/~jnz1568/getInfo.php?workbook=14_04.xlsx&amp;sheet=U0&amp;row=651&amp;col=6&amp;number=3.7&amp;sourceID=14","3.7")</f>
        <v>3.7</v>
      </c>
      <c r="G651" s="4" t="str">
        <f>HYPERLINK("http://141.218.60.56/~jnz1568/getInfo.php?workbook=14_04.xlsx&amp;sheet=U0&amp;row=651&amp;col=7&amp;number=0.0507&amp;sourceID=14","0.0507")</f>
        <v>0.0507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HYPERLINK("http://141.218.60.56/~jnz1568/getInfo.php?workbook=14_04.xlsx&amp;sheet=U0&amp;row=652&amp;col=6&amp;number=3.8&amp;sourceID=14","3.8")</f>
        <v>3.8</v>
      </c>
      <c r="G652" s="4" t="str">
        <f>HYPERLINK("http://141.218.60.56/~jnz1568/getInfo.php?workbook=14_04.xlsx&amp;sheet=U0&amp;row=652&amp;col=7&amp;number=0.0507&amp;sourceID=14","0.0507")</f>
        <v>0.0507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HYPERLINK("http://141.218.60.56/~jnz1568/getInfo.php?workbook=14_04.xlsx&amp;sheet=U0&amp;row=653&amp;col=6&amp;number=3.9&amp;sourceID=14","3.9")</f>
        <v>3.9</v>
      </c>
      <c r="G653" s="4" t="str">
        <f>HYPERLINK("http://141.218.60.56/~jnz1568/getInfo.php?workbook=14_04.xlsx&amp;sheet=U0&amp;row=653&amp;col=7&amp;number=0.0506&amp;sourceID=14","0.0506")</f>
        <v>0.0506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HYPERLINK("http://141.218.60.56/~jnz1568/getInfo.php?workbook=14_04.xlsx&amp;sheet=U0&amp;row=654&amp;col=6&amp;number=4&amp;sourceID=14","4")</f>
        <v>4</v>
      </c>
      <c r="G654" s="4" t="str">
        <f>HYPERLINK("http://141.218.60.56/~jnz1568/getInfo.php?workbook=14_04.xlsx&amp;sheet=U0&amp;row=654&amp;col=7&amp;number=0.0505&amp;sourceID=14","0.0505")</f>
        <v>0.0505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HYPERLINK("http://141.218.60.56/~jnz1568/getInfo.php?workbook=14_04.xlsx&amp;sheet=U0&amp;row=655&amp;col=6&amp;number=4.1&amp;sourceID=14","4.1")</f>
        <v>4.1</v>
      </c>
      <c r="G655" s="4" t="str">
        <f>HYPERLINK("http://141.218.60.56/~jnz1568/getInfo.php?workbook=14_04.xlsx&amp;sheet=U0&amp;row=655&amp;col=7&amp;number=0.0504&amp;sourceID=14","0.0504")</f>
        <v>0.0504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HYPERLINK("http://141.218.60.56/~jnz1568/getInfo.php?workbook=14_04.xlsx&amp;sheet=U0&amp;row=656&amp;col=6&amp;number=4.2&amp;sourceID=14","4.2")</f>
        <v>4.2</v>
      </c>
      <c r="G656" s="4" t="str">
        <f>HYPERLINK("http://141.218.60.56/~jnz1568/getInfo.php?workbook=14_04.xlsx&amp;sheet=U0&amp;row=656&amp;col=7&amp;number=0.0502&amp;sourceID=14","0.0502")</f>
        <v>0.0502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HYPERLINK("http://141.218.60.56/~jnz1568/getInfo.php?workbook=14_04.xlsx&amp;sheet=U0&amp;row=657&amp;col=6&amp;number=4.3&amp;sourceID=14","4.3")</f>
        <v>4.3</v>
      </c>
      <c r="G657" s="4" t="str">
        <f>HYPERLINK("http://141.218.60.56/~jnz1568/getInfo.php?workbook=14_04.xlsx&amp;sheet=U0&amp;row=657&amp;col=7&amp;number=0.0501&amp;sourceID=14","0.0501")</f>
        <v>0.0501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HYPERLINK("http://141.218.60.56/~jnz1568/getInfo.php?workbook=14_04.xlsx&amp;sheet=U0&amp;row=658&amp;col=6&amp;number=4.4&amp;sourceID=14","4.4")</f>
        <v>4.4</v>
      </c>
      <c r="G658" s="4" t="str">
        <f>HYPERLINK("http://141.218.60.56/~jnz1568/getInfo.php?workbook=14_04.xlsx&amp;sheet=U0&amp;row=658&amp;col=7&amp;number=0.0498&amp;sourceID=14","0.0498")</f>
        <v>0.0498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HYPERLINK("http://141.218.60.56/~jnz1568/getInfo.php?workbook=14_04.xlsx&amp;sheet=U0&amp;row=659&amp;col=6&amp;number=4.5&amp;sourceID=14","4.5")</f>
        <v>4.5</v>
      </c>
      <c r="G659" s="4" t="str">
        <f>HYPERLINK("http://141.218.60.56/~jnz1568/getInfo.php?workbook=14_04.xlsx&amp;sheet=U0&amp;row=659&amp;col=7&amp;number=0.0495&amp;sourceID=14","0.0495")</f>
        <v>0.0495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HYPERLINK("http://141.218.60.56/~jnz1568/getInfo.php?workbook=14_04.xlsx&amp;sheet=U0&amp;row=660&amp;col=6&amp;number=4.6&amp;sourceID=14","4.6")</f>
        <v>4.6</v>
      </c>
      <c r="G660" s="4" t="str">
        <f>HYPERLINK("http://141.218.60.56/~jnz1568/getInfo.php?workbook=14_04.xlsx&amp;sheet=U0&amp;row=660&amp;col=7&amp;number=0.0492&amp;sourceID=14","0.0492")</f>
        <v>0.0492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HYPERLINK("http://141.218.60.56/~jnz1568/getInfo.php?workbook=14_04.xlsx&amp;sheet=U0&amp;row=661&amp;col=6&amp;number=4.7&amp;sourceID=14","4.7")</f>
        <v>4.7</v>
      </c>
      <c r="G661" s="4" t="str">
        <f>HYPERLINK("http://141.218.60.56/~jnz1568/getInfo.php?workbook=14_04.xlsx&amp;sheet=U0&amp;row=661&amp;col=7&amp;number=0.0487&amp;sourceID=14","0.0487")</f>
        <v>0.0487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HYPERLINK("http://141.218.60.56/~jnz1568/getInfo.php?workbook=14_04.xlsx&amp;sheet=U0&amp;row=662&amp;col=6&amp;number=4.8&amp;sourceID=14","4.8")</f>
        <v>4.8</v>
      </c>
      <c r="G662" s="4" t="str">
        <f>HYPERLINK("http://141.218.60.56/~jnz1568/getInfo.php?workbook=14_04.xlsx&amp;sheet=U0&amp;row=662&amp;col=7&amp;number=0.0482&amp;sourceID=14","0.0482")</f>
        <v>0.0482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HYPERLINK("http://141.218.60.56/~jnz1568/getInfo.php?workbook=14_04.xlsx&amp;sheet=U0&amp;row=663&amp;col=6&amp;number=4.9&amp;sourceID=14","4.9")</f>
        <v>4.9</v>
      </c>
      <c r="G663" s="4" t="str">
        <f>HYPERLINK("http://141.218.60.56/~jnz1568/getInfo.php?workbook=14_04.xlsx&amp;sheet=U0&amp;row=663&amp;col=7&amp;number=0.0475&amp;sourceID=14","0.0475")</f>
        <v>0.0475</v>
      </c>
    </row>
    <row r="664" spans="1:7">
      <c r="A664" s="3">
        <v>14</v>
      </c>
      <c r="B664" s="3">
        <v>4</v>
      </c>
      <c r="C664" s="3">
        <v>5</v>
      </c>
      <c r="D664" s="3">
        <v>9</v>
      </c>
      <c r="E664" s="3">
        <v>1</v>
      </c>
      <c r="F664" s="4" t="str">
        <f>HYPERLINK("http://141.218.60.56/~jnz1568/getInfo.php?workbook=14_04.xlsx&amp;sheet=U0&amp;row=664&amp;col=6&amp;number=3&amp;sourceID=14","3")</f>
        <v>3</v>
      </c>
      <c r="G664" s="4" t="str">
        <f>HYPERLINK("http://141.218.60.56/~jnz1568/getInfo.php?workbook=14_04.xlsx&amp;sheet=U0&amp;row=664&amp;col=7&amp;number=2.67&amp;sourceID=14","2.67")</f>
        <v>2.67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HYPERLINK("http://141.218.60.56/~jnz1568/getInfo.php?workbook=14_04.xlsx&amp;sheet=U0&amp;row=665&amp;col=6&amp;number=3.1&amp;sourceID=14","3.1")</f>
        <v>3.1</v>
      </c>
      <c r="G665" s="4" t="str">
        <f>HYPERLINK("http://141.218.60.56/~jnz1568/getInfo.php?workbook=14_04.xlsx&amp;sheet=U0&amp;row=665&amp;col=7&amp;number=2.67&amp;sourceID=14","2.67")</f>
        <v>2.67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HYPERLINK("http://141.218.60.56/~jnz1568/getInfo.php?workbook=14_04.xlsx&amp;sheet=U0&amp;row=666&amp;col=6&amp;number=3.2&amp;sourceID=14","3.2")</f>
        <v>3.2</v>
      </c>
      <c r="G666" s="4" t="str">
        <f>HYPERLINK("http://141.218.60.56/~jnz1568/getInfo.php?workbook=14_04.xlsx&amp;sheet=U0&amp;row=666&amp;col=7&amp;number=2.67&amp;sourceID=14","2.67")</f>
        <v>2.67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HYPERLINK("http://141.218.60.56/~jnz1568/getInfo.php?workbook=14_04.xlsx&amp;sheet=U0&amp;row=667&amp;col=6&amp;number=3.3&amp;sourceID=14","3.3")</f>
        <v>3.3</v>
      </c>
      <c r="G667" s="4" t="str">
        <f>HYPERLINK("http://141.218.60.56/~jnz1568/getInfo.php?workbook=14_04.xlsx&amp;sheet=U0&amp;row=667&amp;col=7&amp;number=2.67&amp;sourceID=14","2.67")</f>
        <v>2.67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HYPERLINK("http://141.218.60.56/~jnz1568/getInfo.php?workbook=14_04.xlsx&amp;sheet=U0&amp;row=668&amp;col=6&amp;number=3.4&amp;sourceID=14","3.4")</f>
        <v>3.4</v>
      </c>
      <c r="G668" s="4" t="str">
        <f>HYPERLINK("http://141.218.60.56/~jnz1568/getInfo.php?workbook=14_04.xlsx&amp;sheet=U0&amp;row=668&amp;col=7&amp;number=2.67&amp;sourceID=14","2.67")</f>
        <v>2.67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HYPERLINK("http://141.218.60.56/~jnz1568/getInfo.php?workbook=14_04.xlsx&amp;sheet=U0&amp;row=669&amp;col=6&amp;number=3.5&amp;sourceID=14","3.5")</f>
        <v>3.5</v>
      </c>
      <c r="G669" s="4" t="str">
        <f>HYPERLINK("http://141.218.60.56/~jnz1568/getInfo.php?workbook=14_04.xlsx&amp;sheet=U0&amp;row=669&amp;col=7&amp;number=2.67&amp;sourceID=14","2.67")</f>
        <v>2.67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HYPERLINK("http://141.218.60.56/~jnz1568/getInfo.php?workbook=14_04.xlsx&amp;sheet=U0&amp;row=670&amp;col=6&amp;number=3.6&amp;sourceID=14","3.6")</f>
        <v>3.6</v>
      </c>
      <c r="G670" s="4" t="str">
        <f>HYPERLINK("http://141.218.60.56/~jnz1568/getInfo.php?workbook=14_04.xlsx&amp;sheet=U0&amp;row=670&amp;col=7&amp;number=2.68&amp;sourceID=14","2.68")</f>
        <v>2.68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HYPERLINK("http://141.218.60.56/~jnz1568/getInfo.php?workbook=14_04.xlsx&amp;sheet=U0&amp;row=671&amp;col=6&amp;number=3.7&amp;sourceID=14","3.7")</f>
        <v>3.7</v>
      </c>
      <c r="G671" s="4" t="str">
        <f>HYPERLINK("http://141.218.60.56/~jnz1568/getInfo.php?workbook=14_04.xlsx&amp;sheet=U0&amp;row=671&amp;col=7&amp;number=2.68&amp;sourceID=14","2.68")</f>
        <v>2.68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HYPERLINK("http://141.218.60.56/~jnz1568/getInfo.php?workbook=14_04.xlsx&amp;sheet=U0&amp;row=672&amp;col=6&amp;number=3.8&amp;sourceID=14","3.8")</f>
        <v>3.8</v>
      </c>
      <c r="G672" s="4" t="str">
        <f>HYPERLINK("http://141.218.60.56/~jnz1568/getInfo.php?workbook=14_04.xlsx&amp;sheet=U0&amp;row=672&amp;col=7&amp;number=2.68&amp;sourceID=14","2.68")</f>
        <v>2.68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HYPERLINK("http://141.218.60.56/~jnz1568/getInfo.php?workbook=14_04.xlsx&amp;sheet=U0&amp;row=673&amp;col=6&amp;number=3.9&amp;sourceID=14","3.9")</f>
        <v>3.9</v>
      </c>
      <c r="G673" s="4" t="str">
        <f>HYPERLINK("http://141.218.60.56/~jnz1568/getInfo.php?workbook=14_04.xlsx&amp;sheet=U0&amp;row=673&amp;col=7&amp;number=2.68&amp;sourceID=14","2.68")</f>
        <v>2.68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HYPERLINK("http://141.218.60.56/~jnz1568/getInfo.php?workbook=14_04.xlsx&amp;sheet=U0&amp;row=674&amp;col=6&amp;number=4&amp;sourceID=14","4")</f>
        <v>4</v>
      </c>
      <c r="G674" s="4" t="str">
        <f>HYPERLINK("http://141.218.60.56/~jnz1568/getInfo.php?workbook=14_04.xlsx&amp;sheet=U0&amp;row=674&amp;col=7&amp;number=2.68&amp;sourceID=14","2.68")</f>
        <v>2.68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HYPERLINK("http://141.218.60.56/~jnz1568/getInfo.php?workbook=14_04.xlsx&amp;sheet=U0&amp;row=675&amp;col=6&amp;number=4.1&amp;sourceID=14","4.1")</f>
        <v>4.1</v>
      </c>
      <c r="G675" s="4" t="str">
        <f>HYPERLINK("http://141.218.60.56/~jnz1568/getInfo.php?workbook=14_04.xlsx&amp;sheet=U0&amp;row=675&amp;col=7&amp;number=2.68&amp;sourceID=14","2.68")</f>
        <v>2.68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HYPERLINK("http://141.218.60.56/~jnz1568/getInfo.php?workbook=14_04.xlsx&amp;sheet=U0&amp;row=676&amp;col=6&amp;number=4.2&amp;sourceID=14","4.2")</f>
        <v>4.2</v>
      </c>
      <c r="G676" s="4" t="str">
        <f>HYPERLINK("http://141.218.60.56/~jnz1568/getInfo.php?workbook=14_04.xlsx&amp;sheet=U0&amp;row=676&amp;col=7&amp;number=2.69&amp;sourceID=14","2.69")</f>
        <v>2.69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HYPERLINK("http://141.218.60.56/~jnz1568/getInfo.php?workbook=14_04.xlsx&amp;sheet=U0&amp;row=677&amp;col=6&amp;number=4.3&amp;sourceID=14","4.3")</f>
        <v>4.3</v>
      </c>
      <c r="G677" s="4" t="str">
        <f>HYPERLINK("http://141.218.60.56/~jnz1568/getInfo.php?workbook=14_04.xlsx&amp;sheet=U0&amp;row=677&amp;col=7&amp;number=2.69&amp;sourceID=14","2.69")</f>
        <v>2.69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HYPERLINK("http://141.218.60.56/~jnz1568/getInfo.php?workbook=14_04.xlsx&amp;sheet=U0&amp;row=678&amp;col=6&amp;number=4.4&amp;sourceID=14","4.4")</f>
        <v>4.4</v>
      </c>
      <c r="G678" s="4" t="str">
        <f>HYPERLINK("http://141.218.60.56/~jnz1568/getInfo.php?workbook=14_04.xlsx&amp;sheet=U0&amp;row=678&amp;col=7&amp;number=2.69&amp;sourceID=14","2.69")</f>
        <v>2.69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HYPERLINK("http://141.218.60.56/~jnz1568/getInfo.php?workbook=14_04.xlsx&amp;sheet=U0&amp;row=679&amp;col=6&amp;number=4.5&amp;sourceID=14","4.5")</f>
        <v>4.5</v>
      </c>
      <c r="G679" s="4" t="str">
        <f>HYPERLINK("http://141.218.60.56/~jnz1568/getInfo.php?workbook=14_04.xlsx&amp;sheet=U0&amp;row=679&amp;col=7&amp;number=2.7&amp;sourceID=14","2.7")</f>
        <v>2.7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HYPERLINK("http://141.218.60.56/~jnz1568/getInfo.php?workbook=14_04.xlsx&amp;sheet=U0&amp;row=680&amp;col=6&amp;number=4.6&amp;sourceID=14","4.6")</f>
        <v>4.6</v>
      </c>
      <c r="G680" s="4" t="str">
        <f>HYPERLINK("http://141.218.60.56/~jnz1568/getInfo.php?workbook=14_04.xlsx&amp;sheet=U0&amp;row=680&amp;col=7&amp;number=2.7&amp;sourceID=14","2.7")</f>
        <v>2.7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HYPERLINK("http://141.218.60.56/~jnz1568/getInfo.php?workbook=14_04.xlsx&amp;sheet=U0&amp;row=681&amp;col=6&amp;number=4.7&amp;sourceID=14","4.7")</f>
        <v>4.7</v>
      </c>
      <c r="G681" s="4" t="str">
        <f>HYPERLINK("http://141.218.60.56/~jnz1568/getInfo.php?workbook=14_04.xlsx&amp;sheet=U0&amp;row=681&amp;col=7&amp;number=2.71&amp;sourceID=14","2.71")</f>
        <v>2.71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HYPERLINK("http://141.218.60.56/~jnz1568/getInfo.php?workbook=14_04.xlsx&amp;sheet=U0&amp;row=682&amp;col=6&amp;number=4.8&amp;sourceID=14","4.8")</f>
        <v>4.8</v>
      </c>
      <c r="G682" s="4" t="str">
        <f>HYPERLINK("http://141.218.60.56/~jnz1568/getInfo.php?workbook=14_04.xlsx&amp;sheet=U0&amp;row=682&amp;col=7&amp;number=2.72&amp;sourceID=14","2.72")</f>
        <v>2.72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HYPERLINK("http://141.218.60.56/~jnz1568/getInfo.php?workbook=14_04.xlsx&amp;sheet=U0&amp;row=683&amp;col=6&amp;number=4.9&amp;sourceID=14","4.9")</f>
        <v>4.9</v>
      </c>
      <c r="G683" s="4" t="str">
        <f>HYPERLINK("http://141.218.60.56/~jnz1568/getInfo.php?workbook=14_04.xlsx&amp;sheet=U0&amp;row=683&amp;col=7&amp;number=2.73&amp;sourceID=14","2.73")</f>
        <v>2.73</v>
      </c>
    </row>
    <row r="684" spans="1:7">
      <c r="A684" s="3">
        <v>14</v>
      </c>
      <c r="B684" s="3">
        <v>4</v>
      </c>
      <c r="C684" s="3">
        <v>5</v>
      </c>
      <c r="D684" s="3">
        <v>10</v>
      </c>
      <c r="E684" s="3">
        <v>1</v>
      </c>
      <c r="F684" s="4" t="str">
        <f>HYPERLINK("http://141.218.60.56/~jnz1568/getInfo.php?workbook=14_04.xlsx&amp;sheet=U0&amp;row=684&amp;col=6&amp;number=3&amp;sourceID=14","3")</f>
        <v>3</v>
      </c>
      <c r="G684" s="4" t="str">
        <f>HYPERLINK("http://141.218.60.56/~jnz1568/getInfo.php?workbook=14_04.xlsx&amp;sheet=U0&amp;row=684&amp;col=7&amp;number=0.879&amp;sourceID=14","0.879")</f>
        <v>0.879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HYPERLINK("http://141.218.60.56/~jnz1568/getInfo.php?workbook=14_04.xlsx&amp;sheet=U0&amp;row=685&amp;col=6&amp;number=3.1&amp;sourceID=14","3.1")</f>
        <v>3.1</v>
      </c>
      <c r="G685" s="4" t="str">
        <f>HYPERLINK("http://141.218.60.56/~jnz1568/getInfo.php?workbook=14_04.xlsx&amp;sheet=U0&amp;row=685&amp;col=7&amp;number=0.879&amp;sourceID=14","0.879")</f>
        <v>0.879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HYPERLINK("http://141.218.60.56/~jnz1568/getInfo.php?workbook=14_04.xlsx&amp;sheet=U0&amp;row=686&amp;col=6&amp;number=3.2&amp;sourceID=14","3.2")</f>
        <v>3.2</v>
      </c>
      <c r="G686" s="4" t="str">
        <f>HYPERLINK("http://141.218.60.56/~jnz1568/getInfo.php?workbook=14_04.xlsx&amp;sheet=U0&amp;row=686&amp;col=7&amp;number=0.879&amp;sourceID=14","0.879")</f>
        <v>0.879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HYPERLINK("http://141.218.60.56/~jnz1568/getInfo.php?workbook=14_04.xlsx&amp;sheet=U0&amp;row=687&amp;col=6&amp;number=3.3&amp;sourceID=14","3.3")</f>
        <v>3.3</v>
      </c>
      <c r="G687" s="4" t="str">
        <f>HYPERLINK("http://141.218.60.56/~jnz1568/getInfo.php?workbook=14_04.xlsx&amp;sheet=U0&amp;row=687&amp;col=7&amp;number=0.879&amp;sourceID=14","0.879")</f>
        <v>0.879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HYPERLINK("http://141.218.60.56/~jnz1568/getInfo.php?workbook=14_04.xlsx&amp;sheet=U0&amp;row=688&amp;col=6&amp;number=3.4&amp;sourceID=14","3.4")</f>
        <v>3.4</v>
      </c>
      <c r="G688" s="4" t="str">
        <f>HYPERLINK("http://141.218.60.56/~jnz1568/getInfo.php?workbook=14_04.xlsx&amp;sheet=U0&amp;row=688&amp;col=7&amp;number=0.879&amp;sourceID=14","0.879")</f>
        <v>0.879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HYPERLINK("http://141.218.60.56/~jnz1568/getInfo.php?workbook=14_04.xlsx&amp;sheet=U0&amp;row=689&amp;col=6&amp;number=3.5&amp;sourceID=14","3.5")</f>
        <v>3.5</v>
      </c>
      <c r="G689" s="4" t="str">
        <f>HYPERLINK("http://141.218.60.56/~jnz1568/getInfo.php?workbook=14_04.xlsx&amp;sheet=U0&amp;row=689&amp;col=7&amp;number=0.879&amp;sourceID=14","0.879")</f>
        <v>0.879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HYPERLINK("http://141.218.60.56/~jnz1568/getInfo.php?workbook=14_04.xlsx&amp;sheet=U0&amp;row=690&amp;col=6&amp;number=3.6&amp;sourceID=14","3.6")</f>
        <v>3.6</v>
      </c>
      <c r="G690" s="4" t="str">
        <f>HYPERLINK("http://141.218.60.56/~jnz1568/getInfo.php?workbook=14_04.xlsx&amp;sheet=U0&amp;row=690&amp;col=7&amp;number=0.88&amp;sourceID=14","0.88")</f>
        <v>0.88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HYPERLINK("http://141.218.60.56/~jnz1568/getInfo.php?workbook=14_04.xlsx&amp;sheet=U0&amp;row=691&amp;col=6&amp;number=3.7&amp;sourceID=14","3.7")</f>
        <v>3.7</v>
      </c>
      <c r="G691" s="4" t="str">
        <f>HYPERLINK("http://141.218.60.56/~jnz1568/getInfo.php?workbook=14_04.xlsx&amp;sheet=U0&amp;row=691&amp;col=7&amp;number=0.88&amp;sourceID=14","0.88")</f>
        <v>0.88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HYPERLINK("http://141.218.60.56/~jnz1568/getInfo.php?workbook=14_04.xlsx&amp;sheet=U0&amp;row=692&amp;col=6&amp;number=3.8&amp;sourceID=14","3.8")</f>
        <v>3.8</v>
      </c>
      <c r="G692" s="4" t="str">
        <f>HYPERLINK("http://141.218.60.56/~jnz1568/getInfo.php?workbook=14_04.xlsx&amp;sheet=U0&amp;row=692&amp;col=7&amp;number=0.88&amp;sourceID=14","0.88")</f>
        <v>0.88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HYPERLINK("http://141.218.60.56/~jnz1568/getInfo.php?workbook=14_04.xlsx&amp;sheet=U0&amp;row=693&amp;col=6&amp;number=3.9&amp;sourceID=14","3.9")</f>
        <v>3.9</v>
      </c>
      <c r="G693" s="4" t="str">
        <f>HYPERLINK("http://141.218.60.56/~jnz1568/getInfo.php?workbook=14_04.xlsx&amp;sheet=U0&amp;row=693&amp;col=7&amp;number=0.88&amp;sourceID=14","0.88")</f>
        <v>0.88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HYPERLINK("http://141.218.60.56/~jnz1568/getInfo.php?workbook=14_04.xlsx&amp;sheet=U0&amp;row=694&amp;col=6&amp;number=4&amp;sourceID=14","4")</f>
        <v>4</v>
      </c>
      <c r="G694" s="4" t="str">
        <f>HYPERLINK("http://141.218.60.56/~jnz1568/getInfo.php?workbook=14_04.xlsx&amp;sheet=U0&amp;row=694&amp;col=7&amp;number=0.881&amp;sourceID=14","0.881")</f>
        <v>0.881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HYPERLINK("http://141.218.60.56/~jnz1568/getInfo.php?workbook=14_04.xlsx&amp;sheet=U0&amp;row=695&amp;col=6&amp;number=4.1&amp;sourceID=14","4.1")</f>
        <v>4.1</v>
      </c>
      <c r="G695" s="4" t="str">
        <f>HYPERLINK("http://141.218.60.56/~jnz1568/getInfo.php?workbook=14_04.xlsx&amp;sheet=U0&amp;row=695&amp;col=7&amp;number=0.881&amp;sourceID=14","0.881")</f>
        <v>0.881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HYPERLINK("http://141.218.60.56/~jnz1568/getInfo.php?workbook=14_04.xlsx&amp;sheet=U0&amp;row=696&amp;col=6&amp;number=4.2&amp;sourceID=14","4.2")</f>
        <v>4.2</v>
      </c>
      <c r="G696" s="4" t="str">
        <f>HYPERLINK("http://141.218.60.56/~jnz1568/getInfo.php?workbook=14_04.xlsx&amp;sheet=U0&amp;row=696&amp;col=7&amp;number=0.882&amp;sourceID=14","0.882")</f>
        <v>0.882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HYPERLINK("http://141.218.60.56/~jnz1568/getInfo.php?workbook=14_04.xlsx&amp;sheet=U0&amp;row=697&amp;col=6&amp;number=4.3&amp;sourceID=14","4.3")</f>
        <v>4.3</v>
      </c>
      <c r="G697" s="4" t="str">
        <f>HYPERLINK("http://141.218.60.56/~jnz1568/getInfo.php?workbook=14_04.xlsx&amp;sheet=U0&amp;row=697&amp;col=7&amp;number=0.883&amp;sourceID=14","0.883")</f>
        <v>0.883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HYPERLINK("http://141.218.60.56/~jnz1568/getInfo.php?workbook=14_04.xlsx&amp;sheet=U0&amp;row=698&amp;col=6&amp;number=4.4&amp;sourceID=14","4.4")</f>
        <v>4.4</v>
      </c>
      <c r="G698" s="4" t="str">
        <f>HYPERLINK("http://141.218.60.56/~jnz1568/getInfo.php?workbook=14_04.xlsx&amp;sheet=U0&amp;row=698&amp;col=7&amp;number=0.884&amp;sourceID=14","0.884")</f>
        <v>0.884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HYPERLINK("http://141.218.60.56/~jnz1568/getInfo.php?workbook=14_04.xlsx&amp;sheet=U0&amp;row=699&amp;col=6&amp;number=4.5&amp;sourceID=14","4.5")</f>
        <v>4.5</v>
      </c>
      <c r="G699" s="4" t="str">
        <f>HYPERLINK("http://141.218.60.56/~jnz1568/getInfo.php?workbook=14_04.xlsx&amp;sheet=U0&amp;row=699&amp;col=7&amp;number=0.885&amp;sourceID=14","0.885")</f>
        <v>0.885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HYPERLINK("http://141.218.60.56/~jnz1568/getInfo.php?workbook=14_04.xlsx&amp;sheet=U0&amp;row=700&amp;col=6&amp;number=4.6&amp;sourceID=14","4.6")</f>
        <v>4.6</v>
      </c>
      <c r="G700" s="4" t="str">
        <f>HYPERLINK("http://141.218.60.56/~jnz1568/getInfo.php?workbook=14_04.xlsx&amp;sheet=U0&amp;row=700&amp;col=7&amp;number=0.887&amp;sourceID=14","0.887")</f>
        <v>0.887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HYPERLINK("http://141.218.60.56/~jnz1568/getInfo.php?workbook=14_04.xlsx&amp;sheet=U0&amp;row=701&amp;col=6&amp;number=4.7&amp;sourceID=14","4.7")</f>
        <v>4.7</v>
      </c>
      <c r="G701" s="4" t="str">
        <f>HYPERLINK("http://141.218.60.56/~jnz1568/getInfo.php?workbook=14_04.xlsx&amp;sheet=U0&amp;row=701&amp;col=7&amp;number=0.888&amp;sourceID=14","0.888")</f>
        <v>0.888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HYPERLINK("http://141.218.60.56/~jnz1568/getInfo.php?workbook=14_04.xlsx&amp;sheet=U0&amp;row=702&amp;col=6&amp;number=4.8&amp;sourceID=14","4.8")</f>
        <v>4.8</v>
      </c>
      <c r="G702" s="4" t="str">
        <f>HYPERLINK("http://141.218.60.56/~jnz1568/getInfo.php?workbook=14_04.xlsx&amp;sheet=U0&amp;row=702&amp;col=7&amp;number=0.891&amp;sourceID=14","0.891")</f>
        <v>0.891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HYPERLINK("http://141.218.60.56/~jnz1568/getInfo.php?workbook=14_04.xlsx&amp;sheet=U0&amp;row=703&amp;col=6&amp;number=4.9&amp;sourceID=14","4.9")</f>
        <v>4.9</v>
      </c>
      <c r="G703" s="4" t="str">
        <f>HYPERLINK("http://141.218.60.56/~jnz1568/getInfo.php?workbook=14_04.xlsx&amp;sheet=U0&amp;row=703&amp;col=7&amp;number=0.894&amp;sourceID=14","0.894")</f>
        <v>0.894</v>
      </c>
    </row>
    <row r="704" spans="1:7">
      <c r="A704" s="3">
        <v>14</v>
      </c>
      <c r="B704" s="3">
        <v>4</v>
      </c>
      <c r="C704" s="3">
        <v>6</v>
      </c>
      <c r="D704" s="3">
        <v>7</v>
      </c>
      <c r="E704" s="3">
        <v>1</v>
      </c>
      <c r="F704" s="4" t="str">
        <f>HYPERLINK("http://141.218.60.56/~jnz1568/getInfo.php?workbook=14_04.xlsx&amp;sheet=U0&amp;row=704&amp;col=6&amp;number=3&amp;sourceID=14","3")</f>
        <v>3</v>
      </c>
      <c r="G704" s="4" t="str">
        <f>HYPERLINK("http://141.218.60.56/~jnz1568/getInfo.php?workbook=14_04.xlsx&amp;sheet=U0&amp;row=704&amp;col=7&amp;number=0.0744&amp;sourceID=14","0.0744")</f>
        <v>0.0744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HYPERLINK("http://141.218.60.56/~jnz1568/getInfo.php?workbook=14_04.xlsx&amp;sheet=U0&amp;row=705&amp;col=6&amp;number=3.1&amp;sourceID=14","3.1")</f>
        <v>3.1</v>
      </c>
      <c r="G705" s="4" t="str">
        <f>HYPERLINK("http://141.218.60.56/~jnz1568/getInfo.php?workbook=14_04.xlsx&amp;sheet=U0&amp;row=705&amp;col=7&amp;number=0.0744&amp;sourceID=14","0.0744")</f>
        <v>0.0744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HYPERLINK("http://141.218.60.56/~jnz1568/getInfo.php?workbook=14_04.xlsx&amp;sheet=U0&amp;row=706&amp;col=6&amp;number=3.2&amp;sourceID=14","3.2")</f>
        <v>3.2</v>
      </c>
      <c r="G706" s="4" t="str">
        <f>HYPERLINK("http://141.218.60.56/~jnz1568/getInfo.php?workbook=14_04.xlsx&amp;sheet=U0&amp;row=706&amp;col=7&amp;number=0.0744&amp;sourceID=14","0.0744")</f>
        <v>0.0744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HYPERLINK("http://141.218.60.56/~jnz1568/getInfo.php?workbook=14_04.xlsx&amp;sheet=U0&amp;row=707&amp;col=6&amp;number=3.3&amp;sourceID=14","3.3")</f>
        <v>3.3</v>
      </c>
      <c r="G707" s="4" t="str">
        <f>HYPERLINK("http://141.218.60.56/~jnz1568/getInfo.php?workbook=14_04.xlsx&amp;sheet=U0&amp;row=707&amp;col=7&amp;number=0.0744&amp;sourceID=14","0.0744")</f>
        <v>0.0744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HYPERLINK("http://141.218.60.56/~jnz1568/getInfo.php?workbook=14_04.xlsx&amp;sheet=U0&amp;row=708&amp;col=6&amp;number=3.4&amp;sourceID=14","3.4")</f>
        <v>3.4</v>
      </c>
      <c r="G708" s="4" t="str">
        <f>HYPERLINK("http://141.218.60.56/~jnz1568/getInfo.php?workbook=14_04.xlsx&amp;sheet=U0&amp;row=708&amp;col=7&amp;number=0.0744&amp;sourceID=14","0.0744")</f>
        <v>0.0744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HYPERLINK("http://141.218.60.56/~jnz1568/getInfo.php?workbook=14_04.xlsx&amp;sheet=U0&amp;row=709&amp;col=6&amp;number=3.5&amp;sourceID=14","3.5")</f>
        <v>3.5</v>
      </c>
      <c r="G709" s="4" t="str">
        <f>HYPERLINK("http://141.218.60.56/~jnz1568/getInfo.php?workbook=14_04.xlsx&amp;sheet=U0&amp;row=709&amp;col=7&amp;number=0.0744&amp;sourceID=14","0.0744")</f>
        <v>0.0744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HYPERLINK("http://141.218.60.56/~jnz1568/getInfo.php?workbook=14_04.xlsx&amp;sheet=U0&amp;row=710&amp;col=6&amp;number=3.6&amp;sourceID=14","3.6")</f>
        <v>3.6</v>
      </c>
      <c r="G710" s="4" t="str">
        <f>HYPERLINK("http://141.218.60.56/~jnz1568/getInfo.php?workbook=14_04.xlsx&amp;sheet=U0&amp;row=710&amp;col=7&amp;number=0.0743&amp;sourceID=14","0.0743")</f>
        <v>0.0743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HYPERLINK("http://141.218.60.56/~jnz1568/getInfo.php?workbook=14_04.xlsx&amp;sheet=U0&amp;row=711&amp;col=6&amp;number=3.7&amp;sourceID=14","3.7")</f>
        <v>3.7</v>
      </c>
      <c r="G711" s="4" t="str">
        <f>HYPERLINK("http://141.218.60.56/~jnz1568/getInfo.php?workbook=14_04.xlsx&amp;sheet=U0&amp;row=711&amp;col=7&amp;number=0.0743&amp;sourceID=14","0.0743")</f>
        <v>0.0743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HYPERLINK("http://141.218.60.56/~jnz1568/getInfo.php?workbook=14_04.xlsx&amp;sheet=U0&amp;row=712&amp;col=6&amp;number=3.8&amp;sourceID=14","3.8")</f>
        <v>3.8</v>
      </c>
      <c r="G712" s="4" t="str">
        <f>HYPERLINK("http://141.218.60.56/~jnz1568/getInfo.php?workbook=14_04.xlsx&amp;sheet=U0&amp;row=712&amp;col=7&amp;number=0.0743&amp;sourceID=14","0.0743")</f>
        <v>0.0743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HYPERLINK("http://141.218.60.56/~jnz1568/getInfo.php?workbook=14_04.xlsx&amp;sheet=U0&amp;row=713&amp;col=6&amp;number=3.9&amp;sourceID=14","3.9")</f>
        <v>3.9</v>
      </c>
      <c r="G713" s="4" t="str">
        <f>HYPERLINK("http://141.218.60.56/~jnz1568/getInfo.php?workbook=14_04.xlsx&amp;sheet=U0&amp;row=713&amp;col=7&amp;number=0.0742&amp;sourceID=14","0.0742")</f>
        <v>0.0742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HYPERLINK("http://141.218.60.56/~jnz1568/getInfo.php?workbook=14_04.xlsx&amp;sheet=U0&amp;row=714&amp;col=6&amp;number=4&amp;sourceID=14","4")</f>
        <v>4</v>
      </c>
      <c r="G714" s="4" t="str">
        <f>HYPERLINK("http://141.218.60.56/~jnz1568/getInfo.php?workbook=14_04.xlsx&amp;sheet=U0&amp;row=714&amp;col=7&amp;number=0.0742&amp;sourceID=14","0.0742")</f>
        <v>0.0742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HYPERLINK("http://141.218.60.56/~jnz1568/getInfo.php?workbook=14_04.xlsx&amp;sheet=U0&amp;row=715&amp;col=6&amp;number=4.1&amp;sourceID=14","4.1")</f>
        <v>4.1</v>
      </c>
      <c r="G715" s="4" t="str">
        <f>HYPERLINK("http://141.218.60.56/~jnz1568/getInfo.php?workbook=14_04.xlsx&amp;sheet=U0&amp;row=715&amp;col=7&amp;number=0.0741&amp;sourceID=14","0.0741")</f>
        <v>0.0741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HYPERLINK("http://141.218.60.56/~jnz1568/getInfo.php?workbook=14_04.xlsx&amp;sheet=U0&amp;row=716&amp;col=6&amp;number=4.2&amp;sourceID=14","4.2")</f>
        <v>4.2</v>
      </c>
      <c r="G716" s="4" t="str">
        <f>HYPERLINK("http://141.218.60.56/~jnz1568/getInfo.php?workbook=14_04.xlsx&amp;sheet=U0&amp;row=716&amp;col=7&amp;number=0.074&amp;sourceID=14","0.074")</f>
        <v>0.074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HYPERLINK("http://141.218.60.56/~jnz1568/getInfo.php?workbook=14_04.xlsx&amp;sheet=U0&amp;row=717&amp;col=6&amp;number=4.3&amp;sourceID=14","4.3")</f>
        <v>4.3</v>
      </c>
      <c r="G717" s="4" t="str">
        <f>HYPERLINK("http://141.218.60.56/~jnz1568/getInfo.php?workbook=14_04.xlsx&amp;sheet=U0&amp;row=717&amp;col=7&amp;number=0.0739&amp;sourceID=14","0.0739")</f>
        <v>0.0739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HYPERLINK("http://141.218.60.56/~jnz1568/getInfo.php?workbook=14_04.xlsx&amp;sheet=U0&amp;row=718&amp;col=6&amp;number=4.4&amp;sourceID=14","4.4")</f>
        <v>4.4</v>
      </c>
      <c r="G718" s="4" t="str">
        <f>HYPERLINK("http://141.218.60.56/~jnz1568/getInfo.php?workbook=14_04.xlsx&amp;sheet=U0&amp;row=718&amp;col=7&amp;number=0.0738&amp;sourceID=14","0.0738")</f>
        <v>0.0738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HYPERLINK("http://141.218.60.56/~jnz1568/getInfo.php?workbook=14_04.xlsx&amp;sheet=U0&amp;row=719&amp;col=6&amp;number=4.5&amp;sourceID=14","4.5")</f>
        <v>4.5</v>
      </c>
      <c r="G719" s="4" t="str">
        <f>HYPERLINK("http://141.218.60.56/~jnz1568/getInfo.php?workbook=14_04.xlsx&amp;sheet=U0&amp;row=719&amp;col=7&amp;number=0.0736&amp;sourceID=14","0.0736")</f>
        <v>0.0736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HYPERLINK("http://141.218.60.56/~jnz1568/getInfo.php?workbook=14_04.xlsx&amp;sheet=U0&amp;row=720&amp;col=6&amp;number=4.6&amp;sourceID=14","4.6")</f>
        <v>4.6</v>
      </c>
      <c r="G720" s="4" t="str">
        <f>HYPERLINK("http://141.218.60.56/~jnz1568/getInfo.php?workbook=14_04.xlsx&amp;sheet=U0&amp;row=720&amp;col=7&amp;number=0.0734&amp;sourceID=14","0.0734")</f>
        <v>0.0734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HYPERLINK("http://141.218.60.56/~jnz1568/getInfo.php?workbook=14_04.xlsx&amp;sheet=U0&amp;row=721&amp;col=6&amp;number=4.7&amp;sourceID=14","4.7")</f>
        <v>4.7</v>
      </c>
      <c r="G721" s="4" t="str">
        <f>HYPERLINK("http://141.218.60.56/~jnz1568/getInfo.php?workbook=14_04.xlsx&amp;sheet=U0&amp;row=721&amp;col=7&amp;number=0.0732&amp;sourceID=14","0.0732")</f>
        <v>0.0732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HYPERLINK("http://141.218.60.56/~jnz1568/getInfo.php?workbook=14_04.xlsx&amp;sheet=U0&amp;row=722&amp;col=6&amp;number=4.8&amp;sourceID=14","4.8")</f>
        <v>4.8</v>
      </c>
      <c r="G722" s="4" t="str">
        <f>HYPERLINK("http://141.218.60.56/~jnz1568/getInfo.php?workbook=14_04.xlsx&amp;sheet=U0&amp;row=722&amp;col=7&amp;number=0.0728&amp;sourceID=14","0.0728")</f>
        <v>0.0728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HYPERLINK("http://141.218.60.56/~jnz1568/getInfo.php?workbook=14_04.xlsx&amp;sheet=U0&amp;row=723&amp;col=6&amp;number=4.9&amp;sourceID=14","4.9")</f>
        <v>4.9</v>
      </c>
      <c r="G723" s="4" t="str">
        <f>HYPERLINK("http://141.218.60.56/~jnz1568/getInfo.php?workbook=14_04.xlsx&amp;sheet=U0&amp;row=723&amp;col=7&amp;number=0.0725&amp;sourceID=14","0.0725")</f>
        <v>0.0725</v>
      </c>
    </row>
    <row r="724" spans="1:7">
      <c r="A724" s="3">
        <v>14</v>
      </c>
      <c r="B724" s="3">
        <v>4</v>
      </c>
      <c r="C724" s="3">
        <v>6</v>
      </c>
      <c r="D724" s="3">
        <v>8</v>
      </c>
      <c r="E724" s="3">
        <v>1</v>
      </c>
      <c r="F724" s="4" t="str">
        <f>HYPERLINK("http://141.218.60.56/~jnz1568/getInfo.php?workbook=14_04.xlsx&amp;sheet=U0&amp;row=724&amp;col=6&amp;number=3&amp;sourceID=14","3")</f>
        <v>3</v>
      </c>
      <c r="G724" s="4" t="str">
        <f>HYPERLINK("http://141.218.60.56/~jnz1568/getInfo.php?workbook=14_04.xlsx&amp;sheet=U0&amp;row=724&amp;col=7&amp;number=0.0442&amp;sourceID=14","0.0442")</f>
        <v>0.0442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HYPERLINK("http://141.218.60.56/~jnz1568/getInfo.php?workbook=14_04.xlsx&amp;sheet=U0&amp;row=725&amp;col=6&amp;number=3.1&amp;sourceID=14","3.1")</f>
        <v>3.1</v>
      </c>
      <c r="G725" s="4" t="str">
        <f>HYPERLINK("http://141.218.60.56/~jnz1568/getInfo.php?workbook=14_04.xlsx&amp;sheet=U0&amp;row=725&amp;col=7&amp;number=0.0442&amp;sourceID=14","0.0442")</f>
        <v>0.0442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HYPERLINK("http://141.218.60.56/~jnz1568/getInfo.php?workbook=14_04.xlsx&amp;sheet=U0&amp;row=726&amp;col=6&amp;number=3.2&amp;sourceID=14","3.2")</f>
        <v>3.2</v>
      </c>
      <c r="G726" s="4" t="str">
        <f>HYPERLINK("http://141.218.60.56/~jnz1568/getInfo.php?workbook=14_04.xlsx&amp;sheet=U0&amp;row=726&amp;col=7&amp;number=0.0442&amp;sourceID=14","0.0442")</f>
        <v>0.0442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HYPERLINK("http://141.218.60.56/~jnz1568/getInfo.php?workbook=14_04.xlsx&amp;sheet=U0&amp;row=727&amp;col=6&amp;number=3.3&amp;sourceID=14","3.3")</f>
        <v>3.3</v>
      </c>
      <c r="G727" s="4" t="str">
        <f>HYPERLINK("http://141.218.60.56/~jnz1568/getInfo.php?workbook=14_04.xlsx&amp;sheet=U0&amp;row=727&amp;col=7&amp;number=0.0442&amp;sourceID=14","0.0442")</f>
        <v>0.0442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HYPERLINK("http://141.218.60.56/~jnz1568/getInfo.php?workbook=14_04.xlsx&amp;sheet=U0&amp;row=728&amp;col=6&amp;number=3.4&amp;sourceID=14","3.4")</f>
        <v>3.4</v>
      </c>
      <c r="G728" s="4" t="str">
        <f>HYPERLINK("http://141.218.60.56/~jnz1568/getInfo.php?workbook=14_04.xlsx&amp;sheet=U0&amp;row=728&amp;col=7&amp;number=0.0442&amp;sourceID=14","0.0442")</f>
        <v>0.0442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HYPERLINK("http://141.218.60.56/~jnz1568/getInfo.php?workbook=14_04.xlsx&amp;sheet=U0&amp;row=729&amp;col=6&amp;number=3.5&amp;sourceID=14","3.5")</f>
        <v>3.5</v>
      </c>
      <c r="G729" s="4" t="str">
        <f>HYPERLINK("http://141.218.60.56/~jnz1568/getInfo.php?workbook=14_04.xlsx&amp;sheet=U0&amp;row=729&amp;col=7&amp;number=0.0442&amp;sourceID=14","0.0442")</f>
        <v>0.0442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HYPERLINK("http://141.218.60.56/~jnz1568/getInfo.php?workbook=14_04.xlsx&amp;sheet=U0&amp;row=730&amp;col=6&amp;number=3.6&amp;sourceID=14","3.6")</f>
        <v>3.6</v>
      </c>
      <c r="G730" s="4" t="str">
        <f>HYPERLINK("http://141.218.60.56/~jnz1568/getInfo.php?workbook=14_04.xlsx&amp;sheet=U0&amp;row=730&amp;col=7&amp;number=0.0442&amp;sourceID=14","0.0442")</f>
        <v>0.0442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HYPERLINK("http://141.218.60.56/~jnz1568/getInfo.php?workbook=14_04.xlsx&amp;sheet=U0&amp;row=731&amp;col=6&amp;number=3.7&amp;sourceID=14","3.7")</f>
        <v>3.7</v>
      </c>
      <c r="G731" s="4" t="str">
        <f>HYPERLINK("http://141.218.60.56/~jnz1568/getInfo.php?workbook=14_04.xlsx&amp;sheet=U0&amp;row=731&amp;col=7&amp;number=0.0442&amp;sourceID=14","0.0442")</f>
        <v>0.0442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HYPERLINK("http://141.218.60.56/~jnz1568/getInfo.php?workbook=14_04.xlsx&amp;sheet=U0&amp;row=732&amp;col=6&amp;number=3.8&amp;sourceID=14","3.8")</f>
        <v>3.8</v>
      </c>
      <c r="G732" s="4" t="str">
        <f>HYPERLINK("http://141.218.60.56/~jnz1568/getInfo.php?workbook=14_04.xlsx&amp;sheet=U0&amp;row=732&amp;col=7&amp;number=0.0442&amp;sourceID=14","0.0442")</f>
        <v>0.0442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HYPERLINK("http://141.218.60.56/~jnz1568/getInfo.php?workbook=14_04.xlsx&amp;sheet=U0&amp;row=733&amp;col=6&amp;number=3.9&amp;sourceID=14","3.9")</f>
        <v>3.9</v>
      </c>
      <c r="G733" s="4" t="str">
        <f>HYPERLINK("http://141.218.60.56/~jnz1568/getInfo.php?workbook=14_04.xlsx&amp;sheet=U0&amp;row=733&amp;col=7&amp;number=0.0442&amp;sourceID=14","0.0442")</f>
        <v>0.0442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HYPERLINK("http://141.218.60.56/~jnz1568/getInfo.php?workbook=14_04.xlsx&amp;sheet=U0&amp;row=734&amp;col=6&amp;number=4&amp;sourceID=14","4")</f>
        <v>4</v>
      </c>
      <c r="G734" s="4" t="str">
        <f>HYPERLINK("http://141.218.60.56/~jnz1568/getInfo.php?workbook=14_04.xlsx&amp;sheet=U0&amp;row=734&amp;col=7&amp;number=0.0442&amp;sourceID=14","0.0442")</f>
        <v>0.0442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HYPERLINK("http://141.218.60.56/~jnz1568/getInfo.php?workbook=14_04.xlsx&amp;sheet=U0&amp;row=735&amp;col=6&amp;number=4.1&amp;sourceID=14","4.1")</f>
        <v>4.1</v>
      </c>
      <c r="G735" s="4" t="str">
        <f>HYPERLINK("http://141.218.60.56/~jnz1568/getInfo.php?workbook=14_04.xlsx&amp;sheet=U0&amp;row=735&amp;col=7&amp;number=0.0441&amp;sourceID=14","0.0441")</f>
        <v>0.0441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HYPERLINK("http://141.218.60.56/~jnz1568/getInfo.php?workbook=14_04.xlsx&amp;sheet=U0&amp;row=736&amp;col=6&amp;number=4.2&amp;sourceID=14","4.2")</f>
        <v>4.2</v>
      </c>
      <c r="G736" s="4" t="str">
        <f>HYPERLINK("http://141.218.60.56/~jnz1568/getInfo.php?workbook=14_04.xlsx&amp;sheet=U0&amp;row=736&amp;col=7&amp;number=0.0441&amp;sourceID=14","0.0441")</f>
        <v>0.0441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HYPERLINK("http://141.218.60.56/~jnz1568/getInfo.php?workbook=14_04.xlsx&amp;sheet=U0&amp;row=737&amp;col=6&amp;number=4.3&amp;sourceID=14","4.3")</f>
        <v>4.3</v>
      </c>
      <c r="G737" s="4" t="str">
        <f>HYPERLINK("http://141.218.60.56/~jnz1568/getInfo.php?workbook=14_04.xlsx&amp;sheet=U0&amp;row=737&amp;col=7&amp;number=0.0441&amp;sourceID=14","0.0441")</f>
        <v>0.0441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HYPERLINK("http://141.218.60.56/~jnz1568/getInfo.php?workbook=14_04.xlsx&amp;sheet=U0&amp;row=738&amp;col=6&amp;number=4.4&amp;sourceID=14","4.4")</f>
        <v>4.4</v>
      </c>
      <c r="G738" s="4" t="str">
        <f>HYPERLINK("http://141.218.60.56/~jnz1568/getInfo.php?workbook=14_04.xlsx&amp;sheet=U0&amp;row=738&amp;col=7&amp;number=0.044&amp;sourceID=14","0.044")</f>
        <v>0.044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HYPERLINK("http://141.218.60.56/~jnz1568/getInfo.php?workbook=14_04.xlsx&amp;sheet=U0&amp;row=739&amp;col=6&amp;number=4.5&amp;sourceID=14","4.5")</f>
        <v>4.5</v>
      </c>
      <c r="G739" s="4" t="str">
        <f>HYPERLINK("http://141.218.60.56/~jnz1568/getInfo.php?workbook=14_04.xlsx&amp;sheet=U0&amp;row=739&amp;col=7&amp;number=0.044&amp;sourceID=14","0.044")</f>
        <v>0.044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HYPERLINK("http://141.218.60.56/~jnz1568/getInfo.php?workbook=14_04.xlsx&amp;sheet=U0&amp;row=740&amp;col=6&amp;number=4.6&amp;sourceID=14","4.6")</f>
        <v>4.6</v>
      </c>
      <c r="G740" s="4" t="str">
        <f>HYPERLINK("http://141.218.60.56/~jnz1568/getInfo.php?workbook=14_04.xlsx&amp;sheet=U0&amp;row=740&amp;col=7&amp;number=0.0439&amp;sourceID=14","0.0439")</f>
        <v>0.0439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HYPERLINK("http://141.218.60.56/~jnz1568/getInfo.php?workbook=14_04.xlsx&amp;sheet=U0&amp;row=741&amp;col=6&amp;number=4.7&amp;sourceID=14","4.7")</f>
        <v>4.7</v>
      </c>
      <c r="G741" s="4" t="str">
        <f>HYPERLINK("http://141.218.60.56/~jnz1568/getInfo.php?workbook=14_04.xlsx&amp;sheet=U0&amp;row=741&amp;col=7&amp;number=0.0438&amp;sourceID=14","0.0438")</f>
        <v>0.0438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HYPERLINK("http://141.218.60.56/~jnz1568/getInfo.php?workbook=14_04.xlsx&amp;sheet=U0&amp;row=742&amp;col=6&amp;number=4.8&amp;sourceID=14","4.8")</f>
        <v>4.8</v>
      </c>
      <c r="G742" s="4" t="str">
        <f>HYPERLINK("http://141.218.60.56/~jnz1568/getInfo.php?workbook=14_04.xlsx&amp;sheet=U0&amp;row=742&amp;col=7&amp;number=0.0437&amp;sourceID=14","0.0437")</f>
        <v>0.0437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HYPERLINK("http://141.218.60.56/~jnz1568/getInfo.php?workbook=14_04.xlsx&amp;sheet=U0&amp;row=743&amp;col=6&amp;number=4.9&amp;sourceID=14","4.9")</f>
        <v>4.9</v>
      </c>
      <c r="G743" s="4" t="str">
        <f>HYPERLINK("http://141.218.60.56/~jnz1568/getInfo.php?workbook=14_04.xlsx&amp;sheet=U0&amp;row=743&amp;col=7&amp;number=0.0436&amp;sourceID=14","0.0436")</f>
        <v>0.0436</v>
      </c>
    </row>
    <row r="744" spans="1:7">
      <c r="A744" s="3">
        <v>14</v>
      </c>
      <c r="B744" s="3">
        <v>4</v>
      </c>
      <c r="C744" s="3">
        <v>6</v>
      </c>
      <c r="D744" s="3">
        <v>9</v>
      </c>
      <c r="E744" s="3">
        <v>1</v>
      </c>
      <c r="F744" s="4" t="str">
        <f>HYPERLINK("http://141.218.60.56/~jnz1568/getInfo.php?workbook=14_04.xlsx&amp;sheet=U0&amp;row=744&amp;col=6&amp;number=3&amp;sourceID=14","3")</f>
        <v>3</v>
      </c>
      <c r="G744" s="4" t="str">
        <f>HYPERLINK("http://141.218.60.56/~jnz1568/getInfo.php?workbook=14_04.xlsx&amp;sheet=U0&amp;row=744&amp;col=7&amp;number=0.0413&amp;sourceID=14","0.0413")</f>
        <v>0.0413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HYPERLINK("http://141.218.60.56/~jnz1568/getInfo.php?workbook=14_04.xlsx&amp;sheet=U0&amp;row=745&amp;col=6&amp;number=3.1&amp;sourceID=14","3.1")</f>
        <v>3.1</v>
      </c>
      <c r="G745" s="4" t="str">
        <f>HYPERLINK("http://141.218.60.56/~jnz1568/getInfo.php?workbook=14_04.xlsx&amp;sheet=U0&amp;row=745&amp;col=7&amp;number=0.0413&amp;sourceID=14","0.0413")</f>
        <v>0.0413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HYPERLINK("http://141.218.60.56/~jnz1568/getInfo.php?workbook=14_04.xlsx&amp;sheet=U0&amp;row=746&amp;col=6&amp;number=3.2&amp;sourceID=14","3.2")</f>
        <v>3.2</v>
      </c>
      <c r="G746" s="4" t="str">
        <f>HYPERLINK("http://141.218.60.56/~jnz1568/getInfo.php?workbook=14_04.xlsx&amp;sheet=U0&amp;row=746&amp;col=7&amp;number=0.0413&amp;sourceID=14","0.0413")</f>
        <v>0.0413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HYPERLINK("http://141.218.60.56/~jnz1568/getInfo.php?workbook=14_04.xlsx&amp;sheet=U0&amp;row=747&amp;col=6&amp;number=3.3&amp;sourceID=14","3.3")</f>
        <v>3.3</v>
      </c>
      <c r="G747" s="4" t="str">
        <f>HYPERLINK("http://141.218.60.56/~jnz1568/getInfo.php?workbook=14_04.xlsx&amp;sheet=U0&amp;row=747&amp;col=7&amp;number=0.0413&amp;sourceID=14","0.0413")</f>
        <v>0.0413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HYPERLINK("http://141.218.60.56/~jnz1568/getInfo.php?workbook=14_04.xlsx&amp;sheet=U0&amp;row=748&amp;col=6&amp;number=3.4&amp;sourceID=14","3.4")</f>
        <v>3.4</v>
      </c>
      <c r="G748" s="4" t="str">
        <f>HYPERLINK("http://141.218.60.56/~jnz1568/getInfo.php?workbook=14_04.xlsx&amp;sheet=U0&amp;row=748&amp;col=7&amp;number=0.0413&amp;sourceID=14","0.0413")</f>
        <v>0.0413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HYPERLINK("http://141.218.60.56/~jnz1568/getInfo.php?workbook=14_04.xlsx&amp;sheet=U0&amp;row=749&amp;col=6&amp;number=3.5&amp;sourceID=14","3.5")</f>
        <v>3.5</v>
      </c>
      <c r="G749" s="4" t="str">
        <f>HYPERLINK("http://141.218.60.56/~jnz1568/getInfo.php?workbook=14_04.xlsx&amp;sheet=U0&amp;row=749&amp;col=7&amp;number=0.0413&amp;sourceID=14","0.0413")</f>
        <v>0.0413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HYPERLINK("http://141.218.60.56/~jnz1568/getInfo.php?workbook=14_04.xlsx&amp;sheet=U0&amp;row=750&amp;col=6&amp;number=3.6&amp;sourceID=14","3.6")</f>
        <v>3.6</v>
      </c>
      <c r="G750" s="4" t="str">
        <f>HYPERLINK("http://141.218.60.56/~jnz1568/getInfo.php?workbook=14_04.xlsx&amp;sheet=U0&amp;row=750&amp;col=7&amp;number=0.0413&amp;sourceID=14","0.0413")</f>
        <v>0.0413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HYPERLINK("http://141.218.60.56/~jnz1568/getInfo.php?workbook=14_04.xlsx&amp;sheet=U0&amp;row=751&amp;col=6&amp;number=3.7&amp;sourceID=14","3.7")</f>
        <v>3.7</v>
      </c>
      <c r="G751" s="4" t="str">
        <f>HYPERLINK("http://141.218.60.56/~jnz1568/getInfo.php?workbook=14_04.xlsx&amp;sheet=U0&amp;row=751&amp;col=7&amp;number=0.0413&amp;sourceID=14","0.0413")</f>
        <v>0.0413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HYPERLINK("http://141.218.60.56/~jnz1568/getInfo.php?workbook=14_04.xlsx&amp;sheet=U0&amp;row=752&amp;col=6&amp;number=3.8&amp;sourceID=14","3.8")</f>
        <v>3.8</v>
      </c>
      <c r="G752" s="4" t="str">
        <f>HYPERLINK("http://141.218.60.56/~jnz1568/getInfo.php?workbook=14_04.xlsx&amp;sheet=U0&amp;row=752&amp;col=7&amp;number=0.0412&amp;sourceID=14","0.0412")</f>
        <v>0.0412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HYPERLINK("http://141.218.60.56/~jnz1568/getInfo.php?workbook=14_04.xlsx&amp;sheet=U0&amp;row=753&amp;col=6&amp;number=3.9&amp;sourceID=14","3.9")</f>
        <v>3.9</v>
      </c>
      <c r="G753" s="4" t="str">
        <f>HYPERLINK("http://141.218.60.56/~jnz1568/getInfo.php?workbook=14_04.xlsx&amp;sheet=U0&amp;row=753&amp;col=7&amp;number=0.0412&amp;sourceID=14","0.0412")</f>
        <v>0.0412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HYPERLINK("http://141.218.60.56/~jnz1568/getInfo.php?workbook=14_04.xlsx&amp;sheet=U0&amp;row=754&amp;col=6&amp;number=4&amp;sourceID=14","4")</f>
        <v>4</v>
      </c>
      <c r="G754" s="4" t="str">
        <f>HYPERLINK("http://141.218.60.56/~jnz1568/getInfo.php?workbook=14_04.xlsx&amp;sheet=U0&amp;row=754&amp;col=7&amp;number=0.0412&amp;sourceID=14","0.0412")</f>
        <v>0.0412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HYPERLINK("http://141.218.60.56/~jnz1568/getInfo.php?workbook=14_04.xlsx&amp;sheet=U0&amp;row=755&amp;col=6&amp;number=4.1&amp;sourceID=14","4.1")</f>
        <v>4.1</v>
      </c>
      <c r="G755" s="4" t="str">
        <f>HYPERLINK("http://141.218.60.56/~jnz1568/getInfo.php?workbook=14_04.xlsx&amp;sheet=U0&amp;row=755&amp;col=7&amp;number=0.0411&amp;sourceID=14","0.0411")</f>
        <v>0.0411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HYPERLINK("http://141.218.60.56/~jnz1568/getInfo.php?workbook=14_04.xlsx&amp;sheet=U0&amp;row=756&amp;col=6&amp;number=4.2&amp;sourceID=14","4.2")</f>
        <v>4.2</v>
      </c>
      <c r="G756" s="4" t="str">
        <f>HYPERLINK("http://141.218.60.56/~jnz1568/getInfo.php?workbook=14_04.xlsx&amp;sheet=U0&amp;row=756&amp;col=7&amp;number=0.0411&amp;sourceID=14","0.0411")</f>
        <v>0.0411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HYPERLINK("http://141.218.60.56/~jnz1568/getInfo.php?workbook=14_04.xlsx&amp;sheet=U0&amp;row=757&amp;col=6&amp;number=4.3&amp;sourceID=14","4.3")</f>
        <v>4.3</v>
      </c>
      <c r="G757" s="4" t="str">
        <f>HYPERLINK("http://141.218.60.56/~jnz1568/getInfo.php?workbook=14_04.xlsx&amp;sheet=U0&amp;row=757&amp;col=7&amp;number=0.041&amp;sourceID=14","0.041")</f>
        <v>0.041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HYPERLINK("http://141.218.60.56/~jnz1568/getInfo.php?workbook=14_04.xlsx&amp;sheet=U0&amp;row=758&amp;col=6&amp;number=4.4&amp;sourceID=14","4.4")</f>
        <v>4.4</v>
      </c>
      <c r="G758" s="4" t="str">
        <f>HYPERLINK("http://141.218.60.56/~jnz1568/getInfo.php?workbook=14_04.xlsx&amp;sheet=U0&amp;row=758&amp;col=7&amp;number=0.0409&amp;sourceID=14","0.0409")</f>
        <v>0.0409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HYPERLINK("http://141.218.60.56/~jnz1568/getInfo.php?workbook=14_04.xlsx&amp;sheet=U0&amp;row=759&amp;col=6&amp;number=4.5&amp;sourceID=14","4.5")</f>
        <v>4.5</v>
      </c>
      <c r="G759" s="4" t="str">
        <f>HYPERLINK("http://141.218.60.56/~jnz1568/getInfo.php?workbook=14_04.xlsx&amp;sheet=U0&amp;row=759&amp;col=7&amp;number=0.0408&amp;sourceID=14","0.0408")</f>
        <v>0.0408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HYPERLINK("http://141.218.60.56/~jnz1568/getInfo.php?workbook=14_04.xlsx&amp;sheet=U0&amp;row=760&amp;col=6&amp;number=4.6&amp;sourceID=14","4.6")</f>
        <v>4.6</v>
      </c>
      <c r="G760" s="4" t="str">
        <f>HYPERLINK("http://141.218.60.56/~jnz1568/getInfo.php?workbook=14_04.xlsx&amp;sheet=U0&amp;row=760&amp;col=7&amp;number=0.0407&amp;sourceID=14","0.0407")</f>
        <v>0.0407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HYPERLINK("http://141.218.60.56/~jnz1568/getInfo.php?workbook=14_04.xlsx&amp;sheet=U0&amp;row=761&amp;col=6&amp;number=4.7&amp;sourceID=14","4.7")</f>
        <v>4.7</v>
      </c>
      <c r="G761" s="4" t="str">
        <f>HYPERLINK("http://141.218.60.56/~jnz1568/getInfo.php?workbook=14_04.xlsx&amp;sheet=U0&amp;row=761&amp;col=7&amp;number=0.0406&amp;sourceID=14","0.0406")</f>
        <v>0.0406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HYPERLINK("http://141.218.60.56/~jnz1568/getInfo.php?workbook=14_04.xlsx&amp;sheet=U0&amp;row=762&amp;col=6&amp;number=4.8&amp;sourceID=14","4.8")</f>
        <v>4.8</v>
      </c>
      <c r="G762" s="4" t="str">
        <f>HYPERLINK("http://141.218.60.56/~jnz1568/getInfo.php?workbook=14_04.xlsx&amp;sheet=U0&amp;row=762&amp;col=7&amp;number=0.0404&amp;sourceID=14","0.0404")</f>
        <v>0.0404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HYPERLINK("http://141.218.60.56/~jnz1568/getInfo.php?workbook=14_04.xlsx&amp;sheet=U0&amp;row=763&amp;col=6&amp;number=4.9&amp;sourceID=14","4.9")</f>
        <v>4.9</v>
      </c>
      <c r="G763" s="4" t="str">
        <f>HYPERLINK("http://141.218.60.56/~jnz1568/getInfo.php?workbook=14_04.xlsx&amp;sheet=U0&amp;row=763&amp;col=7&amp;number=0.0402&amp;sourceID=14","0.0402")</f>
        <v>0.0402</v>
      </c>
    </row>
    <row r="764" spans="1:7">
      <c r="A764" s="3">
        <v>14</v>
      </c>
      <c r="B764" s="3">
        <v>4</v>
      </c>
      <c r="C764" s="3">
        <v>6</v>
      </c>
      <c r="D764" s="3">
        <v>10</v>
      </c>
      <c r="E764" s="3">
        <v>1</v>
      </c>
      <c r="F764" s="4" t="str">
        <f>HYPERLINK("http://141.218.60.56/~jnz1568/getInfo.php?workbook=14_04.xlsx&amp;sheet=U0&amp;row=764&amp;col=6&amp;number=3&amp;sourceID=14","3")</f>
        <v>3</v>
      </c>
      <c r="G764" s="4" t="str">
        <f>HYPERLINK("http://141.218.60.56/~jnz1568/getInfo.php?workbook=14_04.xlsx&amp;sheet=U0&amp;row=764&amp;col=7&amp;number=0.00489&amp;sourceID=14","0.00489")</f>
        <v>0.00489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HYPERLINK("http://141.218.60.56/~jnz1568/getInfo.php?workbook=14_04.xlsx&amp;sheet=U0&amp;row=765&amp;col=6&amp;number=3.1&amp;sourceID=14","3.1")</f>
        <v>3.1</v>
      </c>
      <c r="G765" s="4" t="str">
        <f>HYPERLINK("http://141.218.60.56/~jnz1568/getInfo.php?workbook=14_04.xlsx&amp;sheet=U0&amp;row=765&amp;col=7&amp;number=0.00489&amp;sourceID=14","0.00489")</f>
        <v>0.00489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HYPERLINK("http://141.218.60.56/~jnz1568/getInfo.php?workbook=14_04.xlsx&amp;sheet=U0&amp;row=766&amp;col=6&amp;number=3.2&amp;sourceID=14","3.2")</f>
        <v>3.2</v>
      </c>
      <c r="G766" s="4" t="str">
        <f>HYPERLINK("http://141.218.60.56/~jnz1568/getInfo.php?workbook=14_04.xlsx&amp;sheet=U0&amp;row=766&amp;col=7&amp;number=0.00489&amp;sourceID=14","0.00489")</f>
        <v>0.00489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HYPERLINK("http://141.218.60.56/~jnz1568/getInfo.php?workbook=14_04.xlsx&amp;sheet=U0&amp;row=767&amp;col=6&amp;number=3.3&amp;sourceID=14","3.3")</f>
        <v>3.3</v>
      </c>
      <c r="G767" s="4" t="str">
        <f>HYPERLINK("http://141.218.60.56/~jnz1568/getInfo.php?workbook=14_04.xlsx&amp;sheet=U0&amp;row=767&amp;col=7&amp;number=0.00489&amp;sourceID=14","0.00489")</f>
        <v>0.00489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HYPERLINK("http://141.218.60.56/~jnz1568/getInfo.php?workbook=14_04.xlsx&amp;sheet=U0&amp;row=768&amp;col=6&amp;number=3.4&amp;sourceID=14","3.4")</f>
        <v>3.4</v>
      </c>
      <c r="G768" s="4" t="str">
        <f>HYPERLINK("http://141.218.60.56/~jnz1568/getInfo.php?workbook=14_04.xlsx&amp;sheet=U0&amp;row=768&amp;col=7&amp;number=0.00489&amp;sourceID=14","0.00489")</f>
        <v>0.00489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HYPERLINK("http://141.218.60.56/~jnz1568/getInfo.php?workbook=14_04.xlsx&amp;sheet=U0&amp;row=769&amp;col=6&amp;number=3.5&amp;sourceID=14","3.5")</f>
        <v>3.5</v>
      </c>
      <c r="G769" s="4" t="str">
        <f>HYPERLINK("http://141.218.60.56/~jnz1568/getInfo.php?workbook=14_04.xlsx&amp;sheet=U0&amp;row=769&amp;col=7&amp;number=0.00489&amp;sourceID=14","0.00489")</f>
        <v>0.00489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HYPERLINK("http://141.218.60.56/~jnz1568/getInfo.php?workbook=14_04.xlsx&amp;sheet=U0&amp;row=770&amp;col=6&amp;number=3.6&amp;sourceID=14","3.6")</f>
        <v>3.6</v>
      </c>
      <c r="G770" s="4" t="str">
        <f>HYPERLINK("http://141.218.60.56/~jnz1568/getInfo.php?workbook=14_04.xlsx&amp;sheet=U0&amp;row=770&amp;col=7&amp;number=0.00489&amp;sourceID=14","0.00489")</f>
        <v>0.00489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HYPERLINK("http://141.218.60.56/~jnz1568/getInfo.php?workbook=14_04.xlsx&amp;sheet=U0&amp;row=771&amp;col=6&amp;number=3.7&amp;sourceID=14","3.7")</f>
        <v>3.7</v>
      </c>
      <c r="G771" s="4" t="str">
        <f>HYPERLINK("http://141.218.60.56/~jnz1568/getInfo.php?workbook=14_04.xlsx&amp;sheet=U0&amp;row=771&amp;col=7&amp;number=0.00488&amp;sourceID=14","0.00488")</f>
        <v>0.00488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HYPERLINK("http://141.218.60.56/~jnz1568/getInfo.php?workbook=14_04.xlsx&amp;sheet=U0&amp;row=772&amp;col=6&amp;number=3.8&amp;sourceID=14","3.8")</f>
        <v>3.8</v>
      </c>
      <c r="G772" s="4" t="str">
        <f>HYPERLINK("http://141.218.60.56/~jnz1568/getInfo.php?workbook=14_04.xlsx&amp;sheet=U0&amp;row=772&amp;col=7&amp;number=0.00488&amp;sourceID=14","0.00488")</f>
        <v>0.00488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HYPERLINK("http://141.218.60.56/~jnz1568/getInfo.php?workbook=14_04.xlsx&amp;sheet=U0&amp;row=773&amp;col=6&amp;number=3.9&amp;sourceID=14","3.9")</f>
        <v>3.9</v>
      </c>
      <c r="G773" s="4" t="str">
        <f>HYPERLINK("http://141.218.60.56/~jnz1568/getInfo.php?workbook=14_04.xlsx&amp;sheet=U0&amp;row=773&amp;col=7&amp;number=0.00488&amp;sourceID=14","0.00488")</f>
        <v>0.00488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HYPERLINK("http://141.218.60.56/~jnz1568/getInfo.php?workbook=14_04.xlsx&amp;sheet=U0&amp;row=774&amp;col=6&amp;number=4&amp;sourceID=14","4")</f>
        <v>4</v>
      </c>
      <c r="G774" s="4" t="str">
        <f>HYPERLINK("http://141.218.60.56/~jnz1568/getInfo.php?workbook=14_04.xlsx&amp;sheet=U0&amp;row=774&amp;col=7&amp;number=0.00487&amp;sourceID=14","0.00487")</f>
        <v>0.00487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HYPERLINK("http://141.218.60.56/~jnz1568/getInfo.php?workbook=14_04.xlsx&amp;sheet=U0&amp;row=775&amp;col=6&amp;number=4.1&amp;sourceID=14","4.1")</f>
        <v>4.1</v>
      </c>
      <c r="G775" s="4" t="str">
        <f>HYPERLINK("http://141.218.60.56/~jnz1568/getInfo.php?workbook=14_04.xlsx&amp;sheet=U0&amp;row=775&amp;col=7&amp;number=0.00487&amp;sourceID=14","0.00487")</f>
        <v>0.00487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HYPERLINK("http://141.218.60.56/~jnz1568/getInfo.php?workbook=14_04.xlsx&amp;sheet=U0&amp;row=776&amp;col=6&amp;number=4.2&amp;sourceID=14","4.2")</f>
        <v>4.2</v>
      </c>
      <c r="G776" s="4" t="str">
        <f>HYPERLINK("http://141.218.60.56/~jnz1568/getInfo.php?workbook=14_04.xlsx&amp;sheet=U0&amp;row=776&amp;col=7&amp;number=0.00486&amp;sourceID=14","0.00486")</f>
        <v>0.00486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HYPERLINK("http://141.218.60.56/~jnz1568/getInfo.php?workbook=14_04.xlsx&amp;sheet=U0&amp;row=777&amp;col=6&amp;number=4.3&amp;sourceID=14","4.3")</f>
        <v>4.3</v>
      </c>
      <c r="G777" s="4" t="str">
        <f>HYPERLINK("http://141.218.60.56/~jnz1568/getInfo.php?workbook=14_04.xlsx&amp;sheet=U0&amp;row=777&amp;col=7&amp;number=0.00485&amp;sourceID=14","0.00485")</f>
        <v>0.00485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HYPERLINK("http://141.218.60.56/~jnz1568/getInfo.php?workbook=14_04.xlsx&amp;sheet=U0&amp;row=778&amp;col=6&amp;number=4.4&amp;sourceID=14","4.4")</f>
        <v>4.4</v>
      </c>
      <c r="G778" s="4" t="str">
        <f>HYPERLINK("http://141.218.60.56/~jnz1568/getInfo.php?workbook=14_04.xlsx&amp;sheet=U0&amp;row=778&amp;col=7&amp;number=0.00484&amp;sourceID=14","0.00484")</f>
        <v>0.00484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HYPERLINK("http://141.218.60.56/~jnz1568/getInfo.php?workbook=14_04.xlsx&amp;sheet=U0&amp;row=779&amp;col=6&amp;number=4.5&amp;sourceID=14","4.5")</f>
        <v>4.5</v>
      </c>
      <c r="G779" s="4" t="str">
        <f>HYPERLINK("http://141.218.60.56/~jnz1568/getInfo.php?workbook=14_04.xlsx&amp;sheet=U0&amp;row=779&amp;col=7&amp;number=0.00483&amp;sourceID=14","0.00483")</f>
        <v>0.00483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HYPERLINK("http://141.218.60.56/~jnz1568/getInfo.php?workbook=14_04.xlsx&amp;sheet=U0&amp;row=780&amp;col=6&amp;number=4.6&amp;sourceID=14","4.6")</f>
        <v>4.6</v>
      </c>
      <c r="G780" s="4" t="str">
        <f>HYPERLINK("http://141.218.60.56/~jnz1568/getInfo.php?workbook=14_04.xlsx&amp;sheet=U0&amp;row=780&amp;col=7&amp;number=0.00482&amp;sourceID=14","0.00482")</f>
        <v>0.00482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HYPERLINK("http://141.218.60.56/~jnz1568/getInfo.php?workbook=14_04.xlsx&amp;sheet=U0&amp;row=781&amp;col=6&amp;number=4.7&amp;sourceID=14","4.7")</f>
        <v>4.7</v>
      </c>
      <c r="G781" s="4" t="str">
        <f>HYPERLINK("http://141.218.60.56/~jnz1568/getInfo.php?workbook=14_04.xlsx&amp;sheet=U0&amp;row=781&amp;col=7&amp;number=0.0048&amp;sourceID=14","0.0048")</f>
        <v>0.0048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HYPERLINK("http://141.218.60.56/~jnz1568/getInfo.php?workbook=14_04.xlsx&amp;sheet=U0&amp;row=782&amp;col=6&amp;number=4.8&amp;sourceID=14","4.8")</f>
        <v>4.8</v>
      </c>
      <c r="G782" s="4" t="str">
        <f>HYPERLINK("http://141.218.60.56/~jnz1568/getInfo.php?workbook=14_04.xlsx&amp;sheet=U0&amp;row=782&amp;col=7&amp;number=0.00477&amp;sourceID=14","0.00477")</f>
        <v>0.00477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HYPERLINK("http://141.218.60.56/~jnz1568/getInfo.php?workbook=14_04.xlsx&amp;sheet=U0&amp;row=783&amp;col=6&amp;number=4.9&amp;sourceID=14","4.9")</f>
        <v>4.9</v>
      </c>
      <c r="G783" s="4" t="str">
        <f>HYPERLINK("http://141.218.60.56/~jnz1568/getInfo.php?workbook=14_04.xlsx&amp;sheet=U0&amp;row=783&amp;col=7&amp;number=0.00474&amp;sourceID=14","0.00474")</f>
        <v>0.00474</v>
      </c>
    </row>
    <row r="784" spans="1:7">
      <c r="A784" s="3">
        <v>14</v>
      </c>
      <c r="B784" s="3">
        <v>4</v>
      </c>
      <c r="C784" s="3">
        <v>7</v>
      </c>
      <c r="D784" s="3">
        <v>8</v>
      </c>
      <c r="E784" s="3">
        <v>1</v>
      </c>
      <c r="F784" s="4" t="str">
        <f>HYPERLINK("http://141.218.60.56/~jnz1568/getInfo.php?workbook=14_04.xlsx&amp;sheet=U0&amp;row=784&amp;col=6&amp;number=3&amp;sourceID=14","3")</f>
        <v>3</v>
      </c>
      <c r="G784" s="4" t="str">
        <f>HYPERLINK("http://141.218.60.56/~jnz1568/getInfo.php?workbook=14_04.xlsx&amp;sheet=U0&amp;row=784&amp;col=7&amp;number=0.193&amp;sourceID=14","0.193")</f>
        <v>0.193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HYPERLINK("http://141.218.60.56/~jnz1568/getInfo.php?workbook=14_04.xlsx&amp;sheet=U0&amp;row=785&amp;col=6&amp;number=3.1&amp;sourceID=14","3.1")</f>
        <v>3.1</v>
      </c>
      <c r="G785" s="4" t="str">
        <f>HYPERLINK("http://141.218.60.56/~jnz1568/getInfo.php?workbook=14_04.xlsx&amp;sheet=U0&amp;row=785&amp;col=7&amp;number=0.193&amp;sourceID=14","0.193")</f>
        <v>0.193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HYPERLINK("http://141.218.60.56/~jnz1568/getInfo.php?workbook=14_04.xlsx&amp;sheet=U0&amp;row=786&amp;col=6&amp;number=3.2&amp;sourceID=14","3.2")</f>
        <v>3.2</v>
      </c>
      <c r="G786" s="4" t="str">
        <f>HYPERLINK("http://141.218.60.56/~jnz1568/getInfo.php?workbook=14_04.xlsx&amp;sheet=U0&amp;row=786&amp;col=7&amp;number=0.193&amp;sourceID=14","0.193")</f>
        <v>0.193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HYPERLINK("http://141.218.60.56/~jnz1568/getInfo.php?workbook=14_04.xlsx&amp;sheet=U0&amp;row=787&amp;col=6&amp;number=3.3&amp;sourceID=14","3.3")</f>
        <v>3.3</v>
      </c>
      <c r="G787" s="4" t="str">
        <f>HYPERLINK("http://141.218.60.56/~jnz1568/getInfo.php?workbook=14_04.xlsx&amp;sheet=U0&amp;row=787&amp;col=7&amp;number=0.192&amp;sourceID=14","0.192")</f>
        <v>0.192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HYPERLINK("http://141.218.60.56/~jnz1568/getInfo.php?workbook=14_04.xlsx&amp;sheet=U0&amp;row=788&amp;col=6&amp;number=3.4&amp;sourceID=14","3.4")</f>
        <v>3.4</v>
      </c>
      <c r="G788" s="4" t="str">
        <f>HYPERLINK("http://141.218.60.56/~jnz1568/getInfo.php?workbook=14_04.xlsx&amp;sheet=U0&amp;row=788&amp;col=7&amp;number=0.192&amp;sourceID=14","0.192")</f>
        <v>0.192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HYPERLINK("http://141.218.60.56/~jnz1568/getInfo.php?workbook=14_04.xlsx&amp;sheet=U0&amp;row=789&amp;col=6&amp;number=3.5&amp;sourceID=14","3.5")</f>
        <v>3.5</v>
      </c>
      <c r="G789" s="4" t="str">
        <f>HYPERLINK("http://141.218.60.56/~jnz1568/getInfo.php?workbook=14_04.xlsx&amp;sheet=U0&amp;row=789&amp;col=7&amp;number=0.192&amp;sourceID=14","0.192")</f>
        <v>0.192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HYPERLINK("http://141.218.60.56/~jnz1568/getInfo.php?workbook=14_04.xlsx&amp;sheet=U0&amp;row=790&amp;col=6&amp;number=3.6&amp;sourceID=14","3.6")</f>
        <v>3.6</v>
      </c>
      <c r="G790" s="4" t="str">
        <f>HYPERLINK("http://141.218.60.56/~jnz1568/getInfo.php?workbook=14_04.xlsx&amp;sheet=U0&amp;row=790&amp;col=7&amp;number=0.192&amp;sourceID=14","0.192")</f>
        <v>0.192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HYPERLINK("http://141.218.60.56/~jnz1568/getInfo.php?workbook=14_04.xlsx&amp;sheet=U0&amp;row=791&amp;col=6&amp;number=3.7&amp;sourceID=14","3.7")</f>
        <v>3.7</v>
      </c>
      <c r="G791" s="4" t="str">
        <f>HYPERLINK("http://141.218.60.56/~jnz1568/getInfo.php?workbook=14_04.xlsx&amp;sheet=U0&amp;row=791&amp;col=7&amp;number=0.192&amp;sourceID=14","0.192")</f>
        <v>0.192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HYPERLINK("http://141.218.60.56/~jnz1568/getInfo.php?workbook=14_04.xlsx&amp;sheet=U0&amp;row=792&amp;col=6&amp;number=3.8&amp;sourceID=14","3.8")</f>
        <v>3.8</v>
      </c>
      <c r="G792" s="4" t="str">
        <f>HYPERLINK("http://141.218.60.56/~jnz1568/getInfo.php?workbook=14_04.xlsx&amp;sheet=U0&amp;row=792&amp;col=7&amp;number=0.192&amp;sourceID=14","0.192")</f>
        <v>0.192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HYPERLINK("http://141.218.60.56/~jnz1568/getInfo.php?workbook=14_04.xlsx&amp;sheet=U0&amp;row=793&amp;col=6&amp;number=3.9&amp;sourceID=14","3.9")</f>
        <v>3.9</v>
      </c>
      <c r="G793" s="4" t="str">
        <f>HYPERLINK("http://141.218.60.56/~jnz1568/getInfo.php?workbook=14_04.xlsx&amp;sheet=U0&amp;row=793&amp;col=7&amp;number=0.192&amp;sourceID=14","0.192")</f>
        <v>0.192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HYPERLINK("http://141.218.60.56/~jnz1568/getInfo.php?workbook=14_04.xlsx&amp;sheet=U0&amp;row=794&amp;col=6&amp;number=4&amp;sourceID=14","4")</f>
        <v>4</v>
      </c>
      <c r="G794" s="4" t="str">
        <f>HYPERLINK("http://141.218.60.56/~jnz1568/getInfo.php?workbook=14_04.xlsx&amp;sheet=U0&amp;row=794&amp;col=7&amp;number=0.192&amp;sourceID=14","0.192")</f>
        <v>0.192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HYPERLINK("http://141.218.60.56/~jnz1568/getInfo.php?workbook=14_04.xlsx&amp;sheet=U0&amp;row=795&amp;col=6&amp;number=4.1&amp;sourceID=14","4.1")</f>
        <v>4.1</v>
      </c>
      <c r="G795" s="4" t="str">
        <f>HYPERLINK("http://141.218.60.56/~jnz1568/getInfo.php?workbook=14_04.xlsx&amp;sheet=U0&amp;row=795&amp;col=7&amp;number=0.192&amp;sourceID=14","0.192")</f>
        <v>0.192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HYPERLINK("http://141.218.60.56/~jnz1568/getInfo.php?workbook=14_04.xlsx&amp;sheet=U0&amp;row=796&amp;col=6&amp;number=4.2&amp;sourceID=14","4.2")</f>
        <v>4.2</v>
      </c>
      <c r="G796" s="4" t="str">
        <f>HYPERLINK("http://141.218.60.56/~jnz1568/getInfo.php?workbook=14_04.xlsx&amp;sheet=U0&amp;row=796&amp;col=7&amp;number=0.192&amp;sourceID=14","0.192")</f>
        <v>0.192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HYPERLINK("http://141.218.60.56/~jnz1568/getInfo.php?workbook=14_04.xlsx&amp;sheet=U0&amp;row=797&amp;col=6&amp;number=4.3&amp;sourceID=14","4.3")</f>
        <v>4.3</v>
      </c>
      <c r="G797" s="4" t="str">
        <f>HYPERLINK("http://141.218.60.56/~jnz1568/getInfo.php?workbook=14_04.xlsx&amp;sheet=U0&amp;row=797&amp;col=7&amp;number=0.192&amp;sourceID=14","0.192")</f>
        <v>0.192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HYPERLINK("http://141.218.60.56/~jnz1568/getInfo.php?workbook=14_04.xlsx&amp;sheet=U0&amp;row=798&amp;col=6&amp;number=4.4&amp;sourceID=14","4.4")</f>
        <v>4.4</v>
      </c>
      <c r="G798" s="4" t="str">
        <f>HYPERLINK("http://141.218.60.56/~jnz1568/getInfo.php?workbook=14_04.xlsx&amp;sheet=U0&amp;row=798&amp;col=7&amp;number=0.191&amp;sourceID=14","0.191")</f>
        <v>0.191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HYPERLINK("http://141.218.60.56/~jnz1568/getInfo.php?workbook=14_04.xlsx&amp;sheet=U0&amp;row=799&amp;col=6&amp;number=4.5&amp;sourceID=14","4.5")</f>
        <v>4.5</v>
      </c>
      <c r="G799" s="4" t="str">
        <f>HYPERLINK("http://141.218.60.56/~jnz1568/getInfo.php?workbook=14_04.xlsx&amp;sheet=U0&amp;row=799&amp;col=7&amp;number=0.191&amp;sourceID=14","0.191")</f>
        <v>0.191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HYPERLINK("http://141.218.60.56/~jnz1568/getInfo.php?workbook=14_04.xlsx&amp;sheet=U0&amp;row=800&amp;col=6&amp;number=4.6&amp;sourceID=14","4.6")</f>
        <v>4.6</v>
      </c>
      <c r="G800" s="4" t="str">
        <f>HYPERLINK("http://141.218.60.56/~jnz1568/getInfo.php?workbook=14_04.xlsx&amp;sheet=U0&amp;row=800&amp;col=7&amp;number=0.19&amp;sourceID=14","0.19")</f>
        <v>0.19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HYPERLINK("http://141.218.60.56/~jnz1568/getInfo.php?workbook=14_04.xlsx&amp;sheet=U0&amp;row=801&amp;col=6&amp;number=4.7&amp;sourceID=14","4.7")</f>
        <v>4.7</v>
      </c>
      <c r="G801" s="4" t="str">
        <f>HYPERLINK("http://141.218.60.56/~jnz1568/getInfo.php?workbook=14_04.xlsx&amp;sheet=U0&amp;row=801&amp;col=7&amp;number=0.19&amp;sourceID=14","0.19")</f>
        <v>0.19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HYPERLINK("http://141.218.60.56/~jnz1568/getInfo.php?workbook=14_04.xlsx&amp;sheet=U0&amp;row=802&amp;col=6&amp;number=4.8&amp;sourceID=14","4.8")</f>
        <v>4.8</v>
      </c>
      <c r="G802" s="4" t="str">
        <f>HYPERLINK("http://141.218.60.56/~jnz1568/getInfo.php?workbook=14_04.xlsx&amp;sheet=U0&amp;row=802&amp;col=7&amp;number=0.189&amp;sourceID=14","0.189")</f>
        <v>0.189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HYPERLINK("http://141.218.60.56/~jnz1568/getInfo.php?workbook=14_04.xlsx&amp;sheet=U0&amp;row=803&amp;col=6&amp;number=4.9&amp;sourceID=14","4.9")</f>
        <v>4.9</v>
      </c>
      <c r="G803" s="4" t="str">
        <f>HYPERLINK("http://141.218.60.56/~jnz1568/getInfo.php?workbook=14_04.xlsx&amp;sheet=U0&amp;row=803&amp;col=7&amp;number=0.188&amp;sourceID=14","0.188")</f>
        <v>0.188</v>
      </c>
    </row>
    <row r="804" spans="1:7">
      <c r="A804" s="3">
        <v>14</v>
      </c>
      <c r="B804" s="3">
        <v>4</v>
      </c>
      <c r="C804" s="3">
        <v>7</v>
      </c>
      <c r="D804" s="3">
        <v>9</v>
      </c>
      <c r="E804" s="3">
        <v>1</v>
      </c>
      <c r="F804" s="4" t="str">
        <f>HYPERLINK("http://141.218.60.56/~jnz1568/getInfo.php?workbook=14_04.xlsx&amp;sheet=U0&amp;row=804&amp;col=6&amp;number=3&amp;sourceID=14","3")</f>
        <v>3</v>
      </c>
      <c r="G804" s="4" t="str">
        <f>HYPERLINK("http://141.218.60.56/~jnz1568/getInfo.php?workbook=14_04.xlsx&amp;sheet=U0&amp;row=804&amp;col=7&amp;number=0.124&amp;sourceID=14","0.124")</f>
        <v>0.124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HYPERLINK("http://141.218.60.56/~jnz1568/getInfo.php?workbook=14_04.xlsx&amp;sheet=U0&amp;row=805&amp;col=6&amp;number=3.1&amp;sourceID=14","3.1")</f>
        <v>3.1</v>
      </c>
      <c r="G805" s="4" t="str">
        <f>HYPERLINK("http://141.218.60.56/~jnz1568/getInfo.php?workbook=14_04.xlsx&amp;sheet=U0&amp;row=805&amp;col=7&amp;number=0.124&amp;sourceID=14","0.124")</f>
        <v>0.124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HYPERLINK("http://141.218.60.56/~jnz1568/getInfo.php?workbook=14_04.xlsx&amp;sheet=U0&amp;row=806&amp;col=6&amp;number=3.2&amp;sourceID=14","3.2")</f>
        <v>3.2</v>
      </c>
      <c r="G806" s="4" t="str">
        <f>HYPERLINK("http://141.218.60.56/~jnz1568/getInfo.php?workbook=14_04.xlsx&amp;sheet=U0&amp;row=806&amp;col=7&amp;number=0.124&amp;sourceID=14","0.124")</f>
        <v>0.124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HYPERLINK("http://141.218.60.56/~jnz1568/getInfo.php?workbook=14_04.xlsx&amp;sheet=U0&amp;row=807&amp;col=6&amp;number=3.3&amp;sourceID=14","3.3")</f>
        <v>3.3</v>
      </c>
      <c r="G807" s="4" t="str">
        <f>HYPERLINK("http://141.218.60.56/~jnz1568/getInfo.php?workbook=14_04.xlsx&amp;sheet=U0&amp;row=807&amp;col=7&amp;number=0.124&amp;sourceID=14","0.124")</f>
        <v>0.124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HYPERLINK("http://141.218.60.56/~jnz1568/getInfo.php?workbook=14_04.xlsx&amp;sheet=U0&amp;row=808&amp;col=6&amp;number=3.4&amp;sourceID=14","3.4")</f>
        <v>3.4</v>
      </c>
      <c r="G808" s="4" t="str">
        <f>HYPERLINK("http://141.218.60.56/~jnz1568/getInfo.php?workbook=14_04.xlsx&amp;sheet=U0&amp;row=808&amp;col=7&amp;number=0.123&amp;sourceID=14","0.123")</f>
        <v>0.123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HYPERLINK("http://141.218.60.56/~jnz1568/getInfo.php?workbook=14_04.xlsx&amp;sheet=U0&amp;row=809&amp;col=6&amp;number=3.5&amp;sourceID=14","3.5")</f>
        <v>3.5</v>
      </c>
      <c r="G809" s="4" t="str">
        <f>HYPERLINK("http://141.218.60.56/~jnz1568/getInfo.php?workbook=14_04.xlsx&amp;sheet=U0&amp;row=809&amp;col=7&amp;number=0.123&amp;sourceID=14","0.123")</f>
        <v>0.123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HYPERLINK("http://141.218.60.56/~jnz1568/getInfo.php?workbook=14_04.xlsx&amp;sheet=U0&amp;row=810&amp;col=6&amp;number=3.6&amp;sourceID=14","3.6")</f>
        <v>3.6</v>
      </c>
      <c r="G810" s="4" t="str">
        <f>HYPERLINK("http://141.218.60.56/~jnz1568/getInfo.php?workbook=14_04.xlsx&amp;sheet=U0&amp;row=810&amp;col=7&amp;number=0.123&amp;sourceID=14","0.123")</f>
        <v>0.123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HYPERLINK("http://141.218.60.56/~jnz1568/getInfo.php?workbook=14_04.xlsx&amp;sheet=U0&amp;row=811&amp;col=6&amp;number=3.7&amp;sourceID=14","3.7")</f>
        <v>3.7</v>
      </c>
      <c r="G811" s="4" t="str">
        <f>HYPERLINK("http://141.218.60.56/~jnz1568/getInfo.php?workbook=14_04.xlsx&amp;sheet=U0&amp;row=811&amp;col=7&amp;number=0.123&amp;sourceID=14","0.123")</f>
        <v>0.123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HYPERLINK("http://141.218.60.56/~jnz1568/getInfo.php?workbook=14_04.xlsx&amp;sheet=U0&amp;row=812&amp;col=6&amp;number=3.8&amp;sourceID=14","3.8")</f>
        <v>3.8</v>
      </c>
      <c r="G812" s="4" t="str">
        <f>HYPERLINK("http://141.218.60.56/~jnz1568/getInfo.php?workbook=14_04.xlsx&amp;sheet=U0&amp;row=812&amp;col=7&amp;number=0.123&amp;sourceID=14","0.123")</f>
        <v>0.123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HYPERLINK("http://141.218.60.56/~jnz1568/getInfo.php?workbook=14_04.xlsx&amp;sheet=U0&amp;row=813&amp;col=6&amp;number=3.9&amp;sourceID=14","3.9")</f>
        <v>3.9</v>
      </c>
      <c r="G813" s="4" t="str">
        <f>HYPERLINK("http://141.218.60.56/~jnz1568/getInfo.php?workbook=14_04.xlsx&amp;sheet=U0&amp;row=813&amp;col=7&amp;number=0.123&amp;sourceID=14","0.123")</f>
        <v>0.123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HYPERLINK("http://141.218.60.56/~jnz1568/getInfo.php?workbook=14_04.xlsx&amp;sheet=U0&amp;row=814&amp;col=6&amp;number=4&amp;sourceID=14","4")</f>
        <v>4</v>
      </c>
      <c r="G814" s="4" t="str">
        <f>HYPERLINK("http://141.218.60.56/~jnz1568/getInfo.php?workbook=14_04.xlsx&amp;sheet=U0&amp;row=814&amp;col=7&amp;number=0.123&amp;sourceID=14","0.123")</f>
        <v>0.123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HYPERLINK("http://141.218.60.56/~jnz1568/getInfo.php?workbook=14_04.xlsx&amp;sheet=U0&amp;row=815&amp;col=6&amp;number=4.1&amp;sourceID=14","4.1")</f>
        <v>4.1</v>
      </c>
      <c r="G815" s="4" t="str">
        <f>HYPERLINK("http://141.218.60.56/~jnz1568/getInfo.php?workbook=14_04.xlsx&amp;sheet=U0&amp;row=815&amp;col=7&amp;number=0.123&amp;sourceID=14","0.123")</f>
        <v>0.123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HYPERLINK("http://141.218.60.56/~jnz1568/getInfo.php?workbook=14_04.xlsx&amp;sheet=U0&amp;row=816&amp;col=6&amp;number=4.2&amp;sourceID=14","4.2")</f>
        <v>4.2</v>
      </c>
      <c r="G816" s="4" t="str">
        <f>HYPERLINK("http://141.218.60.56/~jnz1568/getInfo.php?workbook=14_04.xlsx&amp;sheet=U0&amp;row=816&amp;col=7&amp;number=0.123&amp;sourceID=14","0.123")</f>
        <v>0.123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HYPERLINK("http://141.218.60.56/~jnz1568/getInfo.php?workbook=14_04.xlsx&amp;sheet=U0&amp;row=817&amp;col=6&amp;number=4.3&amp;sourceID=14","4.3")</f>
        <v>4.3</v>
      </c>
      <c r="G817" s="4" t="str">
        <f>HYPERLINK("http://141.218.60.56/~jnz1568/getInfo.php?workbook=14_04.xlsx&amp;sheet=U0&amp;row=817&amp;col=7&amp;number=0.123&amp;sourceID=14","0.123")</f>
        <v>0.123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HYPERLINK("http://141.218.60.56/~jnz1568/getInfo.php?workbook=14_04.xlsx&amp;sheet=U0&amp;row=818&amp;col=6&amp;number=4.4&amp;sourceID=14","4.4")</f>
        <v>4.4</v>
      </c>
      <c r="G818" s="4" t="str">
        <f>HYPERLINK("http://141.218.60.56/~jnz1568/getInfo.php?workbook=14_04.xlsx&amp;sheet=U0&amp;row=818&amp;col=7&amp;number=0.122&amp;sourceID=14","0.122")</f>
        <v>0.122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HYPERLINK("http://141.218.60.56/~jnz1568/getInfo.php?workbook=14_04.xlsx&amp;sheet=U0&amp;row=819&amp;col=6&amp;number=4.5&amp;sourceID=14","4.5")</f>
        <v>4.5</v>
      </c>
      <c r="G819" s="4" t="str">
        <f>HYPERLINK("http://141.218.60.56/~jnz1568/getInfo.php?workbook=14_04.xlsx&amp;sheet=U0&amp;row=819&amp;col=7&amp;number=0.122&amp;sourceID=14","0.122")</f>
        <v>0.122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HYPERLINK("http://141.218.60.56/~jnz1568/getInfo.php?workbook=14_04.xlsx&amp;sheet=U0&amp;row=820&amp;col=6&amp;number=4.6&amp;sourceID=14","4.6")</f>
        <v>4.6</v>
      </c>
      <c r="G820" s="4" t="str">
        <f>HYPERLINK("http://141.218.60.56/~jnz1568/getInfo.php?workbook=14_04.xlsx&amp;sheet=U0&amp;row=820&amp;col=7&amp;number=0.122&amp;sourceID=14","0.122")</f>
        <v>0.122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HYPERLINK("http://141.218.60.56/~jnz1568/getInfo.php?workbook=14_04.xlsx&amp;sheet=U0&amp;row=821&amp;col=6&amp;number=4.7&amp;sourceID=14","4.7")</f>
        <v>4.7</v>
      </c>
      <c r="G821" s="4" t="str">
        <f>HYPERLINK("http://141.218.60.56/~jnz1568/getInfo.php?workbook=14_04.xlsx&amp;sheet=U0&amp;row=821&amp;col=7&amp;number=0.121&amp;sourceID=14","0.121")</f>
        <v>0.121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HYPERLINK("http://141.218.60.56/~jnz1568/getInfo.php?workbook=14_04.xlsx&amp;sheet=U0&amp;row=822&amp;col=6&amp;number=4.8&amp;sourceID=14","4.8")</f>
        <v>4.8</v>
      </c>
      <c r="G822" s="4" t="str">
        <f>HYPERLINK("http://141.218.60.56/~jnz1568/getInfo.php?workbook=14_04.xlsx&amp;sheet=U0&amp;row=822&amp;col=7&amp;number=0.121&amp;sourceID=14","0.121")</f>
        <v>0.121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HYPERLINK("http://141.218.60.56/~jnz1568/getInfo.php?workbook=14_04.xlsx&amp;sheet=U0&amp;row=823&amp;col=6&amp;number=4.9&amp;sourceID=14","4.9")</f>
        <v>4.9</v>
      </c>
      <c r="G823" s="4" t="str">
        <f>HYPERLINK("http://141.218.60.56/~jnz1568/getInfo.php?workbook=14_04.xlsx&amp;sheet=U0&amp;row=823&amp;col=7&amp;number=0.12&amp;sourceID=14","0.12")</f>
        <v>0.12</v>
      </c>
    </row>
    <row r="824" spans="1:7">
      <c r="A824" s="3">
        <v>14</v>
      </c>
      <c r="B824" s="3">
        <v>4</v>
      </c>
      <c r="C824" s="3">
        <v>7</v>
      </c>
      <c r="D824" s="3">
        <v>10</v>
      </c>
      <c r="E824" s="3">
        <v>1</v>
      </c>
      <c r="F824" s="4" t="str">
        <f>HYPERLINK("http://141.218.60.56/~jnz1568/getInfo.php?workbook=14_04.xlsx&amp;sheet=U0&amp;row=824&amp;col=6&amp;number=3&amp;sourceID=14","3")</f>
        <v>3</v>
      </c>
      <c r="G824" s="4" t="str">
        <f>HYPERLINK("http://141.218.60.56/~jnz1568/getInfo.php?workbook=14_04.xlsx&amp;sheet=U0&amp;row=824&amp;col=7&amp;number=0.0146&amp;sourceID=14","0.0146")</f>
        <v>0.0146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HYPERLINK("http://141.218.60.56/~jnz1568/getInfo.php?workbook=14_04.xlsx&amp;sheet=U0&amp;row=825&amp;col=6&amp;number=3.1&amp;sourceID=14","3.1")</f>
        <v>3.1</v>
      </c>
      <c r="G825" s="4" t="str">
        <f>HYPERLINK("http://141.218.60.56/~jnz1568/getInfo.php?workbook=14_04.xlsx&amp;sheet=U0&amp;row=825&amp;col=7&amp;number=0.0146&amp;sourceID=14","0.0146")</f>
        <v>0.0146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HYPERLINK("http://141.218.60.56/~jnz1568/getInfo.php?workbook=14_04.xlsx&amp;sheet=U0&amp;row=826&amp;col=6&amp;number=3.2&amp;sourceID=14","3.2")</f>
        <v>3.2</v>
      </c>
      <c r="G826" s="4" t="str">
        <f>HYPERLINK("http://141.218.60.56/~jnz1568/getInfo.php?workbook=14_04.xlsx&amp;sheet=U0&amp;row=826&amp;col=7&amp;number=0.0146&amp;sourceID=14","0.0146")</f>
        <v>0.0146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HYPERLINK("http://141.218.60.56/~jnz1568/getInfo.php?workbook=14_04.xlsx&amp;sheet=U0&amp;row=827&amp;col=6&amp;number=3.3&amp;sourceID=14","3.3")</f>
        <v>3.3</v>
      </c>
      <c r="G827" s="4" t="str">
        <f>HYPERLINK("http://141.218.60.56/~jnz1568/getInfo.php?workbook=14_04.xlsx&amp;sheet=U0&amp;row=827&amp;col=7&amp;number=0.0146&amp;sourceID=14","0.0146")</f>
        <v>0.0146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HYPERLINK("http://141.218.60.56/~jnz1568/getInfo.php?workbook=14_04.xlsx&amp;sheet=U0&amp;row=828&amp;col=6&amp;number=3.4&amp;sourceID=14","3.4")</f>
        <v>3.4</v>
      </c>
      <c r="G828" s="4" t="str">
        <f>HYPERLINK("http://141.218.60.56/~jnz1568/getInfo.php?workbook=14_04.xlsx&amp;sheet=U0&amp;row=828&amp;col=7&amp;number=0.0146&amp;sourceID=14","0.0146")</f>
        <v>0.0146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HYPERLINK("http://141.218.60.56/~jnz1568/getInfo.php?workbook=14_04.xlsx&amp;sheet=U0&amp;row=829&amp;col=6&amp;number=3.5&amp;sourceID=14","3.5")</f>
        <v>3.5</v>
      </c>
      <c r="G829" s="4" t="str">
        <f>HYPERLINK("http://141.218.60.56/~jnz1568/getInfo.php?workbook=14_04.xlsx&amp;sheet=U0&amp;row=829&amp;col=7&amp;number=0.0146&amp;sourceID=14","0.0146")</f>
        <v>0.0146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HYPERLINK("http://141.218.60.56/~jnz1568/getInfo.php?workbook=14_04.xlsx&amp;sheet=U0&amp;row=830&amp;col=6&amp;number=3.6&amp;sourceID=14","3.6")</f>
        <v>3.6</v>
      </c>
      <c r="G830" s="4" t="str">
        <f>HYPERLINK("http://141.218.60.56/~jnz1568/getInfo.php?workbook=14_04.xlsx&amp;sheet=U0&amp;row=830&amp;col=7&amp;number=0.0146&amp;sourceID=14","0.0146")</f>
        <v>0.0146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HYPERLINK("http://141.218.60.56/~jnz1568/getInfo.php?workbook=14_04.xlsx&amp;sheet=U0&amp;row=831&amp;col=6&amp;number=3.7&amp;sourceID=14","3.7")</f>
        <v>3.7</v>
      </c>
      <c r="G831" s="4" t="str">
        <f>HYPERLINK("http://141.218.60.56/~jnz1568/getInfo.php?workbook=14_04.xlsx&amp;sheet=U0&amp;row=831&amp;col=7&amp;number=0.0146&amp;sourceID=14","0.0146")</f>
        <v>0.0146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HYPERLINK("http://141.218.60.56/~jnz1568/getInfo.php?workbook=14_04.xlsx&amp;sheet=U0&amp;row=832&amp;col=6&amp;number=3.8&amp;sourceID=14","3.8")</f>
        <v>3.8</v>
      </c>
      <c r="G832" s="4" t="str">
        <f>HYPERLINK("http://141.218.60.56/~jnz1568/getInfo.php?workbook=14_04.xlsx&amp;sheet=U0&amp;row=832&amp;col=7&amp;number=0.0146&amp;sourceID=14","0.0146")</f>
        <v>0.0146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HYPERLINK("http://141.218.60.56/~jnz1568/getInfo.php?workbook=14_04.xlsx&amp;sheet=U0&amp;row=833&amp;col=6&amp;number=3.9&amp;sourceID=14","3.9")</f>
        <v>3.9</v>
      </c>
      <c r="G833" s="4" t="str">
        <f>HYPERLINK("http://141.218.60.56/~jnz1568/getInfo.php?workbook=14_04.xlsx&amp;sheet=U0&amp;row=833&amp;col=7&amp;number=0.0146&amp;sourceID=14","0.0146")</f>
        <v>0.0146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HYPERLINK("http://141.218.60.56/~jnz1568/getInfo.php?workbook=14_04.xlsx&amp;sheet=U0&amp;row=834&amp;col=6&amp;number=4&amp;sourceID=14","4")</f>
        <v>4</v>
      </c>
      <c r="G834" s="4" t="str">
        <f>HYPERLINK("http://141.218.60.56/~jnz1568/getInfo.php?workbook=14_04.xlsx&amp;sheet=U0&amp;row=834&amp;col=7&amp;number=0.0146&amp;sourceID=14","0.0146")</f>
        <v>0.0146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HYPERLINK("http://141.218.60.56/~jnz1568/getInfo.php?workbook=14_04.xlsx&amp;sheet=U0&amp;row=835&amp;col=6&amp;number=4.1&amp;sourceID=14","4.1")</f>
        <v>4.1</v>
      </c>
      <c r="G835" s="4" t="str">
        <f>HYPERLINK("http://141.218.60.56/~jnz1568/getInfo.php?workbook=14_04.xlsx&amp;sheet=U0&amp;row=835&amp;col=7&amp;number=0.0146&amp;sourceID=14","0.0146")</f>
        <v>0.0146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HYPERLINK("http://141.218.60.56/~jnz1568/getInfo.php?workbook=14_04.xlsx&amp;sheet=U0&amp;row=836&amp;col=6&amp;number=4.2&amp;sourceID=14","4.2")</f>
        <v>4.2</v>
      </c>
      <c r="G836" s="4" t="str">
        <f>HYPERLINK("http://141.218.60.56/~jnz1568/getInfo.php?workbook=14_04.xlsx&amp;sheet=U0&amp;row=836&amp;col=7&amp;number=0.0146&amp;sourceID=14","0.0146")</f>
        <v>0.0146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HYPERLINK("http://141.218.60.56/~jnz1568/getInfo.php?workbook=14_04.xlsx&amp;sheet=U0&amp;row=837&amp;col=6&amp;number=4.3&amp;sourceID=14","4.3")</f>
        <v>4.3</v>
      </c>
      <c r="G837" s="4" t="str">
        <f>HYPERLINK("http://141.218.60.56/~jnz1568/getInfo.php?workbook=14_04.xlsx&amp;sheet=U0&amp;row=837&amp;col=7&amp;number=0.0145&amp;sourceID=14","0.0145")</f>
        <v>0.0145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HYPERLINK("http://141.218.60.56/~jnz1568/getInfo.php?workbook=14_04.xlsx&amp;sheet=U0&amp;row=838&amp;col=6&amp;number=4.4&amp;sourceID=14","4.4")</f>
        <v>4.4</v>
      </c>
      <c r="G838" s="4" t="str">
        <f>HYPERLINK("http://141.218.60.56/~jnz1568/getInfo.php?workbook=14_04.xlsx&amp;sheet=U0&amp;row=838&amp;col=7&amp;number=0.0145&amp;sourceID=14","0.0145")</f>
        <v>0.0145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HYPERLINK("http://141.218.60.56/~jnz1568/getInfo.php?workbook=14_04.xlsx&amp;sheet=U0&amp;row=839&amp;col=6&amp;number=4.5&amp;sourceID=14","4.5")</f>
        <v>4.5</v>
      </c>
      <c r="G839" s="4" t="str">
        <f>HYPERLINK("http://141.218.60.56/~jnz1568/getInfo.php?workbook=14_04.xlsx&amp;sheet=U0&amp;row=839&amp;col=7&amp;number=0.0145&amp;sourceID=14","0.0145")</f>
        <v>0.0145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HYPERLINK("http://141.218.60.56/~jnz1568/getInfo.php?workbook=14_04.xlsx&amp;sheet=U0&amp;row=840&amp;col=6&amp;number=4.6&amp;sourceID=14","4.6")</f>
        <v>4.6</v>
      </c>
      <c r="G840" s="4" t="str">
        <f>HYPERLINK("http://141.218.60.56/~jnz1568/getInfo.php?workbook=14_04.xlsx&amp;sheet=U0&amp;row=840&amp;col=7&amp;number=0.0144&amp;sourceID=14","0.0144")</f>
        <v>0.0144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HYPERLINK("http://141.218.60.56/~jnz1568/getInfo.php?workbook=14_04.xlsx&amp;sheet=U0&amp;row=841&amp;col=6&amp;number=4.7&amp;sourceID=14","4.7")</f>
        <v>4.7</v>
      </c>
      <c r="G841" s="4" t="str">
        <f>HYPERLINK("http://141.218.60.56/~jnz1568/getInfo.php?workbook=14_04.xlsx&amp;sheet=U0&amp;row=841&amp;col=7&amp;number=0.0144&amp;sourceID=14","0.0144")</f>
        <v>0.0144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HYPERLINK("http://141.218.60.56/~jnz1568/getInfo.php?workbook=14_04.xlsx&amp;sheet=U0&amp;row=842&amp;col=6&amp;number=4.8&amp;sourceID=14","4.8")</f>
        <v>4.8</v>
      </c>
      <c r="G842" s="4" t="str">
        <f>HYPERLINK("http://141.218.60.56/~jnz1568/getInfo.php?workbook=14_04.xlsx&amp;sheet=U0&amp;row=842&amp;col=7&amp;number=0.0143&amp;sourceID=14","0.0143")</f>
        <v>0.0143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HYPERLINK("http://141.218.60.56/~jnz1568/getInfo.php?workbook=14_04.xlsx&amp;sheet=U0&amp;row=843&amp;col=6&amp;number=4.9&amp;sourceID=14","4.9")</f>
        <v>4.9</v>
      </c>
      <c r="G843" s="4" t="str">
        <f>HYPERLINK("http://141.218.60.56/~jnz1568/getInfo.php?workbook=14_04.xlsx&amp;sheet=U0&amp;row=843&amp;col=7&amp;number=0.0142&amp;sourceID=14","0.0142")</f>
        <v>0.0142</v>
      </c>
    </row>
    <row r="844" spans="1:7">
      <c r="A844" s="3">
        <v>14</v>
      </c>
      <c r="B844" s="3">
        <v>4</v>
      </c>
      <c r="C844" s="3">
        <v>8</v>
      </c>
      <c r="D844" s="3">
        <v>9</v>
      </c>
      <c r="E844" s="3">
        <v>1</v>
      </c>
      <c r="F844" s="4" t="str">
        <f>HYPERLINK("http://141.218.60.56/~jnz1568/getInfo.php?workbook=14_04.xlsx&amp;sheet=U0&amp;row=844&amp;col=6&amp;number=3&amp;sourceID=14","3")</f>
        <v>3</v>
      </c>
      <c r="G844" s="4" t="str">
        <f>HYPERLINK("http://141.218.60.56/~jnz1568/getInfo.php?workbook=14_04.xlsx&amp;sheet=U0&amp;row=844&amp;col=7&amp;number=0.205&amp;sourceID=14","0.205")</f>
        <v>0.205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HYPERLINK("http://141.218.60.56/~jnz1568/getInfo.php?workbook=14_04.xlsx&amp;sheet=U0&amp;row=845&amp;col=6&amp;number=3.1&amp;sourceID=14","3.1")</f>
        <v>3.1</v>
      </c>
      <c r="G845" s="4" t="str">
        <f>HYPERLINK("http://141.218.60.56/~jnz1568/getInfo.php?workbook=14_04.xlsx&amp;sheet=U0&amp;row=845&amp;col=7&amp;number=0.205&amp;sourceID=14","0.205")</f>
        <v>0.205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HYPERLINK("http://141.218.60.56/~jnz1568/getInfo.php?workbook=14_04.xlsx&amp;sheet=U0&amp;row=846&amp;col=6&amp;number=3.2&amp;sourceID=14","3.2")</f>
        <v>3.2</v>
      </c>
      <c r="G846" s="4" t="str">
        <f>HYPERLINK("http://141.218.60.56/~jnz1568/getInfo.php?workbook=14_04.xlsx&amp;sheet=U0&amp;row=846&amp;col=7&amp;number=0.205&amp;sourceID=14","0.205")</f>
        <v>0.205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HYPERLINK("http://141.218.60.56/~jnz1568/getInfo.php?workbook=14_04.xlsx&amp;sheet=U0&amp;row=847&amp;col=6&amp;number=3.3&amp;sourceID=14","3.3")</f>
        <v>3.3</v>
      </c>
      <c r="G847" s="4" t="str">
        <f>HYPERLINK("http://141.218.60.56/~jnz1568/getInfo.php?workbook=14_04.xlsx&amp;sheet=U0&amp;row=847&amp;col=7&amp;number=0.205&amp;sourceID=14","0.205")</f>
        <v>0.205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HYPERLINK("http://141.218.60.56/~jnz1568/getInfo.php?workbook=14_04.xlsx&amp;sheet=U0&amp;row=848&amp;col=6&amp;number=3.4&amp;sourceID=14","3.4")</f>
        <v>3.4</v>
      </c>
      <c r="G848" s="4" t="str">
        <f>HYPERLINK("http://141.218.60.56/~jnz1568/getInfo.php?workbook=14_04.xlsx&amp;sheet=U0&amp;row=848&amp;col=7&amp;number=0.205&amp;sourceID=14","0.205")</f>
        <v>0.205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HYPERLINK("http://141.218.60.56/~jnz1568/getInfo.php?workbook=14_04.xlsx&amp;sheet=U0&amp;row=849&amp;col=6&amp;number=3.5&amp;sourceID=14","3.5")</f>
        <v>3.5</v>
      </c>
      <c r="G849" s="4" t="str">
        <f>HYPERLINK("http://141.218.60.56/~jnz1568/getInfo.php?workbook=14_04.xlsx&amp;sheet=U0&amp;row=849&amp;col=7&amp;number=0.205&amp;sourceID=14","0.205")</f>
        <v>0.205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HYPERLINK("http://141.218.60.56/~jnz1568/getInfo.php?workbook=14_04.xlsx&amp;sheet=U0&amp;row=850&amp;col=6&amp;number=3.6&amp;sourceID=14","3.6")</f>
        <v>3.6</v>
      </c>
      <c r="G850" s="4" t="str">
        <f>HYPERLINK("http://141.218.60.56/~jnz1568/getInfo.php?workbook=14_04.xlsx&amp;sheet=U0&amp;row=850&amp;col=7&amp;number=0.205&amp;sourceID=14","0.205")</f>
        <v>0.205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HYPERLINK("http://141.218.60.56/~jnz1568/getInfo.php?workbook=14_04.xlsx&amp;sheet=U0&amp;row=851&amp;col=6&amp;number=3.7&amp;sourceID=14","3.7")</f>
        <v>3.7</v>
      </c>
      <c r="G851" s="4" t="str">
        <f>HYPERLINK("http://141.218.60.56/~jnz1568/getInfo.php?workbook=14_04.xlsx&amp;sheet=U0&amp;row=851&amp;col=7&amp;number=0.205&amp;sourceID=14","0.205")</f>
        <v>0.205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HYPERLINK("http://141.218.60.56/~jnz1568/getInfo.php?workbook=14_04.xlsx&amp;sheet=U0&amp;row=852&amp;col=6&amp;number=3.8&amp;sourceID=14","3.8")</f>
        <v>3.8</v>
      </c>
      <c r="G852" s="4" t="str">
        <f>HYPERLINK("http://141.218.60.56/~jnz1568/getInfo.php?workbook=14_04.xlsx&amp;sheet=U0&amp;row=852&amp;col=7&amp;number=0.205&amp;sourceID=14","0.205")</f>
        <v>0.205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HYPERLINK("http://141.218.60.56/~jnz1568/getInfo.php?workbook=14_04.xlsx&amp;sheet=U0&amp;row=853&amp;col=6&amp;number=3.9&amp;sourceID=14","3.9")</f>
        <v>3.9</v>
      </c>
      <c r="G853" s="4" t="str">
        <f>HYPERLINK("http://141.218.60.56/~jnz1568/getInfo.php?workbook=14_04.xlsx&amp;sheet=U0&amp;row=853&amp;col=7&amp;number=0.205&amp;sourceID=14","0.205")</f>
        <v>0.205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HYPERLINK("http://141.218.60.56/~jnz1568/getInfo.php?workbook=14_04.xlsx&amp;sheet=U0&amp;row=854&amp;col=6&amp;number=4&amp;sourceID=14","4")</f>
        <v>4</v>
      </c>
      <c r="G854" s="4" t="str">
        <f>HYPERLINK("http://141.218.60.56/~jnz1568/getInfo.php?workbook=14_04.xlsx&amp;sheet=U0&amp;row=854&amp;col=7&amp;number=0.205&amp;sourceID=14","0.205")</f>
        <v>0.205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HYPERLINK("http://141.218.60.56/~jnz1568/getInfo.php?workbook=14_04.xlsx&amp;sheet=U0&amp;row=855&amp;col=6&amp;number=4.1&amp;sourceID=14","4.1")</f>
        <v>4.1</v>
      </c>
      <c r="G855" s="4" t="str">
        <f>HYPERLINK("http://141.218.60.56/~jnz1568/getInfo.php?workbook=14_04.xlsx&amp;sheet=U0&amp;row=855&amp;col=7&amp;number=0.205&amp;sourceID=14","0.205")</f>
        <v>0.205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HYPERLINK("http://141.218.60.56/~jnz1568/getInfo.php?workbook=14_04.xlsx&amp;sheet=U0&amp;row=856&amp;col=6&amp;number=4.2&amp;sourceID=14","4.2")</f>
        <v>4.2</v>
      </c>
      <c r="G856" s="4" t="str">
        <f>HYPERLINK("http://141.218.60.56/~jnz1568/getInfo.php?workbook=14_04.xlsx&amp;sheet=U0&amp;row=856&amp;col=7&amp;number=0.204&amp;sourceID=14","0.204")</f>
        <v>0.204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HYPERLINK("http://141.218.60.56/~jnz1568/getInfo.php?workbook=14_04.xlsx&amp;sheet=U0&amp;row=857&amp;col=6&amp;number=4.3&amp;sourceID=14","4.3")</f>
        <v>4.3</v>
      </c>
      <c r="G857" s="4" t="str">
        <f>HYPERLINK("http://141.218.60.56/~jnz1568/getInfo.php?workbook=14_04.xlsx&amp;sheet=U0&amp;row=857&amp;col=7&amp;number=0.204&amp;sourceID=14","0.204")</f>
        <v>0.204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HYPERLINK("http://141.218.60.56/~jnz1568/getInfo.php?workbook=14_04.xlsx&amp;sheet=U0&amp;row=858&amp;col=6&amp;number=4.4&amp;sourceID=14","4.4")</f>
        <v>4.4</v>
      </c>
      <c r="G858" s="4" t="str">
        <f>HYPERLINK("http://141.218.60.56/~jnz1568/getInfo.php?workbook=14_04.xlsx&amp;sheet=U0&amp;row=858&amp;col=7&amp;number=0.204&amp;sourceID=14","0.204")</f>
        <v>0.204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HYPERLINK("http://141.218.60.56/~jnz1568/getInfo.php?workbook=14_04.xlsx&amp;sheet=U0&amp;row=859&amp;col=6&amp;number=4.5&amp;sourceID=14","4.5")</f>
        <v>4.5</v>
      </c>
      <c r="G859" s="4" t="str">
        <f>HYPERLINK("http://141.218.60.56/~jnz1568/getInfo.php?workbook=14_04.xlsx&amp;sheet=U0&amp;row=859&amp;col=7&amp;number=0.203&amp;sourceID=14","0.203")</f>
        <v>0.203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HYPERLINK("http://141.218.60.56/~jnz1568/getInfo.php?workbook=14_04.xlsx&amp;sheet=U0&amp;row=860&amp;col=6&amp;number=4.6&amp;sourceID=14","4.6")</f>
        <v>4.6</v>
      </c>
      <c r="G860" s="4" t="str">
        <f>HYPERLINK("http://141.218.60.56/~jnz1568/getInfo.php?workbook=14_04.xlsx&amp;sheet=U0&amp;row=860&amp;col=7&amp;number=0.203&amp;sourceID=14","0.203")</f>
        <v>0.203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HYPERLINK("http://141.218.60.56/~jnz1568/getInfo.php?workbook=14_04.xlsx&amp;sheet=U0&amp;row=861&amp;col=6&amp;number=4.7&amp;sourceID=14","4.7")</f>
        <v>4.7</v>
      </c>
      <c r="G861" s="4" t="str">
        <f>HYPERLINK("http://141.218.60.56/~jnz1568/getInfo.php?workbook=14_04.xlsx&amp;sheet=U0&amp;row=861&amp;col=7&amp;number=0.202&amp;sourceID=14","0.202")</f>
        <v>0.202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HYPERLINK("http://141.218.60.56/~jnz1568/getInfo.php?workbook=14_04.xlsx&amp;sheet=U0&amp;row=862&amp;col=6&amp;number=4.8&amp;sourceID=14","4.8")</f>
        <v>4.8</v>
      </c>
      <c r="G862" s="4" t="str">
        <f>HYPERLINK("http://141.218.60.56/~jnz1568/getInfo.php?workbook=14_04.xlsx&amp;sheet=U0&amp;row=862&amp;col=7&amp;number=0.201&amp;sourceID=14","0.201")</f>
        <v>0.201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HYPERLINK("http://141.218.60.56/~jnz1568/getInfo.php?workbook=14_04.xlsx&amp;sheet=U0&amp;row=863&amp;col=6&amp;number=4.9&amp;sourceID=14","4.9")</f>
        <v>4.9</v>
      </c>
      <c r="G863" s="4" t="str">
        <f>HYPERLINK("http://141.218.60.56/~jnz1568/getInfo.php?workbook=14_04.xlsx&amp;sheet=U0&amp;row=863&amp;col=7&amp;number=0.2&amp;sourceID=14","0.2")</f>
        <v>0.2</v>
      </c>
    </row>
    <row r="864" spans="1:7">
      <c r="A864" s="3">
        <v>14</v>
      </c>
      <c r="B864" s="3">
        <v>4</v>
      </c>
      <c r="C864" s="3">
        <v>8</v>
      </c>
      <c r="D864" s="3">
        <v>10</v>
      </c>
      <c r="E864" s="3">
        <v>1</v>
      </c>
      <c r="F864" s="4" t="str">
        <f>HYPERLINK("http://141.218.60.56/~jnz1568/getInfo.php?workbook=14_04.xlsx&amp;sheet=U0&amp;row=864&amp;col=6&amp;number=3&amp;sourceID=14","3")</f>
        <v>3</v>
      </c>
      <c r="G864" s="4" t="str">
        <f>HYPERLINK("http://141.218.60.56/~jnz1568/getInfo.php?workbook=14_04.xlsx&amp;sheet=U0&amp;row=864&amp;col=7&amp;number=0.0245&amp;sourceID=14","0.0245")</f>
        <v>0.0245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HYPERLINK("http://141.218.60.56/~jnz1568/getInfo.php?workbook=14_04.xlsx&amp;sheet=U0&amp;row=865&amp;col=6&amp;number=3.1&amp;sourceID=14","3.1")</f>
        <v>3.1</v>
      </c>
      <c r="G865" s="4" t="str">
        <f>HYPERLINK("http://141.218.60.56/~jnz1568/getInfo.php?workbook=14_04.xlsx&amp;sheet=U0&amp;row=865&amp;col=7&amp;number=0.0245&amp;sourceID=14","0.0245")</f>
        <v>0.0245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HYPERLINK("http://141.218.60.56/~jnz1568/getInfo.php?workbook=14_04.xlsx&amp;sheet=U0&amp;row=866&amp;col=6&amp;number=3.2&amp;sourceID=14","3.2")</f>
        <v>3.2</v>
      </c>
      <c r="G866" s="4" t="str">
        <f>HYPERLINK("http://141.218.60.56/~jnz1568/getInfo.php?workbook=14_04.xlsx&amp;sheet=U0&amp;row=866&amp;col=7&amp;number=0.0245&amp;sourceID=14","0.0245")</f>
        <v>0.0245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HYPERLINK("http://141.218.60.56/~jnz1568/getInfo.php?workbook=14_04.xlsx&amp;sheet=U0&amp;row=867&amp;col=6&amp;number=3.3&amp;sourceID=14","3.3")</f>
        <v>3.3</v>
      </c>
      <c r="G867" s="4" t="str">
        <f>HYPERLINK("http://141.218.60.56/~jnz1568/getInfo.php?workbook=14_04.xlsx&amp;sheet=U0&amp;row=867&amp;col=7&amp;number=0.0245&amp;sourceID=14","0.0245")</f>
        <v>0.0245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HYPERLINK("http://141.218.60.56/~jnz1568/getInfo.php?workbook=14_04.xlsx&amp;sheet=U0&amp;row=868&amp;col=6&amp;number=3.4&amp;sourceID=14","3.4")</f>
        <v>3.4</v>
      </c>
      <c r="G868" s="4" t="str">
        <f>HYPERLINK("http://141.218.60.56/~jnz1568/getInfo.php?workbook=14_04.xlsx&amp;sheet=U0&amp;row=868&amp;col=7&amp;number=0.0245&amp;sourceID=14","0.0245")</f>
        <v>0.0245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HYPERLINK("http://141.218.60.56/~jnz1568/getInfo.php?workbook=14_04.xlsx&amp;sheet=U0&amp;row=869&amp;col=6&amp;number=3.5&amp;sourceID=14","3.5")</f>
        <v>3.5</v>
      </c>
      <c r="G869" s="4" t="str">
        <f>HYPERLINK("http://141.218.60.56/~jnz1568/getInfo.php?workbook=14_04.xlsx&amp;sheet=U0&amp;row=869&amp;col=7&amp;number=0.0245&amp;sourceID=14","0.0245")</f>
        <v>0.0245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HYPERLINK("http://141.218.60.56/~jnz1568/getInfo.php?workbook=14_04.xlsx&amp;sheet=U0&amp;row=870&amp;col=6&amp;number=3.6&amp;sourceID=14","3.6")</f>
        <v>3.6</v>
      </c>
      <c r="G870" s="4" t="str">
        <f>HYPERLINK("http://141.218.60.56/~jnz1568/getInfo.php?workbook=14_04.xlsx&amp;sheet=U0&amp;row=870&amp;col=7&amp;number=0.0244&amp;sourceID=14","0.0244")</f>
        <v>0.0244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HYPERLINK("http://141.218.60.56/~jnz1568/getInfo.php?workbook=14_04.xlsx&amp;sheet=U0&amp;row=871&amp;col=6&amp;number=3.7&amp;sourceID=14","3.7")</f>
        <v>3.7</v>
      </c>
      <c r="G871" s="4" t="str">
        <f>HYPERLINK("http://141.218.60.56/~jnz1568/getInfo.php?workbook=14_04.xlsx&amp;sheet=U0&amp;row=871&amp;col=7&amp;number=0.0244&amp;sourceID=14","0.0244")</f>
        <v>0.0244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HYPERLINK("http://141.218.60.56/~jnz1568/getInfo.php?workbook=14_04.xlsx&amp;sheet=U0&amp;row=872&amp;col=6&amp;number=3.8&amp;sourceID=14","3.8")</f>
        <v>3.8</v>
      </c>
      <c r="G872" s="4" t="str">
        <f>HYPERLINK("http://141.218.60.56/~jnz1568/getInfo.php?workbook=14_04.xlsx&amp;sheet=U0&amp;row=872&amp;col=7&amp;number=0.0244&amp;sourceID=14","0.0244")</f>
        <v>0.0244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HYPERLINK("http://141.218.60.56/~jnz1568/getInfo.php?workbook=14_04.xlsx&amp;sheet=U0&amp;row=873&amp;col=6&amp;number=3.9&amp;sourceID=14","3.9")</f>
        <v>3.9</v>
      </c>
      <c r="G873" s="4" t="str">
        <f>HYPERLINK("http://141.218.60.56/~jnz1568/getInfo.php?workbook=14_04.xlsx&amp;sheet=U0&amp;row=873&amp;col=7&amp;number=0.0244&amp;sourceID=14","0.0244")</f>
        <v>0.0244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HYPERLINK("http://141.218.60.56/~jnz1568/getInfo.php?workbook=14_04.xlsx&amp;sheet=U0&amp;row=874&amp;col=6&amp;number=4&amp;sourceID=14","4")</f>
        <v>4</v>
      </c>
      <c r="G874" s="4" t="str">
        <f>HYPERLINK("http://141.218.60.56/~jnz1568/getInfo.php?workbook=14_04.xlsx&amp;sheet=U0&amp;row=874&amp;col=7&amp;number=0.0244&amp;sourceID=14","0.0244")</f>
        <v>0.0244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HYPERLINK("http://141.218.60.56/~jnz1568/getInfo.php?workbook=14_04.xlsx&amp;sheet=U0&amp;row=875&amp;col=6&amp;number=4.1&amp;sourceID=14","4.1")</f>
        <v>4.1</v>
      </c>
      <c r="G875" s="4" t="str">
        <f>HYPERLINK("http://141.218.60.56/~jnz1568/getInfo.php?workbook=14_04.xlsx&amp;sheet=U0&amp;row=875&amp;col=7&amp;number=0.0244&amp;sourceID=14","0.0244")</f>
        <v>0.0244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HYPERLINK("http://141.218.60.56/~jnz1568/getInfo.php?workbook=14_04.xlsx&amp;sheet=U0&amp;row=876&amp;col=6&amp;number=4.2&amp;sourceID=14","4.2")</f>
        <v>4.2</v>
      </c>
      <c r="G876" s="4" t="str">
        <f>HYPERLINK("http://141.218.60.56/~jnz1568/getInfo.php?workbook=14_04.xlsx&amp;sheet=U0&amp;row=876&amp;col=7&amp;number=0.0243&amp;sourceID=14","0.0243")</f>
        <v>0.0243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HYPERLINK("http://141.218.60.56/~jnz1568/getInfo.php?workbook=14_04.xlsx&amp;sheet=U0&amp;row=877&amp;col=6&amp;number=4.3&amp;sourceID=14","4.3")</f>
        <v>4.3</v>
      </c>
      <c r="G877" s="4" t="str">
        <f>HYPERLINK("http://141.218.60.56/~jnz1568/getInfo.php?workbook=14_04.xlsx&amp;sheet=U0&amp;row=877&amp;col=7&amp;number=0.0243&amp;sourceID=14","0.0243")</f>
        <v>0.0243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HYPERLINK("http://141.218.60.56/~jnz1568/getInfo.php?workbook=14_04.xlsx&amp;sheet=U0&amp;row=878&amp;col=6&amp;number=4.4&amp;sourceID=14","4.4")</f>
        <v>4.4</v>
      </c>
      <c r="G878" s="4" t="str">
        <f>HYPERLINK("http://141.218.60.56/~jnz1568/getInfo.php?workbook=14_04.xlsx&amp;sheet=U0&amp;row=878&amp;col=7&amp;number=0.0242&amp;sourceID=14","0.0242")</f>
        <v>0.0242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HYPERLINK("http://141.218.60.56/~jnz1568/getInfo.php?workbook=14_04.xlsx&amp;sheet=U0&amp;row=879&amp;col=6&amp;number=4.5&amp;sourceID=14","4.5")</f>
        <v>4.5</v>
      </c>
      <c r="G879" s="4" t="str">
        <f>HYPERLINK("http://141.218.60.56/~jnz1568/getInfo.php?workbook=14_04.xlsx&amp;sheet=U0&amp;row=879&amp;col=7&amp;number=0.0242&amp;sourceID=14","0.0242")</f>
        <v>0.0242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HYPERLINK("http://141.218.60.56/~jnz1568/getInfo.php?workbook=14_04.xlsx&amp;sheet=U0&amp;row=880&amp;col=6&amp;number=4.6&amp;sourceID=14","4.6")</f>
        <v>4.6</v>
      </c>
      <c r="G880" s="4" t="str">
        <f>HYPERLINK("http://141.218.60.56/~jnz1568/getInfo.php?workbook=14_04.xlsx&amp;sheet=U0&amp;row=880&amp;col=7&amp;number=0.0241&amp;sourceID=14","0.0241")</f>
        <v>0.0241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HYPERLINK("http://141.218.60.56/~jnz1568/getInfo.php?workbook=14_04.xlsx&amp;sheet=U0&amp;row=881&amp;col=6&amp;number=4.7&amp;sourceID=14","4.7")</f>
        <v>4.7</v>
      </c>
      <c r="G881" s="4" t="str">
        <f>HYPERLINK("http://141.218.60.56/~jnz1568/getInfo.php?workbook=14_04.xlsx&amp;sheet=U0&amp;row=881&amp;col=7&amp;number=0.024&amp;sourceID=14","0.024")</f>
        <v>0.024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HYPERLINK("http://141.218.60.56/~jnz1568/getInfo.php?workbook=14_04.xlsx&amp;sheet=U0&amp;row=882&amp;col=6&amp;number=4.8&amp;sourceID=14","4.8")</f>
        <v>4.8</v>
      </c>
      <c r="G882" s="4" t="str">
        <f>HYPERLINK("http://141.218.60.56/~jnz1568/getInfo.php?workbook=14_04.xlsx&amp;sheet=U0&amp;row=882&amp;col=7&amp;number=0.0239&amp;sourceID=14","0.0239")</f>
        <v>0.0239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HYPERLINK("http://141.218.60.56/~jnz1568/getInfo.php?workbook=14_04.xlsx&amp;sheet=U0&amp;row=883&amp;col=6&amp;number=4.9&amp;sourceID=14","4.9")</f>
        <v>4.9</v>
      </c>
      <c r="G883" s="4" t="str">
        <f>HYPERLINK("http://141.218.60.56/~jnz1568/getInfo.php?workbook=14_04.xlsx&amp;sheet=U0&amp;row=883&amp;col=7&amp;number=0.0237&amp;sourceID=14","0.0237")</f>
        <v>0.0237</v>
      </c>
    </row>
    <row r="884" spans="1:7">
      <c r="A884" s="3">
        <v>14</v>
      </c>
      <c r="B884" s="3">
        <v>4</v>
      </c>
      <c r="C884" s="3">
        <v>9</v>
      </c>
      <c r="D884" s="3">
        <v>10</v>
      </c>
      <c r="E884" s="3">
        <v>1</v>
      </c>
      <c r="F884" s="4" t="str">
        <f>HYPERLINK("http://141.218.60.56/~jnz1568/getInfo.php?workbook=14_04.xlsx&amp;sheet=U0&amp;row=884&amp;col=6&amp;number=3&amp;sourceID=14","3")</f>
        <v>3</v>
      </c>
      <c r="G884" s="4" t="str">
        <f>HYPERLINK("http://141.218.60.56/~jnz1568/getInfo.php?workbook=14_04.xlsx&amp;sheet=U0&amp;row=884&amp;col=7&amp;number=0.0777&amp;sourceID=14","0.0777")</f>
        <v>0.0777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HYPERLINK("http://141.218.60.56/~jnz1568/getInfo.php?workbook=14_04.xlsx&amp;sheet=U0&amp;row=885&amp;col=6&amp;number=3.1&amp;sourceID=14","3.1")</f>
        <v>3.1</v>
      </c>
      <c r="G885" s="4" t="str">
        <f>HYPERLINK("http://141.218.60.56/~jnz1568/getInfo.php?workbook=14_04.xlsx&amp;sheet=U0&amp;row=885&amp;col=7&amp;number=0.0777&amp;sourceID=14","0.0777")</f>
        <v>0.0777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HYPERLINK("http://141.218.60.56/~jnz1568/getInfo.php?workbook=14_04.xlsx&amp;sheet=U0&amp;row=886&amp;col=6&amp;number=3.2&amp;sourceID=14","3.2")</f>
        <v>3.2</v>
      </c>
      <c r="G886" s="4" t="str">
        <f>HYPERLINK("http://141.218.60.56/~jnz1568/getInfo.php?workbook=14_04.xlsx&amp;sheet=U0&amp;row=886&amp;col=7&amp;number=0.0777&amp;sourceID=14","0.0777")</f>
        <v>0.0777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HYPERLINK("http://141.218.60.56/~jnz1568/getInfo.php?workbook=14_04.xlsx&amp;sheet=U0&amp;row=887&amp;col=6&amp;number=3.3&amp;sourceID=14","3.3")</f>
        <v>3.3</v>
      </c>
      <c r="G887" s="4" t="str">
        <f>HYPERLINK("http://141.218.60.56/~jnz1568/getInfo.php?workbook=14_04.xlsx&amp;sheet=U0&amp;row=887&amp;col=7&amp;number=0.0777&amp;sourceID=14","0.0777")</f>
        <v>0.0777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HYPERLINK("http://141.218.60.56/~jnz1568/getInfo.php?workbook=14_04.xlsx&amp;sheet=U0&amp;row=888&amp;col=6&amp;number=3.4&amp;sourceID=14","3.4")</f>
        <v>3.4</v>
      </c>
      <c r="G888" s="4" t="str">
        <f>HYPERLINK("http://141.218.60.56/~jnz1568/getInfo.php?workbook=14_04.xlsx&amp;sheet=U0&amp;row=888&amp;col=7&amp;number=0.0777&amp;sourceID=14","0.0777")</f>
        <v>0.0777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HYPERLINK("http://141.218.60.56/~jnz1568/getInfo.php?workbook=14_04.xlsx&amp;sheet=U0&amp;row=889&amp;col=6&amp;number=3.5&amp;sourceID=14","3.5")</f>
        <v>3.5</v>
      </c>
      <c r="G889" s="4" t="str">
        <f>HYPERLINK("http://141.218.60.56/~jnz1568/getInfo.php?workbook=14_04.xlsx&amp;sheet=U0&amp;row=889&amp;col=7&amp;number=0.0777&amp;sourceID=14","0.0777")</f>
        <v>0.0777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HYPERLINK("http://141.218.60.56/~jnz1568/getInfo.php?workbook=14_04.xlsx&amp;sheet=U0&amp;row=890&amp;col=6&amp;number=3.6&amp;sourceID=14","3.6")</f>
        <v>3.6</v>
      </c>
      <c r="G890" s="4" t="str">
        <f>HYPERLINK("http://141.218.60.56/~jnz1568/getInfo.php?workbook=14_04.xlsx&amp;sheet=U0&amp;row=890&amp;col=7&amp;number=0.0777&amp;sourceID=14","0.0777")</f>
        <v>0.0777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HYPERLINK("http://141.218.60.56/~jnz1568/getInfo.php?workbook=14_04.xlsx&amp;sheet=U0&amp;row=891&amp;col=6&amp;number=3.7&amp;sourceID=14","3.7")</f>
        <v>3.7</v>
      </c>
      <c r="G891" s="4" t="str">
        <f>HYPERLINK("http://141.218.60.56/~jnz1568/getInfo.php?workbook=14_04.xlsx&amp;sheet=U0&amp;row=891&amp;col=7&amp;number=0.0777&amp;sourceID=14","0.0777")</f>
        <v>0.0777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HYPERLINK("http://141.218.60.56/~jnz1568/getInfo.php?workbook=14_04.xlsx&amp;sheet=U0&amp;row=892&amp;col=6&amp;number=3.8&amp;sourceID=14","3.8")</f>
        <v>3.8</v>
      </c>
      <c r="G892" s="4" t="str">
        <f>HYPERLINK("http://141.218.60.56/~jnz1568/getInfo.php?workbook=14_04.xlsx&amp;sheet=U0&amp;row=892&amp;col=7&amp;number=0.0777&amp;sourceID=14","0.0777")</f>
        <v>0.0777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HYPERLINK("http://141.218.60.56/~jnz1568/getInfo.php?workbook=14_04.xlsx&amp;sheet=U0&amp;row=893&amp;col=6&amp;number=3.9&amp;sourceID=14","3.9")</f>
        <v>3.9</v>
      </c>
      <c r="G893" s="4" t="str">
        <f>HYPERLINK("http://141.218.60.56/~jnz1568/getInfo.php?workbook=14_04.xlsx&amp;sheet=U0&amp;row=893&amp;col=7&amp;number=0.0777&amp;sourceID=14","0.0777")</f>
        <v>0.0777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HYPERLINK("http://141.218.60.56/~jnz1568/getInfo.php?workbook=14_04.xlsx&amp;sheet=U0&amp;row=894&amp;col=6&amp;number=4&amp;sourceID=14","4")</f>
        <v>4</v>
      </c>
      <c r="G894" s="4" t="str">
        <f>HYPERLINK("http://141.218.60.56/~jnz1568/getInfo.php?workbook=14_04.xlsx&amp;sheet=U0&amp;row=894&amp;col=7&amp;number=0.0777&amp;sourceID=14","0.0777")</f>
        <v>0.0777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HYPERLINK("http://141.218.60.56/~jnz1568/getInfo.php?workbook=14_04.xlsx&amp;sheet=U0&amp;row=895&amp;col=6&amp;number=4.1&amp;sourceID=14","4.1")</f>
        <v>4.1</v>
      </c>
      <c r="G895" s="4" t="str">
        <f>HYPERLINK("http://141.218.60.56/~jnz1568/getInfo.php?workbook=14_04.xlsx&amp;sheet=U0&amp;row=895&amp;col=7&amp;number=0.0777&amp;sourceID=14","0.0777")</f>
        <v>0.0777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HYPERLINK("http://141.218.60.56/~jnz1568/getInfo.php?workbook=14_04.xlsx&amp;sheet=U0&amp;row=896&amp;col=6&amp;number=4.2&amp;sourceID=14","4.2")</f>
        <v>4.2</v>
      </c>
      <c r="G896" s="4" t="str">
        <f>HYPERLINK("http://141.218.60.56/~jnz1568/getInfo.php?workbook=14_04.xlsx&amp;sheet=U0&amp;row=896&amp;col=7&amp;number=0.0777&amp;sourceID=14","0.0777")</f>
        <v>0.0777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HYPERLINK("http://141.218.60.56/~jnz1568/getInfo.php?workbook=14_04.xlsx&amp;sheet=U0&amp;row=897&amp;col=6&amp;number=4.3&amp;sourceID=14","4.3")</f>
        <v>4.3</v>
      </c>
      <c r="G897" s="4" t="str">
        <f>HYPERLINK("http://141.218.60.56/~jnz1568/getInfo.php?workbook=14_04.xlsx&amp;sheet=U0&amp;row=897&amp;col=7&amp;number=0.0777&amp;sourceID=14","0.0777")</f>
        <v>0.0777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HYPERLINK("http://141.218.60.56/~jnz1568/getInfo.php?workbook=14_04.xlsx&amp;sheet=U0&amp;row=898&amp;col=6&amp;number=4.4&amp;sourceID=14","4.4")</f>
        <v>4.4</v>
      </c>
      <c r="G898" s="4" t="str">
        <f>HYPERLINK("http://141.218.60.56/~jnz1568/getInfo.php?workbook=14_04.xlsx&amp;sheet=U0&amp;row=898&amp;col=7&amp;number=0.0778&amp;sourceID=14","0.0778")</f>
        <v>0.0778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HYPERLINK("http://141.218.60.56/~jnz1568/getInfo.php?workbook=14_04.xlsx&amp;sheet=U0&amp;row=899&amp;col=6&amp;number=4.5&amp;sourceID=14","4.5")</f>
        <v>4.5</v>
      </c>
      <c r="G899" s="4" t="str">
        <f>HYPERLINK("http://141.218.60.56/~jnz1568/getInfo.php?workbook=14_04.xlsx&amp;sheet=U0&amp;row=899&amp;col=7&amp;number=0.0778&amp;sourceID=14","0.0778")</f>
        <v>0.0778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HYPERLINK("http://141.218.60.56/~jnz1568/getInfo.php?workbook=14_04.xlsx&amp;sheet=U0&amp;row=900&amp;col=6&amp;number=4.6&amp;sourceID=14","4.6")</f>
        <v>4.6</v>
      </c>
      <c r="G900" s="4" t="str">
        <f>HYPERLINK("http://141.218.60.56/~jnz1568/getInfo.php?workbook=14_04.xlsx&amp;sheet=U0&amp;row=900&amp;col=7&amp;number=0.0778&amp;sourceID=14","0.0778")</f>
        <v>0.0778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HYPERLINK("http://141.218.60.56/~jnz1568/getInfo.php?workbook=14_04.xlsx&amp;sheet=U0&amp;row=901&amp;col=6&amp;number=4.7&amp;sourceID=14","4.7")</f>
        <v>4.7</v>
      </c>
      <c r="G901" s="4" t="str">
        <f>HYPERLINK("http://141.218.60.56/~jnz1568/getInfo.php?workbook=14_04.xlsx&amp;sheet=U0&amp;row=901&amp;col=7&amp;number=0.0779&amp;sourceID=14","0.0779")</f>
        <v>0.0779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HYPERLINK("http://141.218.60.56/~jnz1568/getInfo.php?workbook=14_04.xlsx&amp;sheet=U0&amp;row=902&amp;col=6&amp;number=4.8&amp;sourceID=14","4.8")</f>
        <v>4.8</v>
      </c>
      <c r="G902" s="4" t="str">
        <f>HYPERLINK("http://141.218.60.56/~jnz1568/getInfo.php?workbook=14_04.xlsx&amp;sheet=U0&amp;row=902&amp;col=7&amp;number=0.0779&amp;sourceID=14","0.0779")</f>
        <v>0.0779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HYPERLINK("http://141.218.60.56/~jnz1568/getInfo.php?workbook=14_04.xlsx&amp;sheet=U0&amp;row=903&amp;col=6&amp;number=4.9&amp;sourceID=14","4.9")</f>
        <v>4.9</v>
      </c>
      <c r="G903" s="4" t="str">
        <f>HYPERLINK("http://141.218.60.56/~jnz1568/getInfo.php?workbook=14_04.xlsx&amp;sheet=U0&amp;row=903&amp;col=7&amp;number=0.078&amp;sourceID=14","0.078")</f>
        <v>0.078</v>
      </c>
    </row>
    <row r="904" spans="1:7">
      <c r="A904" s="3">
        <v>14</v>
      </c>
      <c r="B904" s="3">
        <v>4</v>
      </c>
      <c r="C904" s="3">
        <v>1</v>
      </c>
      <c r="D904" s="3">
        <v>11</v>
      </c>
      <c r="E904" s="3">
        <v>1</v>
      </c>
      <c r="F904" s="4" t="str">
        <f>HYPERLINK("http://141.218.60.56/~jnz1568/getInfo.php?workbook=14_04.xlsx&amp;sheet=U0&amp;row=904&amp;col=6&amp;number=3&amp;sourceID=14","3")</f>
        <v>3</v>
      </c>
      <c r="G904" s="4" t="str">
        <f>HYPERLINK("http://141.218.60.56/~jnz1568/getInfo.php?workbook=14_04.xlsx&amp;sheet=U0&amp;row=904&amp;col=7&amp;number=0.00532&amp;sourceID=14","0.00532")</f>
        <v>0.00532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HYPERLINK("http://141.218.60.56/~jnz1568/getInfo.php?workbook=14_04.xlsx&amp;sheet=U0&amp;row=905&amp;col=6&amp;number=3.1&amp;sourceID=14","3.1")</f>
        <v>3.1</v>
      </c>
      <c r="G905" s="4" t="str">
        <f>HYPERLINK("http://141.218.60.56/~jnz1568/getInfo.php?workbook=14_04.xlsx&amp;sheet=U0&amp;row=905&amp;col=7&amp;number=0.00532&amp;sourceID=14","0.00532")</f>
        <v>0.00532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HYPERLINK("http://141.218.60.56/~jnz1568/getInfo.php?workbook=14_04.xlsx&amp;sheet=U0&amp;row=906&amp;col=6&amp;number=3.2&amp;sourceID=14","3.2")</f>
        <v>3.2</v>
      </c>
      <c r="G906" s="4" t="str">
        <f>HYPERLINK("http://141.218.60.56/~jnz1568/getInfo.php?workbook=14_04.xlsx&amp;sheet=U0&amp;row=906&amp;col=7&amp;number=0.00532&amp;sourceID=14","0.00532")</f>
        <v>0.00532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HYPERLINK("http://141.218.60.56/~jnz1568/getInfo.php?workbook=14_04.xlsx&amp;sheet=U0&amp;row=907&amp;col=6&amp;number=3.3&amp;sourceID=14","3.3")</f>
        <v>3.3</v>
      </c>
      <c r="G907" s="4" t="str">
        <f>HYPERLINK("http://141.218.60.56/~jnz1568/getInfo.php?workbook=14_04.xlsx&amp;sheet=U0&amp;row=907&amp;col=7&amp;number=0.00531&amp;sourceID=14","0.00531")</f>
        <v>0.00531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HYPERLINK("http://141.218.60.56/~jnz1568/getInfo.php?workbook=14_04.xlsx&amp;sheet=U0&amp;row=908&amp;col=6&amp;number=3.4&amp;sourceID=14","3.4")</f>
        <v>3.4</v>
      </c>
      <c r="G908" s="4" t="str">
        <f>HYPERLINK("http://141.218.60.56/~jnz1568/getInfo.php?workbook=14_04.xlsx&amp;sheet=U0&amp;row=908&amp;col=7&amp;number=0.00531&amp;sourceID=14","0.00531")</f>
        <v>0.00531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HYPERLINK("http://141.218.60.56/~jnz1568/getInfo.php?workbook=14_04.xlsx&amp;sheet=U0&amp;row=909&amp;col=6&amp;number=3.5&amp;sourceID=14","3.5")</f>
        <v>3.5</v>
      </c>
      <c r="G909" s="4" t="str">
        <f>HYPERLINK("http://141.218.60.56/~jnz1568/getInfo.php?workbook=14_04.xlsx&amp;sheet=U0&amp;row=909&amp;col=7&amp;number=0.00531&amp;sourceID=14","0.00531")</f>
        <v>0.00531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HYPERLINK("http://141.218.60.56/~jnz1568/getInfo.php?workbook=14_04.xlsx&amp;sheet=U0&amp;row=910&amp;col=6&amp;number=3.6&amp;sourceID=14","3.6")</f>
        <v>3.6</v>
      </c>
      <c r="G910" s="4" t="str">
        <f>HYPERLINK("http://141.218.60.56/~jnz1568/getInfo.php?workbook=14_04.xlsx&amp;sheet=U0&amp;row=910&amp;col=7&amp;number=0.00531&amp;sourceID=14","0.00531")</f>
        <v>0.00531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HYPERLINK("http://141.218.60.56/~jnz1568/getInfo.php?workbook=14_04.xlsx&amp;sheet=U0&amp;row=911&amp;col=6&amp;number=3.7&amp;sourceID=14","3.7")</f>
        <v>3.7</v>
      </c>
      <c r="G911" s="4" t="str">
        <f>HYPERLINK("http://141.218.60.56/~jnz1568/getInfo.php?workbook=14_04.xlsx&amp;sheet=U0&amp;row=911&amp;col=7&amp;number=0.00531&amp;sourceID=14","0.00531")</f>
        <v>0.00531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HYPERLINK("http://141.218.60.56/~jnz1568/getInfo.php?workbook=14_04.xlsx&amp;sheet=U0&amp;row=912&amp;col=6&amp;number=3.8&amp;sourceID=14","3.8")</f>
        <v>3.8</v>
      </c>
      <c r="G912" s="4" t="str">
        <f>HYPERLINK("http://141.218.60.56/~jnz1568/getInfo.php?workbook=14_04.xlsx&amp;sheet=U0&amp;row=912&amp;col=7&amp;number=0.00531&amp;sourceID=14","0.00531")</f>
        <v>0.00531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HYPERLINK("http://141.218.60.56/~jnz1568/getInfo.php?workbook=14_04.xlsx&amp;sheet=U0&amp;row=913&amp;col=6&amp;number=3.9&amp;sourceID=14","3.9")</f>
        <v>3.9</v>
      </c>
      <c r="G913" s="4" t="str">
        <f>HYPERLINK("http://141.218.60.56/~jnz1568/getInfo.php?workbook=14_04.xlsx&amp;sheet=U0&amp;row=913&amp;col=7&amp;number=0.0053&amp;sourceID=14","0.0053")</f>
        <v>0.0053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HYPERLINK("http://141.218.60.56/~jnz1568/getInfo.php?workbook=14_04.xlsx&amp;sheet=U0&amp;row=914&amp;col=6&amp;number=4&amp;sourceID=14","4")</f>
        <v>4</v>
      </c>
      <c r="G914" s="4" t="str">
        <f>HYPERLINK("http://141.218.60.56/~jnz1568/getInfo.php?workbook=14_04.xlsx&amp;sheet=U0&amp;row=914&amp;col=7&amp;number=0.0053&amp;sourceID=14","0.0053")</f>
        <v>0.0053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HYPERLINK("http://141.218.60.56/~jnz1568/getInfo.php?workbook=14_04.xlsx&amp;sheet=U0&amp;row=915&amp;col=6&amp;number=4.1&amp;sourceID=14","4.1")</f>
        <v>4.1</v>
      </c>
      <c r="G915" s="4" t="str">
        <f>HYPERLINK("http://141.218.60.56/~jnz1568/getInfo.php?workbook=14_04.xlsx&amp;sheet=U0&amp;row=915&amp;col=7&amp;number=0.0053&amp;sourceID=14","0.0053")</f>
        <v>0.0053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HYPERLINK("http://141.218.60.56/~jnz1568/getInfo.php?workbook=14_04.xlsx&amp;sheet=U0&amp;row=916&amp;col=6&amp;number=4.2&amp;sourceID=14","4.2")</f>
        <v>4.2</v>
      </c>
      <c r="G916" s="4" t="str">
        <f>HYPERLINK("http://141.218.60.56/~jnz1568/getInfo.php?workbook=14_04.xlsx&amp;sheet=U0&amp;row=916&amp;col=7&amp;number=0.00529&amp;sourceID=14","0.00529")</f>
        <v>0.00529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HYPERLINK("http://141.218.60.56/~jnz1568/getInfo.php?workbook=14_04.xlsx&amp;sheet=U0&amp;row=917&amp;col=6&amp;number=4.3&amp;sourceID=14","4.3")</f>
        <v>4.3</v>
      </c>
      <c r="G917" s="4" t="str">
        <f>HYPERLINK("http://141.218.60.56/~jnz1568/getInfo.php?workbook=14_04.xlsx&amp;sheet=U0&amp;row=917&amp;col=7&amp;number=0.00528&amp;sourceID=14","0.00528")</f>
        <v>0.00528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HYPERLINK("http://141.218.60.56/~jnz1568/getInfo.php?workbook=14_04.xlsx&amp;sheet=U0&amp;row=918&amp;col=6&amp;number=4.4&amp;sourceID=14","4.4")</f>
        <v>4.4</v>
      </c>
      <c r="G918" s="4" t="str">
        <f>HYPERLINK("http://141.218.60.56/~jnz1568/getInfo.php?workbook=14_04.xlsx&amp;sheet=U0&amp;row=918&amp;col=7&amp;number=0.00527&amp;sourceID=14","0.00527")</f>
        <v>0.00527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HYPERLINK("http://141.218.60.56/~jnz1568/getInfo.php?workbook=14_04.xlsx&amp;sheet=U0&amp;row=919&amp;col=6&amp;number=4.5&amp;sourceID=14","4.5")</f>
        <v>4.5</v>
      </c>
      <c r="G919" s="4" t="str">
        <f>HYPERLINK("http://141.218.60.56/~jnz1568/getInfo.php?workbook=14_04.xlsx&amp;sheet=U0&amp;row=919&amp;col=7&amp;number=0.00526&amp;sourceID=14","0.00526")</f>
        <v>0.00526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HYPERLINK("http://141.218.60.56/~jnz1568/getInfo.php?workbook=14_04.xlsx&amp;sheet=U0&amp;row=920&amp;col=6&amp;number=4.6&amp;sourceID=14","4.6")</f>
        <v>4.6</v>
      </c>
      <c r="G920" s="4" t="str">
        <f>HYPERLINK("http://141.218.60.56/~jnz1568/getInfo.php?workbook=14_04.xlsx&amp;sheet=U0&amp;row=920&amp;col=7&amp;number=0.00525&amp;sourceID=14","0.00525")</f>
        <v>0.00525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HYPERLINK("http://141.218.60.56/~jnz1568/getInfo.php?workbook=14_04.xlsx&amp;sheet=U0&amp;row=921&amp;col=6&amp;number=4.7&amp;sourceID=14","4.7")</f>
        <v>4.7</v>
      </c>
      <c r="G921" s="4" t="str">
        <f>HYPERLINK("http://141.218.60.56/~jnz1568/getInfo.php?workbook=14_04.xlsx&amp;sheet=U0&amp;row=921&amp;col=7&amp;number=0.00523&amp;sourceID=14","0.00523")</f>
        <v>0.00523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HYPERLINK("http://141.218.60.56/~jnz1568/getInfo.php?workbook=14_04.xlsx&amp;sheet=U0&amp;row=922&amp;col=6&amp;number=4.8&amp;sourceID=14","4.8")</f>
        <v>4.8</v>
      </c>
      <c r="G922" s="4" t="str">
        <f>HYPERLINK("http://141.218.60.56/~jnz1568/getInfo.php?workbook=14_04.xlsx&amp;sheet=U0&amp;row=922&amp;col=7&amp;number=0.00521&amp;sourceID=14","0.00521")</f>
        <v>0.00521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HYPERLINK("http://141.218.60.56/~jnz1568/getInfo.php?workbook=14_04.xlsx&amp;sheet=U0&amp;row=923&amp;col=6&amp;number=4.9&amp;sourceID=14","4.9")</f>
        <v>4.9</v>
      </c>
      <c r="G923" s="4" t="str">
        <f>HYPERLINK("http://141.218.60.56/~jnz1568/getInfo.php?workbook=14_04.xlsx&amp;sheet=U0&amp;row=923&amp;col=7&amp;number=0.00518&amp;sourceID=14","0.00518")</f>
        <v>0.00518</v>
      </c>
    </row>
    <row r="924" spans="1:7">
      <c r="A924" s="3">
        <v>14</v>
      </c>
      <c r="B924" s="3">
        <v>4</v>
      </c>
      <c r="C924" s="3">
        <v>1</v>
      </c>
      <c r="D924" s="3">
        <v>12</v>
      </c>
      <c r="E924" s="3">
        <v>1</v>
      </c>
      <c r="F924" s="4" t="str">
        <f>HYPERLINK("http://141.218.60.56/~jnz1568/getInfo.php?workbook=14_04.xlsx&amp;sheet=U0&amp;row=924&amp;col=6&amp;number=3&amp;sourceID=14","3")</f>
        <v>3</v>
      </c>
      <c r="G924" s="4" t="str">
        <f>HYPERLINK("http://141.218.60.56/~jnz1568/getInfo.php?workbook=14_04.xlsx&amp;sheet=U0&amp;row=924&amp;col=7&amp;number=0.0473&amp;sourceID=14","0.0473")</f>
        <v>0.0473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HYPERLINK("http://141.218.60.56/~jnz1568/getInfo.php?workbook=14_04.xlsx&amp;sheet=U0&amp;row=925&amp;col=6&amp;number=3.1&amp;sourceID=14","3.1")</f>
        <v>3.1</v>
      </c>
      <c r="G925" s="4" t="str">
        <f>HYPERLINK("http://141.218.60.56/~jnz1568/getInfo.php?workbook=14_04.xlsx&amp;sheet=U0&amp;row=925&amp;col=7&amp;number=0.0473&amp;sourceID=14","0.0473")</f>
        <v>0.0473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HYPERLINK("http://141.218.60.56/~jnz1568/getInfo.php?workbook=14_04.xlsx&amp;sheet=U0&amp;row=926&amp;col=6&amp;number=3.2&amp;sourceID=14","3.2")</f>
        <v>3.2</v>
      </c>
      <c r="G926" s="4" t="str">
        <f>HYPERLINK("http://141.218.60.56/~jnz1568/getInfo.php?workbook=14_04.xlsx&amp;sheet=U0&amp;row=926&amp;col=7&amp;number=0.0473&amp;sourceID=14","0.0473")</f>
        <v>0.0473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HYPERLINK("http://141.218.60.56/~jnz1568/getInfo.php?workbook=14_04.xlsx&amp;sheet=U0&amp;row=927&amp;col=6&amp;number=3.3&amp;sourceID=14","3.3")</f>
        <v>3.3</v>
      </c>
      <c r="G927" s="4" t="str">
        <f>HYPERLINK("http://141.218.60.56/~jnz1568/getInfo.php?workbook=14_04.xlsx&amp;sheet=U0&amp;row=927&amp;col=7&amp;number=0.0473&amp;sourceID=14","0.0473")</f>
        <v>0.0473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HYPERLINK("http://141.218.60.56/~jnz1568/getInfo.php?workbook=14_04.xlsx&amp;sheet=U0&amp;row=928&amp;col=6&amp;number=3.4&amp;sourceID=14","3.4")</f>
        <v>3.4</v>
      </c>
      <c r="G928" s="4" t="str">
        <f>HYPERLINK("http://141.218.60.56/~jnz1568/getInfo.php?workbook=14_04.xlsx&amp;sheet=U0&amp;row=928&amp;col=7&amp;number=0.0473&amp;sourceID=14","0.0473")</f>
        <v>0.0473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HYPERLINK("http://141.218.60.56/~jnz1568/getInfo.php?workbook=14_04.xlsx&amp;sheet=U0&amp;row=929&amp;col=6&amp;number=3.5&amp;sourceID=14","3.5")</f>
        <v>3.5</v>
      </c>
      <c r="G929" s="4" t="str">
        <f>HYPERLINK("http://141.218.60.56/~jnz1568/getInfo.php?workbook=14_04.xlsx&amp;sheet=U0&amp;row=929&amp;col=7&amp;number=0.0473&amp;sourceID=14","0.0473")</f>
        <v>0.0473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HYPERLINK("http://141.218.60.56/~jnz1568/getInfo.php?workbook=14_04.xlsx&amp;sheet=U0&amp;row=930&amp;col=6&amp;number=3.6&amp;sourceID=14","3.6")</f>
        <v>3.6</v>
      </c>
      <c r="G930" s="4" t="str">
        <f>HYPERLINK("http://141.218.60.56/~jnz1568/getInfo.php?workbook=14_04.xlsx&amp;sheet=U0&amp;row=930&amp;col=7&amp;number=0.0473&amp;sourceID=14","0.0473")</f>
        <v>0.0473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HYPERLINK("http://141.218.60.56/~jnz1568/getInfo.php?workbook=14_04.xlsx&amp;sheet=U0&amp;row=931&amp;col=6&amp;number=3.7&amp;sourceID=14","3.7")</f>
        <v>3.7</v>
      </c>
      <c r="G931" s="4" t="str">
        <f>HYPERLINK("http://141.218.60.56/~jnz1568/getInfo.php?workbook=14_04.xlsx&amp;sheet=U0&amp;row=931&amp;col=7&amp;number=0.0473&amp;sourceID=14","0.0473")</f>
        <v>0.0473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HYPERLINK("http://141.218.60.56/~jnz1568/getInfo.php?workbook=14_04.xlsx&amp;sheet=U0&amp;row=932&amp;col=6&amp;number=3.8&amp;sourceID=14","3.8")</f>
        <v>3.8</v>
      </c>
      <c r="G932" s="4" t="str">
        <f>HYPERLINK("http://141.218.60.56/~jnz1568/getInfo.php?workbook=14_04.xlsx&amp;sheet=U0&amp;row=932&amp;col=7&amp;number=0.0473&amp;sourceID=14","0.0473")</f>
        <v>0.0473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HYPERLINK("http://141.218.60.56/~jnz1568/getInfo.php?workbook=14_04.xlsx&amp;sheet=U0&amp;row=933&amp;col=6&amp;number=3.9&amp;sourceID=14","3.9")</f>
        <v>3.9</v>
      </c>
      <c r="G933" s="4" t="str">
        <f>HYPERLINK("http://141.218.60.56/~jnz1568/getInfo.php?workbook=14_04.xlsx&amp;sheet=U0&amp;row=933&amp;col=7&amp;number=0.0473&amp;sourceID=14","0.0473")</f>
        <v>0.0473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HYPERLINK("http://141.218.60.56/~jnz1568/getInfo.php?workbook=14_04.xlsx&amp;sheet=U0&amp;row=934&amp;col=6&amp;number=4&amp;sourceID=14","4")</f>
        <v>4</v>
      </c>
      <c r="G934" s="4" t="str">
        <f>HYPERLINK("http://141.218.60.56/~jnz1568/getInfo.php?workbook=14_04.xlsx&amp;sheet=U0&amp;row=934&amp;col=7&amp;number=0.0473&amp;sourceID=14","0.0473")</f>
        <v>0.0473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HYPERLINK("http://141.218.60.56/~jnz1568/getInfo.php?workbook=14_04.xlsx&amp;sheet=U0&amp;row=935&amp;col=6&amp;number=4.1&amp;sourceID=14","4.1")</f>
        <v>4.1</v>
      </c>
      <c r="G935" s="4" t="str">
        <f>HYPERLINK("http://141.218.60.56/~jnz1568/getInfo.php?workbook=14_04.xlsx&amp;sheet=U0&amp;row=935&amp;col=7&amp;number=0.0473&amp;sourceID=14","0.0473")</f>
        <v>0.0473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HYPERLINK("http://141.218.60.56/~jnz1568/getInfo.php?workbook=14_04.xlsx&amp;sheet=U0&amp;row=936&amp;col=6&amp;number=4.2&amp;sourceID=14","4.2")</f>
        <v>4.2</v>
      </c>
      <c r="G936" s="4" t="str">
        <f>HYPERLINK("http://141.218.60.56/~jnz1568/getInfo.php?workbook=14_04.xlsx&amp;sheet=U0&amp;row=936&amp;col=7&amp;number=0.0473&amp;sourceID=14","0.0473")</f>
        <v>0.0473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HYPERLINK("http://141.218.60.56/~jnz1568/getInfo.php?workbook=14_04.xlsx&amp;sheet=U0&amp;row=937&amp;col=6&amp;number=4.3&amp;sourceID=14","4.3")</f>
        <v>4.3</v>
      </c>
      <c r="G937" s="4" t="str">
        <f>HYPERLINK("http://141.218.60.56/~jnz1568/getInfo.php?workbook=14_04.xlsx&amp;sheet=U0&amp;row=937&amp;col=7&amp;number=0.0473&amp;sourceID=14","0.0473")</f>
        <v>0.0473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HYPERLINK("http://141.218.60.56/~jnz1568/getInfo.php?workbook=14_04.xlsx&amp;sheet=U0&amp;row=938&amp;col=6&amp;number=4.4&amp;sourceID=14","4.4")</f>
        <v>4.4</v>
      </c>
      <c r="G938" s="4" t="str">
        <f>HYPERLINK("http://141.218.60.56/~jnz1568/getInfo.php?workbook=14_04.xlsx&amp;sheet=U0&amp;row=938&amp;col=7&amp;number=0.0473&amp;sourceID=14","0.0473")</f>
        <v>0.0473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HYPERLINK("http://141.218.60.56/~jnz1568/getInfo.php?workbook=14_04.xlsx&amp;sheet=U0&amp;row=939&amp;col=6&amp;number=4.5&amp;sourceID=14","4.5")</f>
        <v>4.5</v>
      </c>
      <c r="G939" s="4" t="str">
        <f>HYPERLINK("http://141.218.60.56/~jnz1568/getInfo.php?workbook=14_04.xlsx&amp;sheet=U0&amp;row=939&amp;col=7&amp;number=0.0474&amp;sourceID=14","0.0474")</f>
        <v>0.0474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HYPERLINK("http://141.218.60.56/~jnz1568/getInfo.php?workbook=14_04.xlsx&amp;sheet=U0&amp;row=940&amp;col=6&amp;number=4.6&amp;sourceID=14","4.6")</f>
        <v>4.6</v>
      </c>
      <c r="G940" s="4" t="str">
        <f>HYPERLINK("http://141.218.60.56/~jnz1568/getInfo.php?workbook=14_04.xlsx&amp;sheet=U0&amp;row=940&amp;col=7&amp;number=0.0474&amp;sourceID=14","0.0474")</f>
        <v>0.0474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HYPERLINK("http://141.218.60.56/~jnz1568/getInfo.php?workbook=14_04.xlsx&amp;sheet=U0&amp;row=941&amp;col=6&amp;number=4.7&amp;sourceID=14","4.7")</f>
        <v>4.7</v>
      </c>
      <c r="G941" s="4" t="str">
        <f>HYPERLINK("http://141.218.60.56/~jnz1568/getInfo.php?workbook=14_04.xlsx&amp;sheet=U0&amp;row=941&amp;col=7&amp;number=0.0474&amp;sourceID=14","0.0474")</f>
        <v>0.0474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HYPERLINK("http://141.218.60.56/~jnz1568/getInfo.php?workbook=14_04.xlsx&amp;sheet=U0&amp;row=942&amp;col=6&amp;number=4.8&amp;sourceID=14","4.8")</f>
        <v>4.8</v>
      </c>
      <c r="G942" s="4" t="str">
        <f>HYPERLINK("http://141.218.60.56/~jnz1568/getInfo.php?workbook=14_04.xlsx&amp;sheet=U0&amp;row=942&amp;col=7&amp;number=0.0474&amp;sourceID=14","0.0474")</f>
        <v>0.0474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HYPERLINK("http://141.218.60.56/~jnz1568/getInfo.php?workbook=14_04.xlsx&amp;sheet=U0&amp;row=943&amp;col=6&amp;number=4.9&amp;sourceID=14","4.9")</f>
        <v>4.9</v>
      </c>
      <c r="G943" s="4" t="str">
        <f>HYPERLINK("http://141.218.60.56/~jnz1568/getInfo.php?workbook=14_04.xlsx&amp;sheet=U0&amp;row=943&amp;col=7&amp;number=0.0475&amp;sourceID=14","0.0475")</f>
        <v>0.0475</v>
      </c>
    </row>
    <row r="944" spans="1:7">
      <c r="A944" s="3">
        <v>14</v>
      </c>
      <c r="B944" s="3">
        <v>4</v>
      </c>
      <c r="C944" s="3">
        <v>1</v>
      </c>
      <c r="D944" s="3">
        <v>13</v>
      </c>
      <c r="E944" s="3">
        <v>1</v>
      </c>
      <c r="F944" s="4" t="str">
        <f>HYPERLINK("http://141.218.60.56/~jnz1568/getInfo.php?workbook=14_04.xlsx&amp;sheet=U0&amp;row=944&amp;col=6&amp;number=3&amp;sourceID=14","3")</f>
        <v>3</v>
      </c>
      <c r="G944" s="4" t="str">
        <f>HYPERLINK("http://141.218.60.56/~jnz1568/getInfo.php?workbook=14_04.xlsx&amp;sheet=U0&amp;row=944&amp;col=7&amp;number=0.0121&amp;sourceID=14","0.0121")</f>
        <v>0.0121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HYPERLINK("http://141.218.60.56/~jnz1568/getInfo.php?workbook=14_04.xlsx&amp;sheet=U0&amp;row=945&amp;col=6&amp;number=3.1&amp;sourceID=14","3.1")</f>
        <v>3.1</v>
      </c>
      <c r="G945" s="4" t="str">
        <f>HYPERLINK("http://141.218.60.56/~jnz1568/getInfo.php?workbook=14_04.xlsx&amp;sheet=U0&amp;row=945&amp;col=7&amp;number=0.0121&amp;sourceID=14","0.0121")</f>
        <v>0.0121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HYPERLINK("http://141.218.60.56/~jnz1568/getInfo.php?workbook=14_04.xlsx&amp;sheet=U0&amp;row=946&amp;col=6&amp;number=3.2&amp;sourceID=14","3.2")</f>
        <v>3.2</v>
      </c>
      <c r="G946" s="4" t="str">
        <f>HYPERLINK("http://141.218.60.56/~jnz1568/getInfo.php?workbook=14_04.xlsx&amp;sheet=U0&amp;row=946&amp;col=7&amp;number=0.0121&amp;sourceID=14","0.0121")</f>
        <v>0.0121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HYPERLINK("http://141.218.60.56/~jnz1568/getInfo.php?workbook=14_04.xlsx&amp;sheet=U0&amp;row=947&amp;col=6&amp;number=3.3&amp;sourceID=14","3.3")</f>
        <v>3.3</v>
      </c>
      <c r="G947" s="4" t="str">
        <f>HYPERLINK("http://141.218.60.56/~jnz1568/getInfo.php?workbook=14_04.xlsx&amp;sheet=U0&amp;row=947&amp;col=7&amp;number=0.0121&amp;sourceID=14","0.0121")</f>
        <v>0.0121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HYPERLINK("http://141.218.60.56/~jnz1568/getInfo.php?workbook=14_04.xlsx&amp;sheet=U0&amp;row=948&amp;col=6&amp;number=3.4&amp;sourceID=14","3.4")</f>
        <v>3.4</v>
      </c>
      <c r="G948" s="4" t="str">
        <f>HYPERLINK("http://141.218.60.56/~jnz1568/getInfo.php?workbook=14_04.xlsx&amp;sheet=U0&amp;row=948&amp;col=7&amp;number=0.0121&amp;sourceID=14","0.0121")</f>
        <v>0.0121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HYPERLINK("http://141.218.60.56/~jnz1568/getInfo.php?workbook=14_04.xlsx&amp;sheet=U0&amp;row=949&amp;col=6&amp;number=3.5&amp;sourceID=14","3.5")</f>
        <v>3.5</v>
      </c>
      <c r="G949" s="4" t="str">
        <f>HYPERLINK("http://141.218.60.56/~jnz1568/getInfo.php?workbook=14_04.xlsx&amp;sheet=U0&amp;row=949&amp;col=7&amp;number=0.0121&amp;sourceID=14","0.0121")</f>
        <v>0.0121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HYPERLINK("http://141.218.60.56/~jnz1568/getInfo.php?workbook=14_04.xlsx&amp;sheet=U0&amp;row=950&amp;col=6&amp;number=3.6&amp;sourceID=14","3.6")</f>
        <v>3.6</v>
      </c>
      <c r="G950" s="4" t="str">
        <f>HYPERLINK("http://141.218.60.56/~jnz1568/getInfo.php?workbook=14_04.xlsx&amp;sheet=U0&amp;row=950&amp;col=7&amp;number=0.0121&amp;sourceID=14","0.0121")</f>
        <v>0.0121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HYPERLINK("http://141.218.60.56/~jnz1568/getInfo.php?workbook=14_04.xlsx&amp;sheet=U0&amp;row=951&amp;col=6&amp;number=3.7&amp;sourceID=14","3.7")</f>
        <v>3.7</v>
      </c>
      <c r="G951" s="4" t="str">
        <f>HYPERLINK("http://141.218.60.56/~jnz1568/getInfo.php?workbook=14_04.xlsx&amp;sheet=U0&amp;row=951&amp;col=7&amp;number=0.0121&amp;sourceID=14","0.0121")</f>
        <v>0.0121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HYPERLINK("http://141.218.60.56/~jnz1568/getInfo.php?workbook=14_04.xlsx&amp;sheet=U0&amp;row=952&amp;col=6&amp;number=3.8&amp;sourceID=14","3.8")</f>
        <v>3.8</v>
      </c>
      <c r="G952" s="4" t="str">
        <f>HYPERLINK("http://141.218.60.56/~jnz1568/getInfo.php?workbook=14_04.xlsx&amp;sheet=U0&amp;row=952&amp;col=7&amp;number=0.0122&amp;sourceID=14","0.0122")</f>
        <v>0.0122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HYPERLINK("http://141.218.60.56/~jnz1568/getInfo.php?workbook=14_04.xlsx&amp;sheet=U0&amp;row=953&amp;col=6&amp;number=3.9&amp;sourceID=14","3.9")</f>
        <v>3.9</v>
      </c>
      <c r="G953" s="4" t="str">
        <f>HYPERLINK("http://141.218.60.56/~jnz1568/getInfo.php?workbook=14_04.xlsx&amp;sheet=U0&amp;row=953&amp;col=7&amp;number=0.0122&amp;sourceID=14","0.0122")</f>
        <v>0.0122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HYPERLINK("http://141.218.60.56/~jnz1568/getInfo.php?workbook=14_04.xlsx&amp;sheet=U0&amp;row=954&amp;col=6&amp;number=4&amp;sourceID=14","4")</f>
        <v>4</v>
      </c>
      <c r="G954" s="4" t="str">
        <f>HYPERLINK("http://141.218.60.56/~jnz1568/getInfo.php?workbook=14_04.xlsx&amp;sheet=U0&amp;row=954&amp;col=7&amp;number=0.0122&amp;sourceID=14","0.0122")</f>
        <v>0.0122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HYPERLINK("http://141.218.60.56/~jnz1568/getInfo.php?workbook=14_04.xlsx&amp;sheet=U0&amp;row=955&amp;col=6&amp;number=4.1&amp;sourceID=14","4.1")</f>
        <v>4.1</v>
      </c>
      <c r="G955" s="4" t="str">
        <f>HYPERLINK("http://141.218.60.56/~jnz1568/getInfo.php?workbook=14_04.xlsx&amp;sheet=U0&amp;row=955&amp;col=7&amp;number=0.0122&amp;sourceID=14","0.0122")</f>
        <v>0.0122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HYPERLINK("http://141.218.60.56/~jnz1568/getInfo.php?workbook=14_04.xlsx&amp;sheet=U0&amp;row=956&amp;col=6&amp;number=4.2&amp;sourceID=14","4.2")</f>
        <v>4.2</v>
      </c>
      <c r="G956" s="4" t="str">
        <f>HYPERLINK("http://141.218.60.56/~jnz1568/getInfo.php?workbook=14_04.xlsx&amp;sheet=U0&amp;row=956&amp;col=7&amp;number=0.0123&amp;sourceID=14","0.0123")</f>
        <v>0.0123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HYPERLINK("http://141.218.60.56/~jnz1568/getInfo.php?workbook=14_04.xlsx&amp;sheet=U0&amp;row=957&amp;col=6&amp;number=4.3&amp;sourceID=14","4.3")</f>
        <v>4.3</v>
      </c>
      <c r="G957" s="4" t="str">
        <f>HYPERLINK("http://141.218.60.56/~jnz1568/getInfo.php?workbook=14_04.xlsx&amp;sheet=U0&amp;row=957&amp;col=7&amp;number=0.0123&amp;sourceID=14","0.0123")</f>
        <v>0.0123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HYPERLINK("http://141.218.60.56/~jnz1568/getInfo.php?workbook=14_04.xlsx&amp;sheet=U0&amp;row=958&amp;col=6&amp;number=4.4&amp;sourceID=14","4.4")</f>
        <v>4.4</v>
      </c>
      <c r="G958" s="4" t="str">
        <f>HYPERLINK("http://141.218.60.56/~jnz1568/getInfo.php?workbook=14_04.xlsx&amp;sheet=U0&amp;row=958&amp;col=7&amp;number=0.0124&amp;sourceID=14","0.0124")</f>
        <v>0.0124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HYPERLINK("http://141.218.60.56/~jnz1568/getInfo.php?workbook=14_04.xlsx&amp;sheet=U0&amp;row=959&amp;col=6&amp;number=4.5&amp;sourceID=14","4.5")</f>
        <v>4.5</v>
      </c>
      <c r="G959" s="4" t="str">
        <f>HYPERLINK("http://141.218.60.56/~jnz1568/getInfo.php?workbook=14_04.xlsx&amp;sheet=U0&amp;row=959&amp;col=7&amp;number=0.0124&amp;sourceID=14","0.0124")</f>
        <v>0.0124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HYPERLINK("http://141.218.60.56/~jnz1568/getInfo.php?workbook=14_04.xlsx&amp;sheet=U0&amp;row=960&amp;col=6&amp;number=4.6&amp;sourceID=14","4.6")</f>
        <v>4.6</v>
      </c>
      <c r="G960" s="4" t="str">
        <f>HYPERLINK("http://141.218.60.56/~jnz1568/getInfo.php?workbook=14_04.xlsx&amp;sheet=U0&amp;row=960&amp;col=7&amp;number=0.0125&amp;sourceID=14","0.0125")</f>
        <v>0.0125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HYPERLINK("http://141.218.60.56/~jnz1568/getInfo.php?workbook=14_04.xlsx&amp;sheet=U0&amp;row=961&amp;col=6&amp;number=4.7&amp;sourceID=14","4.7")</f>
        <v>4.7</v>
      </c>
      <c r="G961" s="4" t="str">
        <f>HYPERLINK("http://141.218.60.56/~jnz1568/getInfo.php?workbook=14_04.xlsx&amp;sheet=U0&amp;row=961&amp;col=7&amp;number=0.0127&amp;sourceID=14","0.0127")</f>
        <v>0.0127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HYPERLINK("http://141.218.60.56/~jnz1568/getInfo.php?workbook=14_04.xlsx&amp;sheet=U0&amp;row=962&amp;col=6&amp;number=4.8&amp;sourceID=14","4.8")</f>
        <v>4.8</v>
      </c>
      <c r="G962" s="4" t="str">
        <f>HYPERLINK("http://141.218.60.56/~jnz1568/getInfo.php?workbook=14_04.xlsx&amp;sheet=U0&amp;row=962&amp;col=7&amp;number=0.0128&amp;sourceID=14","0.0128")</f>
        <v>0.0128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HYPERLINK("http://141.218.60.56/~jnz1568/getInfo.php?workbook=14_04.xlsx&amp;sheet=U0&amp;row=963&amp;col=6&amp;number=4.9&amp;sourceID=14","4.9")</f>
        <v>4.9</v>
      </c>
      <c r="G963" s="4" t="str">
        <f>HYPERLINK("http://141.218.60.56/~jnz1568/getInfo.php?workbook=14_04.xlsx&amp;sheet=U0&amp;row=963&amp;col=7&amp;number=0.013&amp;sourceID=14","0.013")</f>
        <v>0.013</v>
      </c>
    </row>
    <row r="964" spans="1:7">
      <c r="A964" s="3">
        <v>14</v>
      </c>
      <c r="B964" s="3">
        <v>4</v>
      </c>
      <c r="C964" s="3">
        <v>1</v>
      </c>
      <c r="D964" s="3">
        <v>14</v>
      </c>
      <c r="E964" s="3">
        <v>1</v>
      </c>
      <c r="F964" s="4" t="str">
        <f>HYPERLINK("http://141.218.60.56/~jnz1568/getInfo.php?workbook=14_04.xlsx&amp;sheet=U0&amp;row=964&amp;col=6&amp;number=3&amp;sourceID=14","3")</f>
        <v>3</v>
      </c>
      <c r="G964" s="4" t="str">
        <f>HYPERLINK("http://141.218.60.56/~jnz1568/getInfo.php?workbook=14_04.xlsx&amp;sheet=U0&amp;row=964&amp;col=7&amp;number=0.00154&amp;sourceID=14","0.00154")</f>
        <v>0.00154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HYPERLINK("http://141.218.60.56/~jnz1568/getInfo.php?workbook=14_04.xlsx&amp;sheet=U0&amp;row=965&amp;col=6&amp;number=3.1&amp;sourceID=14","3.1")</f>
        <v>3.1</v>
      </c>
      <c r="G965" s="4" t="str">
        <f>HYPERLINK("http://141.218.60.56/~jnz1568/getInfo.php?workbook=14_04.xlsx&amp;sheet=U0&amp;row=965&amp;col=7&amp;number=0.00154&amp;sourceID=14","0.00154")</f>
        <v>0.00154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HYPERLINK("http://141.218.60.56/~jnz1568/getInfo.php?workbook=14_04.xlsx&amp;sheet=U0&amp;row=966&amp;col=6&amp;number=3.2&amp;sourceID=14","3.2")</f>
        <v>3.2</v>
      </c>
      <c r="G966" s="4" t="str">
        <f>HYPERLINK("http://141.218.60.56/~jnz1568/getInfo.php?workbook=14_04.xlsx&amp;sheet=U0&amp;row=966&amp;col=7&amp;number=0.00154&amp;sourceID=14","0.00154")</f>
        <v>0.00154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HYPERLINK("http://141.218.60.56/~jnz1568/getInfo.php?workbook=14_04.xlsx&amp;sheet=U0&amp;row=967&amp;col=6&amp;number=3.3&amp;sourceID=14","3.3")</f>
        <v>3.3</v>
      </c>
      <c r="G967" s="4" t="str">
        <f>HYPERLINK("http://141.218.60.56/~jnz1568/getInfo.php?workbook=14_04.xlsx&amp;sheet=U0&amp;row=967&amp;col=7&amp;number=0.00154&amp;sourceID=14","0.00154")</f>
        <v>0.00154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HYPERLINK("http://141.218.60.56/~jnz1568/getInfo.php?workbook=14_04.xlsx&amp;sheet=U0&amp;row=968&amp;col=6&amp;number=3.4&amp;sourceID=14","3.4")</f>
        <v>3.4</v>
      </c>
      <c r="G968" s="4" t="str">
        <f>HYPERLINK("http://141.218.60.56/~jnz1568/getInfo.php?workbook=14_04.xlsx&amp;sheet=U0&amp;row=968&amp;col=7&amp;number=0.00154&amp;sourceID=14","0.00154")</f>
        <v>0.00154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HYPERLINK("http://141.218.60.56/~jnz1568/getInfo.php?workbook=14_04.xlsx&amp;sheet=U0&amp;row=969&amp;col=6&amp;number=3.5&amp;sourceID=14","3.5")</f>
        <v>3.5</v>
      </c>
      <c r="G969" s="4" t="str">
        <f>HYPERLINK("http://141.218.60.56/~jnz1568/getInfo.php?workbook=14_04.xlsx&amp;sheet=U0&amp;row=969&amp;col=7&amp;number=0.00154&amp;sourceID=14","0.00154")</f>
        <v>0.00154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HYPERLINK("http://141.218.60.56/~jnz1568/getInfo.php?workbook=14_04.xlsx&amp;sheet=U0&amp;row=970&amp;col=6&amp;number=3.6&amp;sourceID=14","3.6")</f>
        <v>3.6</v>
      </c>
      <c r="G970" s="4" t="str">
        <f>HYPERLINK("http://141.218.60.56/~jnz1568/getInfo.php?workbook=14_04.xlsx&amp;sheet=U0&amp;row=970&amp;col=7&amp;number=0.00154&amp;sourceID=14","0.00154")</f>
        <v>0.00154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HYPERLINK("http://141.218.60.56/~jnz1568/getInfo.php?workbook=14_04.xlsx&amp;sheet=U0&amp;row=971&amp;col=6&amp;number=3.7&amp;sourceID=14","3.7")</f>
        <v>3.7</v>
      </c>
      <c r="G971" s="4" t="str">
        <f>HYPERLINK("http://141.218.60.56/~jnz1568/getInfo.php?workbook=14_04.xlsx&amp;sheet=U0&amp;row=971&amp;col=7&amp;number=0.00154&amp;sourceID=14","0.00154")</f>
        <v>0.00154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HYPERLINK("http://141.218.60.56/~jnz1568/getInfo.php?workbook=14_04.xlsx&amp;sheet=U0&amp;row=972&amp;col=6&amp;number=3.8&amp;sourceID=14","3.8")</f>
        <v>3.8</v>
      </c>
      <c r="G972" s="4" t="str">
        <f>HYPERLINK("http://141.218.60.56/~jnz1568/getInfo.php?workbook=14_04.xlsx&amp;sheet=U0&amp;row=972&amp;col=7&amp;number=0.00154&amp;sourceID=14","0.00154")</f>
        <v>0.00154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HYPERLINK("http://141.218.60.56/~jnz1568/getInfo.php?workbook=14_04.xlsx&amp;sheet=U0&amp;row=973&amp;col=6&amp;number=3.9&amp;sourceID=14","3.9")</f>
        <v>3.9</v>
      </c>
      <c r="G973" s="4" t="str">
        <f>HYPERLINK("http://141.218.60.56/~jnz1568/getInfo.php?workbook=14_04.xlsx&amp;sheet=U0&amp;row=973&amp;col=7&amp;number=0.00154&amp;sourceID=14","0.00154")</f>
        <v>0.00154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HYPERLINK("http://141.218.60.56/~jnz1568/getInfo.php?workbook=14_04.xlsx&amp;sheet=U0&amp;row=974&amp;col=6&amp;number=4&amp;sourceID=14","4")</f>
        <v>4</v>
      </c>
      <c r="G974" s="4" t="str">
        <f>HYPERLINK("http://141.218.60.56/~jnz1568/getInfo.php?workbook=14_04.xlsx&amp;sheet=U0&amp;row=974&amp;col=7&amp;number=0.00154&amp;sourceID=14","0.00154")</f>
        <v>0.00154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HYPERLINK("http://141.218.60.56/~jnz1568/getInfo.php?workbook=14_04.xlsx&amp;sheet=U0&amp;row=975&amp;col=6&amp;number=4.1&amp;sourceID=14","4.1")</f>
        <v>4.1</v>
      </c>
      <c r="G975" s="4" t="str">
        <f>HYPERLINK("http://141.218.60.56/~jnz1568/getInfo.php?workbook=14_04.xlsx&amp;sheet=U0&amp;row=975&amp;col=7&amp;number=0.00153&amp;sourceID=14","0.00153")</f>
        <v>0.00153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HYPERLINK("http://141.218.60.56/~jnz1568/getInfo.php?workbook=14_04.xlsx&amp;sheet=U0&amp;row=976&amp;col=6&amp;number=4.2&amp;sourceID=14","4.2")</f>
        <v>4.2</v>
      </c>
      <c r="G976" s="4" t="str">
        <f>HYPERLINK("http://141.218.60.56/~jnz1568/getInfo.php?workbook=14_04.xlsx&amp;sheet=U0&amp;row=976&amp;col=7&amp;number=0.00153&amp;sourceID=14","0.00153")</f>
        <v>0.00153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HYPERLINK("http://141.218.60.56/~jnz1568/getInfo.php?workbook=14_04.xlsx&amp;sheet=U0&amp;row=977&amp;col=6&amp;number=4.3&amp;sourceID=14","4.3")</f>
        <v>4.3</v>
      </c>
      <c r="G977" s="4" t="str">
        <f>HYPERLINK("http://141.218.60.56/~jnz1568/getInfo.php?workbook=14_04.xlsx&amp;sheet=U0&amp;row=977&amp;col=7&amp;number=0.00153&amp;sourceID=14","0.00153")</f>
        <v>0.00153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HYPERLINK("http://141.218.60.56/~jnz1568/getInfo.php?workbook=14_04.xlsx&amp;sheet=U0&amp;row=978&amp;col=6&amp;number=4.4&amp;sourceID=14","4.4")</f>
        <v>4.4</v>
      </c>
      <c r="G978" s="4" t="str">
        <f>HYPERLINK("http://141.218.60.56/~jnz1568/getInfo.php?workbook=14_04.xlsx&amp;sheet=U0&amp;row=978&amp;col=7&amp;number=0.00153&amp;sourceID=14","0.00153")</f>
        <v>0.00153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HYPERLINK("http://141.218.60.56/~jnz1568/getInfo.php?workbook=14_04.xlsx&amp;sheet=U0&amp;row=979&amp;col=6&amp;number=4.5&amp;sourceID=14","4.5")</f>
        <v>4.5</v>
      </c>
      <c r="G979" s="4" t="str">
        <f>HYPERLINK("http://141.218.60.56/~jnz1568/getInfo.php?workbook=14_04.xlsx&amp;sheet=U0&amp;row=979&amp;col=7&amp;number=0.00152&amp;sourceID=14","0.00152")</f>
        <v>0.00152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HYPERLINK("http://141.218.60.56/~jnz1568/getInfo.php?workbook=14_04.xlsx&amp;sheet=U0&amp;row=980&amp;col=6&amp;number=4.6&amp;sourceID=14","4.6")</f>
        <v>4.6</v>
      </c>
      <c r="G980" s="4" t="str">
        <f>HYPERLINK("http://141.218.60.56/~jnz1568/getInfo.php?workbook=14_04.xlsx&amp;sheet=U0&amp;row=980&amp;col=7&amp;number=0.00152&amp;sourceID=14","0.00152")</f>
        <v>0.00152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HYPERLINK("http://141.218.60.56/~jnz1568/getInfo.php?workbook=14_04.xlsx&amp;sheet=U0&amp;row=981&amp;col=6&amp;number=4.7&amp;sourceID=14","4.7")</f>
        <v>4.7</v>
      </c>
      <c r="G981" s="4" t="str">
        <f>HYPERLINK("http://141.218.60.56/~jnz1568/getInfo.php?workbook=14_04.xlsx&amp;sheet=U0&amp;row=981&amp;col=7&amp;number=0.00151&amp;sourceID=14","0.00151")</f>
        <v>0.00151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HYPERLINK("http://141.218.60.56/~jnz1568/getInfo.php?workbook=14_04.xlsx&amp;sheet=U0&amp;row=982&amp;col=6&amp;number=4.8&amp;sourceID=14","4.8")</f>
        <v>4.8</v>
      </c>
      <c r="G982" s="4" t="str">
        <f>HYPERLINK("http://141.218.60.56/~jnz1568/getInfo.php?workbook=14_04.xlsx&amp;sheet=U0&amp;row=982&amp;col=7&amp;number=0.00151&amp;sourceID=14","0.00151")</f>
        <v>0.00151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HYPERLINK("http://141.218.60.56/~jnz1568/getInfo.php?workbook=14_04.xlsx&amp;sheet=U0&amp;row=983&amp;col=6&amp;number=4.9&amp;sourceID=14","4.9")</f>
        <v>4.9</v>
      </c>
      <c r="G983" s="4" t="str">
        <f>HYPERLINK("http://141.218.60.56/~jnz1568/getInfo.php?workbook=14_04.xlsx&amp;sheet=U0&amp;row=983&amp;col=7&amp;number=0.0015&amp;sourceID=14","0.0015")</f>
        <v>0.0015</v>
      </c>
    </row>
    <row r="984" spans="1:7">
      <c r="A984" s="3">
        <v>14</v>
      </c>
      <c r="B984" s="3">
        <v>4</v>
      </c>
      <c r="C984" s="3">
        <v>1</v>
      </c>
      <c r="D984" s="3">
        <v>15</v>
      </c>
      <c r="E984" s="3">
        <v>1</v>
      </c>
      <c r="F984" s="4" t="str">
        <f>HYPERLINK("http://141.218.60.56/~jnz1568/getInfo.php?workbook=14_04.xlsx&amp;sheet=U0&amp;row=984&amp;col=6&amp;number=3&amp;sourceID=14","3")</f>
        <v>3</v>
      </c>
      <c r="G984" s="4" t="str">
        <f>HYPERLINK("http://141.218.60.56/~jnz1568/getInfo.php?workbook=14_04.xlsx&amp;sheet=U0&amp;row=984&amp;col=7&amp;number=0.00355&amp;sourceID=14","0.00355")</f>
        <v>0.00355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HYPERLINK("http://141.218.60.56/~jnz1568/getInfo.php?workbook=14_04.xlsx&amp;sheet=U0&amp;row=985&amp;col=6&amp;number=3.1&amp;sourceID=14","3.1")</f>
        <v>3.1</v>
      </c>
      <c r="G985" s="4" t="str">
        <f>HYPERLINK("http://141.218.60.56/~jnz1568/getInfo.php?workbook=14_04.xlsx&amp;sheet=U0&amp;row=985&amp;col=7&amp;number=0.00355&amp;sourceID=14","0.00355")</f>
        <v>0.00355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HYPERLINK("http://141.218.60.56/~jnz1568/getInfo.php?workbook=14_04.xlsx&amp;sheet=U0&amp;row=986&amp;col=6&amp;number=3.2&amp;sourceID=14","3.2")</f>
        <v>3.2</v>
      </c>
      <c r="G986" s="4" t="str">
        <f>HYPERLINK("http://141.218.60.56/~jnz1568/getInfo.php?workbook=14_04.xlsx&amp;sheet=U0&amp;row=986&amp;col=7&amp;number=0.00355&amp;sourceID=14","0.00355")</f>
        <v>0.00355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HYPERLINK("http://141.218.60.56/~jnz1568/getInfo.php?workbook=14_04.xlsx&amp;sheet=U0&amp;row=987&amp;col=6&amp;number=3.3&amp;sourceID=14","3.3")</f>
        <v>3.3</v>
      </c>
      <c r="G987" s="4" t="str">
        <f>HYPERLINK("http://141.218.60.56/~jnz1568/getInfo.php?workbook=14_04.xlsx&amp;sheet=U0&amp;row=987&amp;col=7&amp;number=0.00356&amp;sourceID=14","0.00356")</f>
        <v>0.00356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HYPERLINK("http://141.218.60.56/~jnz1568/getInfo.php?workbook=14_04.xlsx&amp;sheet=U0&amp;row=988&amp;col=6&amp;number=3.4&amp;sourceID=14","3.4")</f>
        <v>3.4</v>
      </c>
      <c r="G988" s="4" t="str">
        <f>HYPERLINK("http://141.218.60.56/~jnz1568/getInfo.php?workbook=14_04.xlsx&amp;sheet=U0&amp;row=988&amp;col=7&amp;number=0.00356&amp;sourceID=14","0.00356")</f>
        <v>0.00356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HYPERLINK("http://141.218.60.56/~jnz1568/getInfo.php?workbook=14_04.xlsx&amp;sheet=U0&amp;row=989&amp;col=6&amp;number=3.5&amp;sourceID=14","3.5")</f>
        <v>3.5</v>
      </c>
      <c r="G989" s="4" t="str">
        <f>HYPERLINK("http://141.218.60.56/~jnz1568/getInfo.php?workbook=14_04.xlsx&amp;sheet=U0&amp;row=989&amp;col=7&amp;number=0.00356&amp;sourceID=14","0.00356")</f>
        <v>0.00356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HYPERLINK("http://141.218.60.56/~jnz1568/getInfo.php?workbook=14_04.xlsx&amp;sheet=U0&amp;row=990&amp;col=6&amp;number=3.6&amp;sourceID=14","3.6")</f>
        <v>3.6</v>
      </c>
      <c r="G990" s="4" t="str">
        <f>HYPERLINK("http://141.218.60.56/~jnz1568/getInfo.php?workbook=14_04.xlsx&amp;sheet=U0&amp;row=990&amp;col=7&amp;number=0.00356&amp;sourceID=14","0.00356")</f>
        <v>0.00356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HYPERLINK("http://141.218.60.56/~jnz1568/getInfo.php?workbook=14_04.xlsx&amp;sheet=U0&amp;row=991&amp;col=6&amp;number=3.7&amp;sourceID=14","3.7")</f>
        <v>3.7</v>
      </c>
      <c r="G991" s="4" t="str">
        <f>HYPERLINK("http://141.218.60.56/~jnz1568/getInfo.php?workbook=14_04.xlsx&amp;sheet=U0&amp;row=991&amp;col=7&amp;number=0.00356&amp;sourceID=14","0.00356")</f>
        <v>0.00356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HYPERLINK("http://141.218.60.56/~jnz1568/getInfo.php?workbook=14_04.xlsx&amp;sheet=U0&amp;row=992&amp;col=6&amp;number=3.8&amp;sourceID=14","3.8")</f>
        <v>3.8</v>
      </c>
      <c r="G992" s="4" t="str">
        <f>HYPERLINK("http://141.218.60.56/~jnz1568/getInfo.php?workbook=14_04.xlsx&amp;sheet=U0&amp;row=992&amp;col=7&amp;number=0.00356&amp;sourceID=14","0.00356")</f>
        <v>0.00356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HYPERLINK("http://141.218.60.56/~jnz1568/getInfo.php?workbook=14_04.xlsx&amp;sheet=U0&amp;row=993&amp;col=6&amp;number=3.9&amp;sourceID=14","3.9")</f>
        <v>3.9</v>
      </c>
      <c r="G993" s="4" t="str">
        <f>HYPERLINK("http://141.218.60.56/~jnz1568/getInfo.php?workbook=14_04.xlsx&amp;sheet=U0&amp;row=993&amp;col=7&amp;number=0.00356&amp;sourceID=14","0.00356")</f>
        <v>0.00356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HYPERLINK("http://141.218.60.56/~jnz1568/getInfo.php?workbook=14_04.xlsx&amp;sheet=U0&amp;row=994&amp;col=6&amp;number=4&amp;sourceID=14","4")</f>
        <v>4</v>
      </c>
      <c r="G994" s="4" t="str">
        <f>HYPERLINK("http://141.218.60.56/~jnz1568/getInfo.php?workbook=14_04.xlsx&amp;sheet=U0&amp;row=994&amp;col=7&amp;number=0.00356&amp;sourceID=14","0.00356")</f>
        <v>0.00356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HYPERLINK("http://141.218.60.56/~jnz1568/getInfo.php?workbook=14_04.xlsx&amp;sheet=U0&amp;row=995&amp;col=6&amp;number=4.1&amp;sourceID=14","4.1")</f>
        <v>4.1</v>
      </c>
      <c r="G995" s="4" t="str">
        <f>HYPERLINK("http://141.218.60.56/~jnz1568/getInfo.php?workbook=14_04.xlsx&amp;sheet=U0&amp;row=995&amp;col=7&amp;number=0.00356&amp;sourceID=14","0.00356")</f>
        <v>0.00356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HYPERLINK("http://141.218.60.56/~jnz1568/getInfo.php?workbook=14_04.xlsx&amp;sheet=U0&amp;row=996&amp;col=6&amp;number=4.2&amp;sourceID=14","4.2")</f>
        <v>4.2</v>
      </c>
      <c r="G996" s="4" t="str">
        <f>HYPERLINK("http://141.218.60.56/~jnz1568/getInfo.php?workbook=14_04.xlsx&amp;sheet=U0&amp;row=996&amp;col=7&amp;number=0.00356&amp;sourceID=14","0.00356")</f>
        <v>0.00356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HYPERLINK("http://141.218.60.56/~jnz1568/getInfo.php?workbook=14_04.xlsx&amp;sheet=U0&amp;row=997&amp;col=6&amp;number=4.3&amp;sourceID=14","4.3")</f>
        <v>4.3</v>
      </c>
      <c r="G997" s="4" t="str">
        <f>HYPERLINK("http://141.218.60.56/~jnz1568/getInfo.php?workbook=14_04.xlsx&amp;sheet=U0&amp;row=997&amp;col=7&amp;number=0.00356&amp;sourceID=14","0.00356")</f>
        <v>0.00356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HYPERLINK("http://141.218.60.56/~jnz1568/getInfo.php?workbook=14_04.xlsx&amp;sheet=U0&amp;row=998&amp;col=6&amp;number=4.4&amp;sourceID=14","4.4")</f>
        <v>4.4</v>
      </c>
      <c r="G998" s="4" t="str">
        <f>HYPERLINK("http://141.218.60.56/~jnz1568/getInfo.php?workbook=14_04.xlsx&amp;sheet=U0&amp;row=998&amp;col=7&amp;number=0.00357&amp;sourceID=14","0.00357")</f>
        <v>0.00357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HYPERLINK("http://141.218.60.56/~jnz1568/getInfo.php?workbook=14_04.xlsx&amp;sheet=U0&amp;row=999&amp;col=6&amp;number=4.5&amp;sourceID=14","4.5")</f>
        <v>4.5</v>
      </c>
      <c r="G999" s="4" t="str">
        <f>HYPERLINK("http://141.218.60.56/~jnz1568/getInfo.php?workbook=14_04.xlsx&amp;sheet=U0&amp;row=999&amp;col=7&amp;number=0.00357&amp;sourceID=14","0.00357")</f>
        <v>0.00357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HYPERLINK("http://141.218.60.56/~jnz1568/getInfo.php?workbook=14_04.xlsx&amp;sheet=U0&amp;row=1000&amp;col=6&amp;number=4.6&amp;sourceID=14","4.6")</f>
        <v>4.6</v>
      </c>
      <c r="G1000" s="4" t="str">
        <f>HYPERLINK("http://141.218.60.56/~jnz1568/getInfo.php?workbook=14_04.xlsx&amp;sheet=U0&amp;row=1000&amp;col=7&amp;number=0.00358&amp;sourceID=14","0.00358")</f>
        <v>0.00358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HYPERLINK("http://141.218.60.56/~jnz1568/getInfo.php?workbook=14_04.xlsx&amp;sheet=U0&amp;row=1001&amp;col=6&amp;number=4.7&amp;sourceID=14","4.7")</f>
        <v>4.7</v>
      </c>
      <c r="G1001" s="4" t="str">
        <f>HYPERLINK("http://141.218.60.56/~jnz1568/getInfo.php?workbook=14_04.xlsx&amp;sheet=U0&amp;row=1001&amp;col=7&amp;number=0.00358&amp;sourceID=14","0.00358")</f>
        <v>0.00358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HYPERLINK("http://141.218.60.56/~jnz1568/getInfo.php?workbook=14_04.xlsx&amp;sheet=U0&amp;row=1002&amp;col=6&amp;number=4.8&amp;sourceID=14","4.8")</f>
        <v>4.8</v>
      </c>
      <c r="G1002" s="4" t="str">
        <f>HYPERLINK("http://141.218.60.56/~jnz1568/getInfo.php?workbook=14_04.xlsx&amp;sheet=U0&amp;row=1002&amp;col=7&amp;number=0.00359&amp;sourceID=14","0.00359")</f>
        <v>0.00359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HYPERLINK("http://141.218.60.56/~jnz1568/getInfo.php?workbook=14_04.xlsx&amp;sheet=U0&amp;row=1003&amp;col=6&amp;number=4.9&amp;sourceID=14","4.9")</f>
        <v>4.9</v>
      </c>
      <c r="G1003" s="4" t="str">
        <f>HYPERLINK("http://141.218.60.56/~jnz1568/getInfo.php?workbook=14_04.xlsx&amp;sheet=U0&amp;row=1003&amp;col=7&amp;number=0.0036&amp;sourceID=14","0.0036")</f>
        <v>0.0036</v>
      </c>
    </row>
    <row r="1004" spans="1:7">
      <c r="A1004" s="3">
        <v>14</v>
      </c>
      <c r="B1004" s="3">
        <v>4</v>
      </c>
      <c r="C1004" s="3">
        <v>1</v>
      </c>
      <c r="D1004" s="3">
        <v>16</v>
      </c>
      <c r="E1004" s="3">
        <v>1</v>
      </c>
      <c r="F1004" s="4" t="str">
        <f>HYPERLINK("http://141.218.60.56/~jnz1568/getInfo.php?workbook=14_04.xlsx&amp;sheet=U0&amp;row=1004&amp;col=6&amp;number=3&amp;sourceID=14","3")</f>
        <v>3</v>
      </c>
      <c r="G1004" s="4" t="str">
        <f>HYPERLINK("http://141.218.60.56/~jnz1568/getInfo.php?workbook=14_04.xlsx&amp;sheet=U0&amp;row=1004&amp;col=7&amp;number=0.00769&amp;sourceID=14","0.00769")</f>
        <v>0.00769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HYPERLINK("http://141.218.60.56/~jnz1568/getInfo.php?workbook=14_04.xlsx&amp;sheet=U0&amp;row=1005&amp;col=6&amp;number=3.1&amp;sourceID=14","3.1")</f>
        <v>3.1</v>
      </c>
      <c r="G1005" s="4" t="str">
        <f>HYPERLINK("http://141.218.60.56/~jnz1568/getInfo.php?workbook=14_04.xlsx&amp;sheet=U0&amp;row=1005&amp;col=7&amp;number=0.00769&amp;sourceID=14","0.00769")</f>
        <v>0.00769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HYPERLINK("http://141.218.60.56/~jnz1568/getInfo.php?workbook=14_04.xlsx&amp;sheet=U0&amp;row=1006&amp;col=6&amp;number=3.2&amp;sourceID=14","3.2")</f>
        <v>3.2</v>
      </c>
      <c r="G1006" s="4" t="str">
        <f>HYPERLINK("http://141.218.60.56/~jnz1568/getInfo.php?workbook=14_04.xlsx&amp;sheet=U0&amp;row=1006&amp;col=7&amp;number=0.00769&amp;sourceID=14","0.00769")</f>
        <v>0.00769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HYPERLINK("http://141.218.60.56/~jnz1568/getInfo.php?workbook=14_04.xlsx&amp;sheet=U0&amp;row=1007&amp;col=6&amp;number=3.3&amp;sourceID=14","3.3")</f>
        <v>3.3</v>
      </c>
      <c r="G1007" s="4" t="str">
        <f>HYPERLINK("http://141.218.60.56/~jnz1568/getInfo.php?workbook=14_04.xlsx&amp;sheet=U0&amp;row=1007&amp;col=7&amp;number=0.00768&amp;sourceID=14","0.00768")</f>
        <v>0.00768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HYPERLINK("http://141.218.60.56/~jnz1568/getInfo.php?workbook=14_04.xlsx&amp;sheet=U0&amp;row=1008&amp;col=6&amp;number=3.4&amp;sourceID=14","3.4")</f>
        <v>3.4</v>
      </c>
      <c r="G1008" s="4" t="str">
        <f>HYPERLINK("http://141.218.60.56/~jnz1568/getInfo.php?workbook=14_04.xlsx&amp;sheet=U0&amp;row=1008&amp;col=7&amp;number=0.00768&amp;sourceID=14","0.00768")</f>
        <v>0.00768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HYPERLINK("http://141.218.60.56/~jnz1568/getInfo.php?workbook=14_04.xlsx&amp;sheet=U0&amp;row=1009&amp;col=6&amp;number=3.5&amp;sourceID=14","3.5")</f>
        <v>3.5</v>
      </c>
      <c r="G1009" s="4" t="str">
        <f>HYPERLINK("http://141.218.60.56/~jnz1568/getInfo.php?workbook=14_04.xlsx&amp;sheet=U0&amp;row=1009&amp;col=7&amp;number=0.00768&amp;sourceID=14","0.00768")</f>
        <v>0.00768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HYPERLINK("http://141.218.60.56/~jnz1568/getInfo.php?workbook=14_04.xlsx&amp;sheet=U0&amp;row=1010&amp;col=6&amp;number=3.6&amp;sourceID=14","3.6")</f>
        <v>3.6</v>
      </c>
      <c r="G1010" s="4" t="str">
        <f>HYPERLINK("http://141.218.60.56/~jnz1568/getInfo.php?workbook=14_04.xlsx&amp;sheet=U0&amp;row=1010&amp;col=7&amp;number=0.00768&amp;sourceID=14","0.00768")</f>
        <v>0.00768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HYPERLINK("http://141.218.60.56/~jnz1568/getInfo.php?workbook=14_04.xlsx&amp;sheet=U0&amp;row=1011&amp;col=6&amp;number=3.7&amp;sourceID=14","3.7")</f>
        <v>3.7</v>
      </c>
      <c r="G1011" s="4" t="str">
        <f>HYPERLINK("http://141.218.60.56/~jnz1568/getInfo.php?workbook=14_04.xlsx&amp;sheet=U0&amp;row=1011&amp;col=7&amp;number=0.00767&amp;sourceID=14","0.00767")</f>
        <v>0.00767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HYPERLINK("http://141.218.60.56/~jnz1568/getInfo.php?workbook=14_04.xlsx&amp;sheet=U0&amp;row=1012&amp;col=6&amp;number=3.8&amp;sourceID=14","3.8")</f>
        <v>3.8</v>
      </c>
      <c r="G1012" s="4" t="str">
        <f>HYPERLINK("http://141.218.60.56/~jnz1568/getInfo.php?workbook=14_04.xlsx&amp;sheet=U0&amp;row=1012&amp;col=7&amp;number=0.00767&amp;sourceID=14","0.00767")</f>
        <v>0.00767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HYPERLINK("http://141.218.60.56/~jnz1568/getInfo.php?workbook=14_04.xlsx&amp;sheet=U0&amp;row=1013&amp;col=6&amp;number=3.9&amp;sourceID=14","3.9")</f>
        <v>3.9</v>
      </c>
      <c r="G1013" s="4" t="str">
        <f>HYPERLINK("http://141.218.60.56/~jnz1568/getInfo.php?workbook=14_04.xlsx&amp;sheet=U0&amp;row=1013&amp;col=7&amp;number=0.00767&amp;sourceID=14","0.00767")</f>
        <v>0.00767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HYPERLINK("http://141.218.60.56/~jnz1568/getInfo.php?workbook=14_04.xlsx&amp;sheet=U0&amp;row=1014&amp;col=6&amp;number=4&amp;sourceID=14","4")</f>
        <v>4</v>
      </c>
      <c r="G1014" s="4" t="str">
        <f>HYPERLINK("http://141.218.60.56/~jnz1568/getInfo.php?workbook=14_04.xlsx&amp;sheet=U0&amp;row=1014&amp;col=7&amp;number=0.00766&amp;sourceID=14","0.00766")</f>
        <v>0.00766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HYPERLINK("http://141.218.60.56/~jnz1568/getInfo.php?workbook=14_04.xlsx&amp;sheet=U0&amp;row=1015&amp;col=6&amp;number=4.1&amp;sourceID=14","4.1")</f>
        <v>4.1</v>
      </c>
      <c r="G1015" s="4" t="str">
        <f>HYPERLINK("http://141.218.60.56/~jnz1568/getInfo.php?workbook=14_04.xlsx&amp;sheet=U0&amp;row=1015&amp;col=7&amp;number=0.00765&amp;sourceID=14","0.00765")</f>
        <v>0.00765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HYPERLINK("http://141.218.60.56/~jnz1568/getInfo.php?workbook=14_04.xlsx&amp;sheet=U0&amp;row=1016&amp;col=6&amp;number=4.2&amp;sourceID=14","4.2")</f>
        <v>4.2</v>
      </c>
      <c r="G1016" s="4" t="str">
        <f>HYPERLINK("http://141.218.60.56/~jnz1568/getInfo.php?workbook=14_04.xlsx&amp;sheet=U0&amp;row=1016&amp;col=7&amp;number=0.00764&amp;sourceID=14","0.00764")</f>
        <v>0.00764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HYPERLINK("http://141.218.60.56/~jnz1568/getInfo.php?workbook=14_04.xlsx&amp;sheet=U0&amp;row=1017&amp;col=6&amp;number=4.3&amp;sourceID=14","4.3")</f>
        <v>4.3</v>
      </c>
      <c r="G1017" s="4" t="str">
        <f>HYPERLINK("http://141.218.60.56/~jnz1568/getInfo.php?workbook=14_04.xlsx&amp;sheet=U0&amp;row=1017&amp;col=7&amp;number=0.00763&amp;sourceID=14","0.00763")</f>
        <v>0.00763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HYPERLINK("http://141.218.60.56/~jnz1568/getInfo.php?workbook=14_04.xlsx&amp;sheet=U0&amp;row=1018&amp;col=6&amp;number=4.4&amp;sourceID=14","4.4")</f>
        <v>4.4</v>
      </c>
      <c r="G1018" s="4" t="str">
        <f>HYPERLINK("http://141.218.60.56/~jnz1568/getInfo.php?workbook=14_04.xlsx&amp;sheet=U0&amp;row=1018&amp;col=7&amp;number=0.00762&amp;sourceID=14","0.00762")</f>
        <v>0.00762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HYPERLINK("http://141.218.60.56/~jnz1568/getInfo.php?workbook=14_04.xlsx&amp;sheet=U0&amp;row=1019&amp;col=6&amp;number=4.5&amp;sourceID=14","4.5")</f>
        <v>4.5</v>
      </c>
      <c r="G1019" s="4" t="str">
        <f>HYPERLINK("http://141.218.60.56/~jnz1568/getInfo.php?workbook=14_04.xlsx&amp;sheet=U0&amp;row=1019&amp;col=7&amp;number=0.0076&amp;sourceID=14","0.0076")</f>
        <v>0.0076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HYPERLINK("http://141.218.60.56/~jnz1568/getInfo.php?workbook=14_04.xlsx&amp;sheet=U0&amp;row=1020&amp;col=6&amp;number=4.6&amp;sourceID=14","4.6")</f>
        <v>4.6</v>
      </c>
      <c r="G1020" s="4" t="str">
        <f>HYPERLINK("http://141.218.60.56/~jnz1568/getInfo.php?workbook=14_04.xlsx&amp;sheet=U0&amp;row=1020&amp;col=7&amp;number=0.00757&amp;sourceID=14","0.00757")</f>
        <v>0.00757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HYPERLINK("http://141.218.60.56/~jnz1568/getInfo.php?workbook=14_04.xlsx&amp;sheet=U0&amp;row=1021&amp;col=6&amp;number=4.7&amp;sourceID=14","4.7")</f>
        <v>4.7</v>
      </c>
      <c r="G1021" s="4" t="str">
        <f>HYPERLINK("http://141.218.60.56/~jnz1568/getInfo.php?workbook=14_04.xlsx&amp;sheet=U0&amp;row=1021&amp;col=7&amp;number=0.00754&amp;sourceID=14","0.00754")</f>
        <v>0.00754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HYPERLINK("http://141.218.60.56/~jnz1568/getInfo.php?workbook=14_04.xlsx&amp;sheet=U0&amp;row=1022&amp;col=6&amp;number=4.8&amp;sourceID=14","4.8")</f>
        <v>4.8</v>
      </c>
      <c r="G1022" s="4" t="str">
        <f>HYPERLINK("http://141.218.60.56/~jnz1568/getInfo.php?workbook=14_04.xlsx&amp;sheet=U0&amp;row=1022&amp;col=7&amp;number=0.0075&amp;sourceID=14","0.0075")</f>
        <v>0.0075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HYPERLINK("http://141.218.60.56/~jnz1568/getInfo.php?workbook=14_04.xlsx&amp;sheet=U0&amp;row=1023&amp;col=6&amp;number=4.9&amp;sourceID=14","4.9")</f>
        <v>4.9</v>
      </c>
      <c r="G1023" s="4" t="str">
        <f>HYPERLINK("http://141.218.60.56/~jnz1568/getInfo.php?workbook=14_04.xlsx&amp;sheet=U0&amp;row=1023&amp;col=7&amp;number=0.00746&amp;sourceID=14","0.00746")</f>
        <v>0.00746</v>
      </c>
    </row>
    <row r="1024" spans="1:7">
      <c r="A1024" s="3">
        <v>14</v>
      </c>
      <c r="B1024" s="3">
        <v>4</v>
      </c>
      <c r="C1024" s="3">
        <v>1</v>
      </c>
      <c r="D1024" s="3">
        <v>17</v>
      </c>
      <c r="E1024" s="3">
        <v>1</v>
      </c>
      <c r="F1024" s="4" t="str">
        <f>HYPERLINK("http://141.218.60.56/~jnz1568/getInfo.php?workbook=14_04.xlsx&amp;sheet=U0&amp;row=1024&amp;col=6&amp;number=3&amp;sourceID=14","3")</f>
        <v>3</v>
      </c>
      <c r="G1024" s="4" t="str">
        <f>HYPERLINK("http://141.218.60.56/~jnz1568/getInfo.php?workbook=14_04.xlsx&amp;sheet=U0&amp;row=1024&amp;col=7&amp;number=0.00505&amp;sourceID=14","0.00505")</f>
        <v>0.00505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HYPERLINK("http://141.218.60.56/~jnz1568/getInfo.php?workbook=14_04.xlsx&amp;sheet=U0&amp;row=1025&amp;col=6&amp;number=3.1&amp;sourceID=14","3.1")</f>
        <v>3.1</v>
      </c>
      <c r="G1025" s="4" t="str">
        <f>HYPERLINK("http://141.218.60.56/~jnz1568/getInfo.php?workbook=14_04.xlsx&amp;sheet=U0&amp;row=1025&amp;col=7&amp;number=0.00505&amp;sourceID=14","0.00505")</f>
        <v>0.00505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HYPERLINK("http://141.218.60.56/~jnz1568/getInfo.php?workbook=14_04.xlsx&amp;sheet=U0&amp;row=1026&amp;col=6&amp;number=3.2&amp;sourceID=14","3.2")</f>
        <v>3.2</v>
      </c>
      <c r="G1026" s="4" t="str">
        <f>HYPERLINK("http://141.218.60.56/~jnz1568/getInfo.php?workbook=14_04.xlsx&amp;sheet=U0&amp;row=1026&amp;col=7&amp;number=0.00505&amp;sourceID=14","0.00505")</f>
        <v>0.00505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HYPERLINK("http://141.218.60.56/~jnz1568/getInfo.php?workbook=14_04.xlsx&amp;sheet=U0&amp;row=1027&amp;col=6&amp;number=3.3&amp;sourceID=14","3.3")</f>
        <v>3.3</v>
      </c>
      <c r="G1027" s="4" t="str">
        <f>HYPERLINK("http://141.218.60.56/~jnz1568/getInfo.php?workbook=14_04.xlsx&amp;sheet=U0&amp;row=1027&amp;col=7&amp;number=0.00505&amp;sourceID=14","0.00505")</f>
        <v>0.00505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HYPERLINK("http://141.218.60.56/~jnz1568/getInfo.php?workbook=14_04.xlsx&amp;sheet=U0&amp;row=1028&amp;col=6&amp;number=3.4&amp;sourceID=14","3.4")</f>
        <v>3.4</v>
      </c>
      <c r="G1028" s="4" t="str">
        <f>HYPERLINK("http://141.218.60.56/~jnz1568/getInfo.php?workbook=14_04.xlsx&amp;sheet=U0&amp;row=1028&amp;col=7&amp;number=0.00505&amp;sourceID=14","0.00505")</f>
        <v>0.00505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HYPERLINK("http://141.218.60.56/~jnz1568/getInfo.php?workbook=14_04.xlsx&amp;sheet=U0&amp;row=1029&amp;col=6&amp;number=3.5&amp;sourceID=14","3.5")</f>
        <v>3.5</v>
      </c>
      <c r="G1029" s="4" t="str">
        <f>HYPERLINK("http://141.218.60.56/~jnz1568/getInfo.php?workbook=14_04.xlsx&amp;sheet=U0&amp;row=1029&amp;col=7&amp;number=0.00505&amp;sourceID=14","0.00505")</f>
        <v>0.00505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HYPERLINK("http://141.218.60.56/~jnz1568/getInfo.php?workbook=14_04.xlsx&amp;sheet=U0&amp;row=1030&amp;col=6&amp;number=3.6&amp;sourceID=14","3.6")</f>
        <v>3.6</v>
      </c>
      <c r="G1030" s="4" t="str">
        <f>HYPERLINK("http://141.218.60.56/~jnz1568/getInfo.php?workbook=14_04.xlsx&amp;sheet=U0&amp;row=1030&amp;col=7&amp;number=0.00505&amp;sourceID=14","0.00505")</f>
        <v>0.00505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HYPERLINK("http://141.218.60.56/~jnz1568/getInfo.php?workbook=14_04.xlsx&amp;sheet=U0&amp;row=1031&amp;col=6&amp;number=3.7&amp;sourceID=14","3.7")</f>
        <v>3.7</v>
      </c>
      <c r="G1031" s="4" t="str">
        <f>HYPERLINK("http://141.218.60.56/~jnz1568/getInfo.php?workbook=14_04.xlsx&amp;sheet=U0&amp;row=1031&amp;col=7&amp;number=0.00505&amp;sourceID=14","0.00505")</f>
        <v>0.00505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HYPERLINK("http://141.218.60.56/~jnz1568/getInfo.php?workbook=14_04.xlsx&amp;sheet=U0&amp;row=1032&amp;col=6&amp;number=3.8&amp;sourceID=14","3.8")</f>
        <v>3.8</v>
      </c>
      <c r="G1032" s="4" t="str">
        <f>HYPERLINK("http://141.218.60.56/~jnz1568/getInfo.php?workbook=14_04.xlsx&amp;sheet=U0&amp;row=1032&amp;col=7&amp;number=0.00505&amp;sourceID=14","0.00505")</f>
        <v>0.00505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HYPERLINK("http://141.218.60.56/~jnz1568/getInfo.php?workbook=14_04.xlsx&amp;sheet=U0&amp;row=1033&amp;col=6&amp;number=3.9&amp;sourceID=14","3.9")</f>
        <v>3.9</v>
      </c>
      <c r="G1033" s="4" t="str">
        <f>HYPERLINK("http://141.218.60.56/~jnz1568/getInfo.php?workbook=14_04.xlsx&amp;sheet=U0&amp;row=1033&amp;col=7&amp;number=0.00505&amp;sourceID=14","0.00505")</f>
        <v>0.00505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HYPERLINK("http://141.218.60.56/~jnz1568/getInfo.php?workbook=14_04.xlsx&amp;sheet=U0&amp;row=1034&amp;col=6&amp;number=4&amp;sourceID=14","4")</f>
        <v>4</v>
      </c>
      <c r="G1034" s="4" t="str">
        <f>HYPERLINK("http://141.218.60.56/~jnz1568/getInfo.php?workbook=14_04.xlsx&amp;sheet=U0&amp;row=1034&amp;col=7&amp;number=0.00504&amp;sourceID=14","0.00504")</f>
        <v>0.00504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HYPERLINK("http://141.218.60.56/~jnz1568/getInfo.php?workbook=14_04.xlsx&amp;sheet=U0&amp;row=1035&amp;col=6&amp;number=4.1&amp;sourceID=14","4.1")</f>
        <v>4.1</v>
      </c>
      <c r="G1035" s="4" t="str">
        <f>HYPERLINK("http://141.218.60.56/~jnz1568/getInfo.php?workbook=14_04.xlsx&amp;sheet=U0&amp;row=1035&amp;col=7&amp;number=0.00504&amp;sourceID=14","0.00504")</f>
        <v>0.00504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HYPERLINK("http://141.218.60.56/~jnz1568/getInfo.php?workbook=14_04.xlsx&amp;sheet=U0&amp;row=1036&amp;col=6&amp;number=4.2&amp;sourceID=14","4.2")</f>
        <v>4.2</v>
      </c>
      <c r="G1036" s="4" t="str">
        <f>HYPERLINK("http://141.218.60.56/~jnz1568/getInfo.php?workbook=14_04.xlsx&amp;sheet=U0&amp;row=1036&amp;col=7&amp;number=0.00504&amp;sourceID=14","0.00504")</f>
        <v>0.00504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HYPERLINK("http://141.218.60.56/~jnz1568/getInfo.php?workbook=14_04.xlsx&amp;sheet=U0&amp;row=1037&amp;col=6&amp;number=4.3&amp;sourceID=14","4.3")</f>
        <v>4.3</v>
      </c>
      <c r="G1037" s="4" t="str">
        <f>HYPERLINK("http://141.218.60.56/~jnz1568/getInfo.php?workbook=14_04.xlsx&amp;sheet=U0&amp;row=1037&amp;col=7&amp;number=0.00504&amp;sourceID=14","0.00504")</f>
        <v>0.00504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HYPERLINK("http://141.218.60.56/~jnz1568/getInfo.php?workbook=14_04.xlsx&amp;sheet=U0&amp;row=1038&amp;col=6&amp;number=4.4&amp;sourceID=14","4.4")</f>
        <v>4.4</v>
      </c>
      <c r="G1038" s="4" t="str">
        <f>HYPERLINK("http://141.218.60.56/~jnz1568/getInfo.php?workbook=14_04.xlsx&amp;sheet=U0&amp;row=1038&amp;col=7&amp;number=0.00503&amp;sourceID=14","0.00503")</f>
        <v>0.00503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HYPERLINK("http://141.218.60.56/~jnz1568/getInfo.php?workbook=14_04.xlsx&amp;sheet=U0&amp;row=1039&amp;col=6&amp;number=4.5&amp;sourceID=14","4.5")</f>
        <v>4.5</v>
      </c>
      <c r="G1039" s="4" t="str">
        <f>HYPERLINK("http://141.218.60.56/~jnz1568/getInfo.php?workbook=14_04.xlsx&amp;sheet=U0&amp;row=1039&amp;col=7&amp;number=0.00503&amp;sourceID=14","0.00503")</f>
        <v>0.00503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HYPERLINK("http://141.218.60.56/~jnz1568/getInfo.php?workbook=14_04.xlsx&amp;sheet=U0&amp;row=1040&amp;col=6&amp;number=4.6&amp;sourceID=14","4.6")</f>
        <v>4.6</v>
      </c>
      <c r="G1040" s="4" t="str">
        <f>HYPERLINK("http://141.218.60.56/~jnz1568/getInfo.php?workbook=14_04.xlsx&amp;sheet=U0&amp;row=1040&amp;col=7&amp;number=0.00502&amp;sourceID=14","0.00502")</f>
        <v>0.00502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HYPERLINK("http://141.218.60.56/~jnz1568/getInfo.php?workbook=14_04.xlsx&amp;sheet=U0&amp;row=1041&amp;col=6&amp;number=4.7&amp;sourceID=14","4.7")</f>
        <v>4.7</v>
      </c>
      <c r="G1041" s="4" t="str">
        <f>HYPERLINK("http://141.218.60.56/~jnz1568/getInfo.php?workbook=14_04.xlsx&amp;sheet=U0&amp;row=1041&amp;col=7&amp;number=0.00501&amp;sourceID=14","0.00501")</f>
        <v>0.00501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HYPERLINK("http://141.218.60.56/~jnz1568/getInfo.php?workbook=14_04.xlsx&amp;sheet=U0&amp;row=1042&amp;col=6&amp;number=4.8&amp;sourceID=14","4.8")</f>
        <v>4.8</v>
      </c>
      <c r="G1042" s="4" t="str">
        <f>HYPERLINK("http://141.218.60.56/~jnz1568/getInfo.php?workbook=14_04.xlsx&amp;sheet=U0&amp;row=1042&amp;col=7&amp;number=0.005&amp;sourceID=14","0.005")</f>
        <v>0.005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HYPERLINK("http://141.218.60.56/~jnz1568/getInfo.php?workbook=14_04.xlsx&amp;sheet=U0&amp;row=1043&amp;col=6&amp;number=4.9&amp;sourceID=14","4.9")</f>
        <v>4.9</v>
      </c>
      <c r="G1043" s="4" t="str">
        <f>HYPERLINK("http://141.218.60.56/~jnz1568/getInfo.php?workbook=14_04.xlsx&amp;sheet=U0&amp;row=1043&amp;col=7&amp;number=0.00499&amp;sourceID=14","0.00499")</f>
        <v>0.00499</v>
      </c>
    </row>
    <row r="1044" spans="1:7">
      <c r="A1044" s="3">
        <v>14</v>
      </c>
      <c r="B1044" s="3">
        <v>4</v>
      </c>
      <c r="C1044" s="3">
        <v>1</v>
      </c>
      <c r="D1044" s="3">
        <v>18</v>
      </c>
      <c r="E1044" s="3">
        <v>1</v>
      </c>
      <c r="F1044" s="4" t="str">
        <f>HYPERLINK("http://141.218.60.56/~jnz1568/getInfo.php?workbook=14_04.xlsx&amp;sheet=U0&amp;row=1044&amp;col=6&amp;number=3&amp;sourceID=14","3")</f>
        <v>3</v>
      </c>
      <c r="G1044" s="4" t="str">
        <f>HYPERLINK("http://141.218.60.56/~jnz1568/getInfo.php?workbook=14_04.xlsx&amp;sheet=U0&amp;row=1044&amp;col=7&amp;number=0.013&amp;sourceID=14","0.013")</f>
        <v>0.013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HYPERLINK("http://141.218.60.56/~jnz1568/getInfo.php?workbook=14_04.xlsx&amp;sheet=U0&amp;row=1045&amp;col=6&amp;number=3.1&amp;sourceID=14","3.1")</f>
        <v>3.1</v>
      </c>
      <c r="G1045" s="4" t="str">
        <f>HYPERLINK("http://141.218.60.56/~jnz1568/getInfo.php?workbook=14_04.xlsx&amp;sheet=U0&amp;row=1045&amp;col=7&amp;number=0.013&amp;sourceID=14","0.013")</f>
        <v>0.013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HYPERLINK("http://141.218.60.56/~jnz1568/getInfo.php?workbook=14_04.xlsx&amp;sheet=U0&amp;row=1046&amp;col=6&amp;number=3.2&amp;sourceID=14","3.2")</f>
        <v>3.2</v>
      </c>
      <c r="G1046" s="4" t="str">
        <f>HYPERLINK("http://141.218.60.56/~jnz1568/getInfo.php?workbook=14_04.xlsx&amp;sheet=U0&amp;row=1046&amp;col=7&amp;number=0.013&amp;sourceID=14","0.013")</f>
        <v>0.013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HYPERLINK("http://141.218.60.56/~jnz1568/getInfo.php?workbook=14_04.xlsx&amp;sheet=U0&amp;row=1047&amp;col=6&amp;number=3.3&amp;sourceID=14","3.3")</f>
        <v>3.3</v>
      </c>
      <c r="G1047" s="4" t="str">
        <f>HYPERLINK("http://141.218.60.56/~jnz1568/getInfo.php?workbook=14_04.xlsx&amp;sheet=U0&amp;row=1047&amp;col=7&amp;number=0.013&amp;sourceID=14","0.013")</f>
        <v>0.013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HYPERLINK("http://141.218.60.56/~jnz1568/getInfo.php?workbook=14_04.xlsx&amp;sheet=U0&amp;row=1048&amp;col=6&amp;number=3.4&amp;sourceID=14","3.4")</f>
        <v>3.4</v>
      </c>
      <c r="G1048" s="4" t="str">
        <f>HYPERLINK("http://141.218.60.56/~jnz1568/getInfo.php?workbook=14_04.xlsx&amp;sheet=U0&amp;row=1048&amp;col=7&amp;number=0.013&amp;sourceID=14","0.013")</f>
        <v>0.013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HYPERLINK("http://141.218.60.56/~jnz1568/getInfo.php?workbook=14_04.xlsx&amp;sheet=U0&amp;row=1049&amp;col=6&amp;number=3.5&amp;sourceID=14","3.5")</f>
        <v>3.5</v>
      </c>
      <c r="G1049" s="4" t="str">
        <f>HYPERLINK("http://141.218.60.56/~jnz1568/getInfo.php?workbook=14_04.xlsx&amp;sheet=U0&amp;row=1049&amp;col=7&amp;number=0.013&amp;sourceID=14","0.013")</f>
        <v>0.013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HYPERLINK("http://141.218.60.56/~jnz1568/getInfo.php?workbook=14_04.xlsx&amp;sheet=U0&amp;row=1050&amp;col=6&amp;number=3.6&amp;sourceID=14","3.6")</f>
        <v>3.6</v>
      </c>
      <c r="G1050" s="4" t="str">
        <f>HYPERLINK("http://141.218.60.56/~jnz1568/getInfo.php?workbook=14_04.xlsx&amp;sheet=U0&amp;row=1050&amp;col=7&amp;number=0.013&amp;sourceID=14","0.013")</f>
        <v>0.013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HYPERLINK("http://141.218.60.56/~jnz1568/getInfo.php?workbook=14_04.xlsx&amp;sheet=U0&amp;row=1051&amp;col=6&amp;number=3.7&amp;sourceID=14","3.7")</f>
        <v>3.7</v>
      </c>
      <c r="G1051" s="4" t="str">
        <f>HYPERLINK("http://141.218.60.56/~jnz1568/getInfo.php?workbook=14_04.xlsx&amp;sheet=U0&amp;row=1051&amp;col=7&amp;number=0.013&amp;sourceID=14","0.013")</f>
        <v>0.013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HYPERLINK("http://141.218.60.56/~jnz1568/getInfo.php?workbook=14_04.xlsx&amp;sheet=U0&amp;row=1052&amp;col=6&amp;number=3.8&amp;sourceID=14","3.8")</f>
        <v>3.8</v>
      </c>
      <c r="G1052" s="4" t="str">
        <f>HYPERLINK("http://141.218.60.56/~jnz1568/getInfo.php?workbook=14_04.xlsx&amp;sheet=U0&amp;row=1052&amp;col=7&amp;number=0.013&amp;sourceID=14","0.013")</f>
        <v>0.013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HYPERLINK("http://141.218.60.56/~jnz1568/getInfo.php?workbook=14_04.xlsx&amp;sheet=U0&amp;row=1053&amp;col=6&amp;number=3.9&amp;sourceID=14","3.9")</f>
        <v>3.9</v>
      </c>
      <c r="G1053" s="4" t="str">
        <f>HYPERLINK("http://141.218.60.56/~jnz1568/getInfo.php?workbook=14_04.xlsx&amp;sheet=U0&amp;row=1053&amp;col=7&amp;number=0.013&amp;sourceID=14","0.013")</f>
        <v>0.013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HYPERLINK("http://141.218.60.56/~jnz1568/getInfo.php?workbook=14_04.xlsx&amp;sheet=U0&amp;row=1054&amp;col=6&amp;number=4&amp;sourceID=14","4")</f>
        <v>4</v>
      </c>
      <c r="G1054" s="4" t="str">
        <f>HYPERLINK("http://141.218.60.56/~jnz1568/getInfo.php?workbook=14_04.xlsx&amp;sheet=U0&amp;row=1054&amp;col=7&amp;number=0.0129&amp;sourceID=14","0.0129")</f>
        <v>0.0129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HYPERLINK("http://141.218.60.56/~jnz1568/getInfo.php?workbook=14_04.xlsx&amp;sheet=U0&amp;row=1055&amp;col=6&amp;number=4.1&amp;sourceID=14","4.1")</f>
        <v>4.1</v>
      </c>
      <c r="G1055" s="4" t="str">
        <f>HYPERLINK("http://141.218.60.56/~jnz1568/getInfo.php?workbook=14_04.xlsx&amp;sheet=U0&amp;row=1055&amp;col=7&amp;number=0.0129&amp;sourceID=14","0.0129")</f>
        <v>0.0129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HYPERLINK("http://141.218.60.56/~jnz1568/getInfo.php?workbook=14_04.xlsx&amp;sheet=U0&amp;row=1056&amp;col=6&amp;number=4.2&amp;sourceID=14","4.2")</f>
        <v>4.2</v>
      </c>
      <c r="G1056" s="4" t="str">
        <f>HYPERLINK("http://141.218.60.56/~jnz1568/getInfo.php?workbook=14_04.xlsx&amp;sheet=U0&amp;row=1056&amp;col=7&amp;number=0.0129&amp;sourceID=14","0.0129")</f>
        <v>0.0129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HYPERLINK("http://141.218.60.56/~jnz1568/getInfo.php?workbook=14_04.xlsx&amp;sheet=U0&amp;row=1057&amp;col=6&amp;number=4.3&amp;sourceID=14","4.3")</f>
        <v>4.3</v>
      </c>
      <c r="G1057" s="4" t="str">
        <f>HYPERLINK("http://141.218.60.56/~jnz1568/getInfo.php?workbook=14_04.xlsx&amp;sheet=U0&amp;row=1057&amp;col=7&amp;number=0.0129&amp;sourceID=14","0.0129")</f>
        <v>0.0129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HYPERLINK("http://141.218.60.56/~jnz1568/getInfo.php?workbook=14_04.xlsx&amp;sheet=U0&amp;row=1058&amp;col=6&amp;number=4.4&amp;sourceID=14","4.4")</f>
        <v>4.4</v>
      </c>
      <c r="G1058" s="4" t="str">
        <f>HYPERLINK("http://141.218.60.56/~jnz1568/getInfo.php?workbook=14_04.xlsx&amp;sheet=U0&amp;row=1058&amp;col=7&amp;number=0.0129&amp;sourceID=14","0.0129")</f>
        <v>0.0129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HYPERLINK("http://141.218.60.56/~jnz1568/getInfo.php?workbook=14_04.xlsx&amp;sheet=U0&amp;row=1059&amp;col=6&amp;number=4.5&amp;sourceID=14","4.5")</f>
        <v>4.5</v>
      </c>
      <c r="G1059" s="4" t="str">
        <f>HYPERLINK("http://141.218.60.56/~jnz1568/getInfo.php?workbook=14_04.xlsx&amp;sheet=U0&amp;row=1059&amp;col=7&amp;number=0.0128&amp;sourceID=14","0.0128")</f>
        <v>0.0128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HYPERLINK("http://141.218.60.56/~jnz1568/getInfo.php?workbook=14_04.xlsx&amp;sheet=U0&amp;row=1060&amp;col=6&amp;number=4.6&amp;sourceID=14","4.6")</f>
        <v>4.6</v>
      </c>
      <c r="G1060" s="4" t="str">
        <f>HYPERLINK("http://141.218.60.56/~jnz1568/getInfo.php?workbook=14_04.xlsx&amp;sheet=U0&amp;row=1060&amp;col=7&amp;number=0.0128&amp;sourceID=14","0.0128")</f>
        <v>0.0128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HYPERLINK("http://141.218.60.56/~jnz1568/getInfo.php?workbook=14_04.xlsx&amp;sheet=U0&amp;row=1061&amp;col=6&amp;number=4.7&amp;sourceID=14","4.7")</f>
        <v>4.7</v>
      </c>
      <c r="G1061" s="4" t="str">
        <f>HYPERLINK("http://141.218.60.56/~jnz1568/getInfo.php?workbook=14_04.xlsx&amp;sheet=U0&amp;row=1061&amp;col=7&amp;number=0.0127&amp;sourceID=14","0.0127")</f>
        <v>0.0127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HYPERLINK("http://141.218.60.56/~jnz1568/getInfo.php?workbook=14_04.xlsx&amp;sheet=U0&amp;row=1062&amp;col=6&amp;number=4.8&amp;sourceID=14","4.8")</f>
        <v>4.8</v>
      </c>
      <c r="G1062" s="4" t="str">
        <f>HYPERLINK("http://141.218.60.56/~jnz1568/getInfo.php?workbook=14_04.xlsx&amp;sheet=U0&amp;row=1062&amp;col=7&amp;number=0.0127&amp;sourceID=14","0.0127")</f>
        <v>0.0127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HYPERLINK("http://141.218.60.56/~jnz1568/getInfo.php?workbook=14_04.xlsx&amp;sheet=U0&amp;row=1063&amp;col=6&amp;number=4.9&amp;sourceID=14","4.9")</f>
        <v>4.9</v>
      </c>
      <c r="G1063" s="4" t="str">
        <f>HYPERLINK("http://141.218.60.56/~jnz1568/getInfo.php?workbook=14_04.xlsx&amp;sheet=U0&amp;row=1063&amp;col=7&amp;number=0.0126&amp;sourceID=14","0.0126")</f>
        <v>0.0126</v>
      </c>
    </row>
    <row r="1064" spans="1:7">
      <c r="A1064" s="3">
        <v>14</v>
      </c>
      <c r="B1064" s="3">
        <v>4</v>
      </c>
      <c r="C1064" s="3">
        <v>1</v>
      </c>
      <c r="D1064" s="3">
        <v>19</v>
      </c>
      <c r="E1064" s="3">
        <v>1</v>
      </c>
      <c r="F1064" s="4" t="str">
        <f>HYPERLINK("http://141.218.60.56/~jnz1568/getInfo.php?workbook=14_04.xlsx&amp;sheet=U0&amp;row=1064&amp;col=6&amp;number=3&amp;sourceID=14","3")</f>
        <v>3</v>
      </c>
      <c r="G1064" s="4" t="str">
        <f>HYPERLINK("http://141.218.60.56/~jnz1568/getInfo.php?workbook=14_04.xlsx&amp;sheet=U0&amp;row=1064&amp;col=7&amp;number=0.0183&amp;sourceID=14","0.0183")</f>
        <v>0.0183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HYPERLINK("http://141.218.60.56/~jnz1568/getInfo.php?workbook=14_04.xlsx&amp;sheet=U0&amp;row=1065&amp;col=6&amp;number=3.1&amp;sourceID=14","3.1")</f>
        <v>3.1</v>
      </c>
      <c r="G1065" s="4" t="str">
        <f>HYPERLINK("http://141.218.60.56/~jnz1568/getInfo.php?workbook=14_04.xlsx&amp;sheet=U0&amp;row=1065&amp;col=7&amp;number=0.0183&amp;sourceID=14","0.0183")</f>
        <v>0.0183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HYPERLINK("http://141.218.60.56/~jnz1568/getInfo.php?workbook=14_04.xlsx&amp;sheet=U0&amp;row=1066&amp;col=6&amp;number=3.2&amp;sourceID=14","3.2")</f>
        <v>3.2</v>
      </c>
      <c r="G1066" s="4" t="str">
        <f>HYPERLINK("http://141.218.60.56/~jnz1568/getInfo.php?workbook=14_04.xlsx&amp;sheet=U0&amp;row=1066&amp;col=7&amp;number=0.0183&amp;sourceID=14","0.0183")</f>
        <v>0.0183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HYPERLINK("http://141.218.60.56/~jnz1568/getInfo.php?workbook=14_04.xlsx&amp;sheet=U0&amp;row=1067&amp;col=6&amp;number=3.3&amp;sourceID=14","3.3")</f>
        <v>3.3</v>
      </c>
      <c r="G1067" s="4" t="str">
        <f>HYPERLINK("http://141.218.60.56/~jnz1568/getInfo.php?workbook=14_04.xlsx&amp;sheet=U0&amp;row=1067&amp;col=7&amp;number=0.0183&amp;sourceID=14","0.0183")</f>
        <v>0.0183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HYPERLINK("http://141.218.60.56/~jnz1568/getInfo.php?workbook=14_04.xlsx&amp;sheet=U0&amp;row=1068&amp;col=6&amp;number=3.4&amp;sourceID=14","3.4")</f>
        <v>3.4</v>
      </c>
      <c r="G1068" s="4" t="str">
        <f>HYPERLINK("http://141.218.60.56/~jnz1568/getInfo.php?workbook=14_04.xlsx&amp;sheet=U0&amp;row=1068&amp;col=7&amp;number=0.0183&amp;sourceID=14","0.0183")</f>
        <v>0.0183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HYPERLINK("http://141.218.60.56/~jnz1568/getInfo.php?workbook=14_04.xlsx&amp;sheet=U0&amp;row=1069&amp;col=6&amp;number=3.5&amp;sourceID=14","3.5")</f>
        <v>3.5</v>
      </c>
      <c r="G1069" s="4" t="str">
        <f>HYPERLINK("http://141.218.60.56/~jnz1568/getInfo.php?workbook=14_04.xlsx&amp;sheet=U0&amp;row=1069&amp;col=7&amp;number=0.0183&amp;sourceID=14","0.0183")</f>
        <v>0.0183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HYPERLINK("http://141.218.60.56/~jnz1568/getInfo.php?workbook=14_04.xlsx&amp;sheet=U0&amp;row=1070&amp;col=6&amp;number=3.6&amp;sourceID=14","3.6")</f>
        <v>3.6</v>
      </c>
      <c r="G1070" s="4" t="str">
        <f>HYPERLINK("http://141.218.60.56/~jnz1568/getInfo.php?workbook=14_04.xlsx&amp;sheet=U0&amp;row=1070&amp;col=7&amp;number=0.0183&amp;sourceID=14","0.0183")</f>
        <v>0.0183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HYPERLINK("http://141.218.60.56/~jnz1568/getInfo.php?workbook=14_04.xlsx&amp;sheet=U0&amp;row=1071&amp;col=6&amp;number=3.7&amp;sourceID=14","3.7")</f>
        <v>3.7</v>
      </c>
      <c r="G1071" s="4" t="str">
        <f>HYPERLINK("http://141.218.60.56/~jnz1568/getInfo.php?workbook=14_04.xlsx&amp;sheet=U0&amp;row=1071&amp;col=7&amp;number=0.0182&amp;sourceID=14","0.0182")</f>
        <v>0.0182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HYPERLINK("http://141.218.60.56/~jnz1568/getInfo.php?workbook=14_04.xlsx&amp;sheet=U0&amp;row=1072&amp;col=6&amp;number=3.8&amp;sourceID=14","3.8")</f>
        <v>3.8</v>
      </c>
      <c r="G1072" s="4" t="str">
        <f>HYPERLINK("http://141.218.60.56/~jnz1568/getInfo.php?workbook=14_04.xlsx&amp;sheet=U0&amp;row=1072&amp;col=7&amp;number=0.0182&amp;sourceID=14","0.0182")</f>
        <v>0.0182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HYPERLINK("http://141.218.60.56/~jnz1568/getInfo.php?workbook=14_04.xlsx&amp;sheet=U0&amp;row=1073&amp;col=6&amp;number=3.9&amp;sourceID=14","3.9")</f>
        <v>3.9</v>
      </c>
      <c r="G1073" s="4" t="str">
        <f>HYPERLINK("http://141.218.60.56/~jnz1568/getInfo.php?workbook=14_04.xlsx&amp;sheet=U0&amp;row=1073&amp;col=7&amp;number=0.0182&amp;sourceID=14","0.0182")</f>
        <v>0.0182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HYPERLINK("http://141.218.60.56/~jnz1568/getInfo.php?workbook=14_04.xlsx&amp;sheet=U0&amp;row=1074&amp;col=6&amp;number=4&amp;sourceID=14","4")</f>
        <v>4</v>
      </c>
      <c r="G1074" s="4" t="str">
        <f>HYPERLINK("http://141.218.60.56/~jnz1568/getInfo.php?workbook=14_04.xlsx&amp;sheet=U0&amp;row=1074&amp;col=7&amp;number=0.0182&amp;sourceID=14","0.0182")</f>
        <v>0.0182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HYPERLINK("http://141.218.60.56/~jnz1568/getInfo.php?workbook=14_04.xlsx&amp;sheet=U0&amp;row=1075&amp;col=6&amp;number=4.1&amp;sourceID=14","4.1")</f>
        <v>4.1</v>
      </c>
      <c r="G1075" s="4" t="str">
        <f>HYPERLINK("http://141.218.60.56/~jnz1568/getInfo.php?workbook=14_04.xlsx&amp;sheet=U0&amp;row=1075&amp;col=7&amp;number=0.0182&amp;sourceID=14","0.0182")</f>
        <v>0.0182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HYPERLINK("http://141.218.60.56/~jnz1568/getInfo.php?workbook=14_04.xlsx&amp;sheet=U0&amp;row=1076&amp;col=6&amp;number=4.2&amp;sourceID=14","4.2")</f>
        <v>4.2</v>
      </c>
      <c r="G1076" s="4" t="str">
        <f>HYPERLINK("http://141.218.60.56/~jnz1568/getInfo.php?workbook=14_04.xlsx&amp;sheet=U0&amp;row=1076&amp;col=7&amp;number=0.0182&amp;sourceID=14","0.0182")</f>
        <v>0.0182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HYPERLINK("http://141.218.60.56/~jnz1568/getInfo.php?workbook=14_04.xlsx&amp;sheet=U0&amp;row=1077&amp;col=6&amp;number=4.3&amp;sourceID=14","4.3")</f>
        <v>4.3</v>
      </c>
      <c r="G1077" s="4" t="str">
        <f>HYPERLINK("http://141.218.60.56/~jnz1568/getInfo.php?workbook=14_04.xlsx&amp;sheet=U0&amp;row=1077&amp;col=7&amp;number=0.0181&amp;sourceID=14","0.0181")</f>
        <v>0.0181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HYPERLINK("http://141.218.60.56/~jnz1568/getInfo.php?workbook=14_04.xlsx&amp;sheet=U0&amp;row=1078&amp;col=6&amp;number=4.4&amp;sourceID=14","4.4")</f>
        <v>4.4</v>
      </c>
      <c r="G1078" s="4" t="str">
        <f>HYPERLINK("http://141.218.60.56/~jnz1568/getInfo.php?workbook=14_04.xlsx&amp;sheet=U0&amp;row=1078&amp;col=7&amp;number=0.0181&amp;sourceID=14","0.0181")</f>
        <v>0.0181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HYPERLINK("http://141.218.60.56/~jnz1568/getInfo.php?workbook=14_04.xlsx&amp;sheet=U0&amp;row=1079&amp;col=6&amp;number=4.5&amp;sourceID=14","4.5")</f>
        <v>4.5</v>
      </c>
      <c r="G1079" s="4" t="str">
        <f>HYPERLINK("http://141.218.60.56/~jnz1568/getInfo.php?workbook=14_04.xlsx&amp;sheet=U0&amp;row=1079&amp;col=7&amp;number=0.0181&amp;sourceID=14","0.0181")</f>
        <v>0.0181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HYPERLINK("http://141.218.60.56/~jnz1568/getInfo.php?workbook=14_04.xlsx&amp;sheet=U0&amp;row=1080&amp;col=6&amp;number=4.6&amp;sourceID=14","4.6")</f>
        <v>4.6</v>
      </c>
      <c r="G1080" s="4" t="str">
        <f>HYPERLINK("http://141.218.60.56/~jnz1568/getInfo.php?workbook=14_04.xlsx&amp;sheet=U0&amp;row=1080&amp;col=7&amp;number=0.018&amp;sourceID=14","0.018")</f>
        <v>0.018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HYPERLINK("http://141.218.60.56/~jnz1568/getInfo.php?workbook=14_04.xlsx&amp;sheet=U0&amp;row=1081&amp;col=6&amp;number=4.7&amp;sourceID=14","4.7")</f>
        <v>4.7</v>
      </c>
      <c r="G1081" s="4" t="str">
        <f>HYPERLINK("http://141.218.60.56/~jnz1568/getInfo.php?workbook=14_04.xlsx&amp;sheet=U0&amp;row=1081&amp;col=7&amp;number=0.0179&amp;sourceID=14","0.0179")</f>
        <v>0.0179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HYPERLINK("http://141.218.60.56/~jnz1568/getInfo.php?workbook=14_04.xlsx&amp;sheet=U0&amp;row=1082&amp;col=6&amp;number=4.8&amp;sourceID=14","4.8")</f>
        <v>4.8</v>
      </c>
      <c r="G1082" s="4" t="str">
        <f>HYPERLINK("http://141.218.60.56/~jnz1568/getInfo.php?workbook=14_04.xlsx&amp;sheet=U0&amp;row=1082&amp;col=7&amp;number=0.0178&amp;sourceID=14","0.0178")</f>
        <v>0.0178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HYPERLINK("http://141.218.60.56/~jnz1568/getInfo.php?workbook=14_04.xlsx&amp;sheet=U0&amp;row=1083&amp;col=6&amp;number=4.9&amp;sourceID=14","4.9")</f>
        <v>4.9</v>
      </c>
      <c r="G1083" s="4" t="str">
        <f>HYPERLINK("http://141.218.60.56/~jnz1568/getInfo.php?workbook=14_04.xlsx&amp;sheet=U0&amp;row=1083&amp;col=7&amp;number=0.0177&amp;sourceID=14","0.0177")</f>
        <v>0.0177</v>
      </c>
    </row>
    <row r="1084" spans="1:7">
      <c r="A1084" s="3">
        <v>14</v>
      </c>
      <c r="B1084" s="3">
        <v>4</v>
      </c>
      <c r="C1084" s="3">
        <v>1</v>
      </c>
      <c r="D1084" s="3">
        <v>20</v>
      </c>
      <c r="E1084" s="3">
        <v>1</v>
      </c>
      <c r="F1084" s="4" t="str">
        <f>HYPERLINK("http://141.218.60.56/~jnz1568/getInfo.php?workbook=14_04.xlsx&amp;sheet=U0&amp;row=1084&amp;col=6&amp;number=3&amp;sourceID=14","3")</f>
        <v>3</v>
      </c>
      <c r="G1084" s="4" t="str">
        <f>HYPERLINK("http://141.218.60.56/~jnz1568/getInfo.php?workbook=14_04.xlsx&amp;sheet=U0&amp;row=1084&amp;col=7&amp;number=0.0567&amp;sourceID=14","0.0567")</f>
        <v>0.0567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HYPERLINK("http://141.218.60.56/~jnz1568/getInfo.php?workbook=14_04.xlsx&amp;sheet=U0&amp;row=1085&amp;col=6&amp;number=3.1&amp;sourceID=14","3.1")</f>
        <v>3.1</v>
      </c>
      <c r="G1085" s="4" t="str">
        <f>HYPERLINK("http://141.218.60.56/~jnz1568/getInfo.php?workbook=14_04.xlsx&amp;sheet=U0&amp;row=1085&amp;col=7&amp;number=0.0567&amp;sourceID=14","0.0567")</f>
        <v>0.0567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HYPERLINK("http://141.218.60.56/~jnz1568/getInfo.php?workbook=14_04.xlsx&amp;sheet=U0&amp;row=1086&amp;col=6&amp;number=3.2&amp;sourceID=14","3.2")</f>
        <v>3.2</v>
      </c>
      <c r="G1086" s="4" t="str">
        <f>HYPERLINK("http://141.218.60.56/~jnz1568/getInfo.php?workbook=14_04.xlsx&amp;sheet=U0&amp;row=1086&amp;col=7&amp;number=0.0567&amp;sourceID=14","0.0567")</f>
        <v>0.0567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HYPERLINK("http://141.218.60.56/~jnz1568/getInfo.php?workbook=14_04.xlsx&amp;sheet=U0&amp;row=1087&amp;col=6&amp;number=3.3&amp;sourceID=14","3.3")</f>
        <v>3.3</v>
      </c>
      <c r="G1087" s="4" t="str">
        <f>HYPERLINK("http://141.218.60.56/~jnz1568/getInfo.php?workbook=14_04.xlsx&amp;sheet=U0&amp;row=1087&amp;col=7&amp;number=0.0567&amp;sourceID=14","0.0567")</f>
        <v>0.0567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HYPERLINK("http://141.218.60.56/~jnz1568/getInfo.php?workbook=14_04.xlsx&amp;sheet=U0&amp;row=1088&amp;col=6&amp;number=3.4&amp;sourceID=14","3.4")</f>
        <v>3.4</v>
      </c>
      <c r="G1088" s="4" t="str">
        <f>HYPERLINK("http://141.218.60.56/~jnz1568/getInfo.php?workbook=14_04.xlsx&amp;sheet=U0&amp;row=1088&amp;col=7&amp;number=0.0567&amp;sourceID=14","0.0567")</f>
        <v>0.0567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HYPERLINK("http://141.218.60.56/~jnz1568/getInfo.php?workbook=14_04.xlsx&amp;sheet=U0&amp;row=1089&amp;col=6&amp;number=3.5&amp;sourceID=14","3.5")</f>
        <v>3.5</v>
      </c>
      <c r="G1089" s="4" t="str">
        <f>HYPERLINK("http://141.218.60.56/~jnz1568/getInfo.php?workbook=14_04.xlsx&amp;sheet=U0&amp;row=1089&amp;col=7&amp;number=0.0567&amp;sourceID=14","0.0567")</f>
        <v>0.0567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HYPERLINK("http://141.218.60.56/~jnz1568/getInfo.php?workbook=14_04.xlsx&amp;sheet=U0&amp;row=1090&amp;col=6&amp;number=3.6&amp;sourceID=14","3.6")</f>
        <v>3.6</v>
      </c>
      <c r="G1090" s="4" t="str">
        <f>HYPERLINK("http://141.218.60.56/~jnz1568/getInfo.php?workbook=14_04.xlsx&amp;sheet=U0&amp;row=1090&amp;col=7&amp;number=0.0567&amp;sourceID=14","0.0567")</f>
        <v>0.0567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HYPERLINK("http://141.218.60.56/~jnz1568/getInfo.php?workbook=14_04.xlsx&amp;sheet=U0&amp;row=1091&amp;col=6&amp;number=3.7&amp;sourceID=14","3.7")</f>
        <v>3.7</v>
      </c>
      <c r="G1091" s="4" t="str">
        <f>HYPERLINK("http://141.218.60.56/~jnz1568/getInfo.php?workbook=14_04.xlsx&amp;sheet=U0&amp;row=1091&amp;col=7&amp;number=0.0567&amp;sourceID=14","0.0567")</f>
        <v>0.0567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HYPERLINK("http://141.218.60.56/~jnz1568/getInfo.php?workbook=14_04.xlsx&amp;sheet=U0&amp;row=1092&amp;col=6&amp;number=3.8&amp;sourceID=14","3.8")</f>
        <v>3.8</v>
      </c>
      <c r="G1092" s="4" t="str">
        <f>HYPERLINK("http://141.218.60.56/~jnz1568/getInfo.php?workbook=14_04.xlsx&amp;sheet=U0&amp;row=1092&amp;col=7&amp;number=0.0567&amp;sourceID=14","0.0567")</f>
        <v>0.0567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HYPERLINK("http://141.218.60.56/~jnz1568/getInfo.php?workbook=14_04.xlsx&amp;sheet=U0&amp;row=1093&amp;col=6&amp;number=3.9&amp;sourceID=14","3.9")</f>
        <v>3.9</v>
      </c>
      <c r="G1093" s="4" t="str">
        <f>HYPERLINK("http://141.218.60.56/~jnz1568/getInfo.php?workbook=14_04.xlsx&amp;sheet=U0&amp;row=1093&amp;col=7&amp;number=0.0567&amp;sourceID=14","0.0567")</f>
        <v>0.0567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HYPERLINK("http://141.218.60.56/~jnz1568/getInfo.php?workbook=14_04.xlsx&amp;sheet=U0&amp;row=1094&amp;col=6&amp;number=4&amp;sourceID=14","4")</f>
        <v>4</v>
      </c>
      <c r="G1094" s="4" t="str">
        <f>HYPERLINK("http://141.218.60.56/~jnz1568/getInfo.php?workbook=14_04.xlsx&amp;sheet=U0&amp;row=1094&amp;col=7&amp;number=0.0568&amp;sourceID=14","0.0568")</f>
        <v>0.0568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HYPERLINK("http://141.218.60.56/~jnz1568/getInfo.php?workbook=14_04.xlsx&amp;sheet=U0&amp;row=1095&amp;col=6&amp;number=4.1&amp;sourceID=14","4.1")</f>
        <v>4.1</v>
      </c>
      <c r="G1095" s="4" t="str">
        <f>HYPERLINK("http://141.218.60.56/~jnz1568/getInfo.php?workbook=14_04.xlsx&amp;sheet=U0&amp;row=1095&amp;col=7&amp;number=0.0568&amp;sourceID=14","0.0568")</f>
        <v>0.0568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HYPERLINK("http://141.218.60.56/~jnz1568/getInfo.php?workbook=14_04.xlsx&amp;sheet=U0&amp;row=1096&amp;col=6&amp;number=4.2&amp;sourceID=14","4.2")</f>
        <v>4.2</v>
      </c>
      <c r="G1096" s="4" t="str">
        <f>HYPERLINK("http://141.218.60.56/~jnz1568/getInfo.php?workbook=14_04.xlsx&amp;sheet=U0&amp;row=1096&amp;col=7&amp;number=0.0568&amp;sourceID=14","0.0568")</f>
        <v>0.0568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HYPERLINK("http://141.218.60.56/~jnz1568/getInfo.php?workbook=14_04.xlsx&amp;sheet=U0&amp;row=1097&amp;col=6&amp;number=4.3&amp;sourceID=14","4.3")</f>
        <v>4.3</v>
      </c>
      <c r="G1097" s="4" t="str">
        <f>HYPERLINK("http://141.218.60.56/~jnz1568/getInfo.php?workbook=14_04.xlsx&amp;sheet=U0&amp;row=1097&amp;col=7&amp;number=0.0569&amp;sourceID=14","0.0569")</f>
        <v>0.0569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HYPERLINK("http://141.218.60.56/~jnz1568/getInfo.php?workbook=14_04.xlsx&amp;sheet=U0&amp;row=1098&amp;col=6&amp;number=4.4&amp;sourceID=14","4.4")</f>
        <v>4.4</v>
      </c>
      <c r="G1098" s="4" t="str">
        <f>HYPERLINK("http://141.218.60.56/~jnz1568/getInfo.php?workbook=14_04.xlsx&amp;sheet=U0&amp;row=1098&amp;col=7&amp;number=0.0569&amp;sourceID=14","0.0569")</f>
        <v>0.0569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HYPERLINK("http://141.218.60.56/~jnz1568/getInfo.php?workbook=14_04.xlsx&amp;sheet=U0&amp;row=1099&amp;col=6&amp;number=4.5&amp;sourceID=14","4.5")</f>
        <v>4.5</v>
      </c>
      <c r="G1099" s="4" t="str">
        <f>HYPERLINK("http://141.218.60.56/~jnz1568/getInfo.php?workbook=14_04.xlsx&amp;sheet=U0&amp;row=1099&amp;col=7&amp;number=0.057&amp;sourceID=14","0.057")</f>
        <v>0.057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HYPERLINK("http://141.218.60.56/~jnz1568/getInfo.php?workbook=14_04.xlsx&amp;sheet=U0&amp;row=1100&amp;col=6&amp;number=4.6&amp;sourceID=14","4.6")</f>
        <v>4.6</v>
      </c>
      <c r="G1100" s="4" t="str">
        <f>HYPERLINK("http://141.218.60.56/~jnz1568/getInfo.php?workbook=14_04.xlsx&amp;sheet=U0&amp;row=1100&amp;col=7&amp;number=0.0571&amp;sourceID=14","0.0571")</f>
        <v>0.0571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HYPERLINK("http://141.218.60.56/~jnz1568/getInfo.php?workbook=14_04.xlsx&amp;sheet=U0&amp;row=1101&amp;col=6&amp;number=4.7&amp;sourceID=14","4.7")</f>
        <v>4.7</v>
      </c>
      <c r="G1101" s="4" t="str">
        <f>HYPERLINK("http://141.218.60.56/~jnz1568/getInfo.php?workbook=14_04.xlsx&amp;sheet=U0&amp;row=1101&amp;col=7&amp;number=0.0572&amp;sourceID=14","0.0572")</f>
        <v>0.0572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HYPERLINK("http://141.218.60.56/~jnz1568/getInfo.php?workbook=14_04.xlsx&amp;sheet=U0&amp;row=1102&amp;col=6&amp;number=4.8&amp;sourceID=14","4.8")</f>
        <v>4.8</v>
      </c>
      <c r="G1102" s="4" t="str">
        <f>HYPERLINK("http://141.218.60.56/~jnz1568/getInfo.php?workbook=14_04.xlsx&amp;sheet=U0&amp;row=1102&amp;col=7&amp;number=0.0574&amp;sourceID=14","0.0574")</f>
        <v>0.0574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HYPERLINK("http://141.218.60.56/~jnz1568/getInfo.php?workbook=14_04.xlsx&amp;sheet=U0&amp;row=1103&amp;col=6&amp;number=4.9&amp;sourceID=14","4.9")</f>
        <v>4.9</v>
      </c>
      <c r="G1103" s="4" t="str">
        <f>HYPERLINK("http://141.218.60.56/~jnz1568/getInfo.php?workbook=14_04.xlsx&amp;sheet=U0&amp;row=1103&amp;col=7&amp;number=0.0575&amp;sourceID=14","0.0575")</f>
        <v>0.0575</v>
      </c>
    </row>
    <row r="1104" spans="1:7">
      <c r="A1104" s="3">
        <v>14</v>
      </c>
      <c r="B1104" s="3">
        <v>4</v>
      </c>
      <c r="C1104" s="3">
        <v>1</v>
      </c>
      <c r="D1104" s="3">
        <v>21</v>
      </c>
      <c r="E1104" s="3">
        <v>1</v>
      </c>
      <c r="F1104" s="4" t="str">
        <f>HYPERLINK("http://141.218.60.56/~jnz1568/getInfo.php?workbook=14_04.xlsx&amp;sheet=U0&amp;row=1104&amp;col=6&amp;number=3&amp;sourceID=14","3")</f>
        <v>3</v>
      </c>
      <c r="G1104" s="4" t="str">
        <f>HYPERLINK("http://141.218.60.56/~jnz1568/getInfo.php?workbook=14_04.xlsx&amp;sheet=U0&amp;row=1104&amp;col=7&amp;number=2.02e-05&amp;sourceID=14","2.02e-05")</f>
        <v>2.02e-05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HYPERLINK("http://141.218.60.56/~jnz1568/getInfo.php?workbook=14_04.xlsx&amp;sheet=U0&amp;row=1105&amp;col=6&amp;number=3.1&amp;sourceID=14","3.1")</f>
        <v>3.1</v>
      </c>
      <c r="G1105" s="4" t="str">
        <f>HYPERLINK("http://141.218.60.56/~jnz1568/getInfo.php?workbook=14_04.xlsx&amp;sheet=U0&amp;row=1105&amp;col=7&amp;number=2.02e-05&amp;sourceID=14","2.02e-05")</f>
        <v>2.02e-05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HYPERLINK("http://141.218.60.56/~jnz1568/getInfo.php?workbook=14_04.xlsx&amp;sheet=U0&amp;row=1106&amp;col=6&amp;number=3.2&amp;sourceID=14","3.2")</f>
        <v>3.2</v>
      </c>
      <c r="G1106" s="4" t="str">
        <f>HYPERLINK("http://141.218.60.56/~jnz1568/getInfo.php?workbook=14_04.xlsx&amp;sheet=U0&amp;row=1106&amp;col=7&amp;number=2.02e-05&amp;sourceID=14","2.02e-05")</f>
        <v>2.02e-05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HYPERLINK("http://141.218.60.56/~jnz1568/getInfo.php?workbook=14_04.xlsx&amp;sheet=U0&amp;row=1107&amp;col=6&amp;number=3.3&amp;sourceID=14","3.3")</f>
        <v>3.3</v>
      </c>
      <c r="G1107" s="4" t="str">
        <f>HYPERLINK("http://141.218.60.56/~jnz1568/getInfo.php?workbook=14_04.xlsx&amp;sheet=U0&amp;row=1107&amp;col=7&amp;number=2.02e-05&amp;sourceID=14","2.02e-05")</f>
        <v>2.02e-05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HYPERLINK("http://141.218.60.56/~jnz1568/getInfo.php?workbook=14_04.xlsx&amp;sheet=U0&amp;row=1108&amp;col=6&amp;number=3.4&amp;sourceID=14","3.4")</f>
        <v>3.4</v>
      </c>
      <c r="G1108" s="4" t="str">
        <f>HYPERLINK("http://141.218.60.56/~jnz1568/getInfo.php?workbook=14_04.xlsx&amp;sheet=U0&amp;row=1108&amp;col=7&amp;number=2.02e-05&amp;sourceID=14","2.02e-05")</f>
        <v>2.02e-05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HYPERLINK("http://141.218.60.56/~jnz1568/getInfo.php?workbook=14_04.xlsx&amp;sheet=U0&amp;row=1109&amp;col=6&amp;number=3.5&amp;sourceID=14","3.5")</f>
        <v>3.5</v>
      </c>
      <c r="G1109" s="4" t="str">
        <f>HYPERLINK("http://141.218.60.56/~jnz1568/getInfo.php?workbook=14_04.xlsx&amp;sheet=U0&amp;row=1109&amp;col=7&amp;number=2.02e-05&amp;sourceID=14","2.02e-05")</f>
        <v>2.02e-05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HYPERLINK("http://141.218.60.56/~jnz1568/getInfo.php?workbook=14_04.xlsx&amp;sheet=U0&amp;row=1110&amp;col=6&amp;number=3.6&amp;sourceID=14","3.6")</f>
        <v>3.6</v>
      </c>
      <c r="G1110" s="4" t="str">
        <f>HYPERLINK("http://141.218.60.56/~jnz1568/getInfo.php?workbook=14_04.xlsx&amp;sheet=U0&amp;row=1110&amp;col=7&amp;number=2.02e-05&amp;sourceID=14","2.02e-05")</f>
        <v>2.02e-05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HYPERLINK("http://141.218.60.56/~jnz1568/getInfo.php?workbook=14_04.xlsx&amp;sheet=U0&amp;row=1111&amp;col=6&amp;number=3.7&amp;sourceID=14","3.7")</f>
        <v>3.7</v>
      </c>
      <c r="G1111" s="4" t="str">
        <f>HYPERLINK("http://141.218.60.56/~jnz1568/getInfo.php?workbook=14_04.xlsx&amp;sheet=U0&amp;row=1111&amp;col=7&amp;number=2.02e-05&amp;sourceID=14","2.02e-05")</f>
        <v>2.02e-05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HYPERLINK("http://141.218.60.56/~jnz1568/getInfo.php?workbook=14_04.xlsx&amp;sheet=U0&amp;row=1112&amp;col=6&amp;number=3.8&amp;sourceID=14","3.8")</f>
        <v>3.8</v>
      </c>
      <c r="G1112" s="4" t="str">
        <f>HYPERLINK("http://141.218.60.56/~jnz1568/getInfo.php?workbook=14_04.xlsx&amp;sheet=U0&amp;row=1112&amp;col=7&amp;number=2.02e-05&amp;sourceID=14","2.02e-05")</f>
        <v>2.02e-05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HYPERLINK("http://141.218.60.56/~jnz1568/getInfo.php?workbook=14_04.xlsx&amp;sheet=U0&amp;row=1113&amp;col=6&amp;number=3.9&amp;sourceID=14","3.9")</f>
        <v>3.9</v>
      </c>
      <c r="G1113" s="4" t="str">
        <f>HYPERLINK("http://141.218.60.56/~jnz1568/getInfo.php?workbook=14_04.xlsx&amp;sheet=U0&amp;row=1113&amp;col=7&amp;number=2.02e-05&amp;sourceID=14","2.02e-05")</f>
        <v>2.02e-05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HYPERLINK("http://141.218.60.56/~jnz1568/getInfo.php?workbook=14_04.xlsx&amp;sheet=U0&amp;row=1114&amp;col=6&amp;number=4&amp;sourceID=14","4")</f>
        <v>4</v>
      </c>
      <c r="G1114" s="4" t="str">
        <f>HYPERLINK("http://141.218.60.56/~jnz1568/getInfo.php?workbook=14_04.xlsx&amp;sheet=U0&amp;row=1114&amp;col=7&amp;number=2.01e-05&amp;sourceID=14","2.01e-05")</f>
        <v>2.01e-05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HYPERLINK("http://141.218.60.56/~jnz1568/getInfo.php?workbook=14_04.xlsx&amp;sheet=U0&amp;row=1115&amp;col=6&amp;number=4.1&amp;sourceID=14","4.1")</f>
        <v>4.1</v>
      </c>
      <c r="G1115" s="4" t="str">
        <f>HYPERLINK("http://141.218.60.56/~jnz1568/getInfo.php?workbook=14_04.xlsx&amp;sheet=U0&amp;row=1115&amp;col=7&amp;number=2.01e-05&amp;sourceID=14","2.01e-05")</f>
        <v>2.01e-05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HYPERLINK("http://141.218.60.56/~jnz1568/getInfo.php?workbook=14_04.xlsx&amp;sheet=U0&amp;row=1116&amp;col=6&amp;number=4.2&amp;sourceID=14","4.2")</f>
        <v>4.2</v>
      </c>
      <c r="G1116" s="4" t="str">
        <f>HYPERLINK("http://141.218.60.56/~jnz1568/getInfo.php?workbook=14_04.xlsx&amp;sheet=U0&amp;row=1116&amp;col=7&amp;number=2.01e-05&amp;sourceID=14","2.01e-05")</f>
        <v>2.01e-05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HYPERLINK("http://141.218.60.56/~jnz1568/getInfo.php?workbook=14_04.xlsx&amp;sheet=U0&amp;row=1117&amp;col=6&amp;number=4.3&amp;sourceID=14","4.3")</f>
        <v>4.3</v>
      </c>
      <c r="G1117" s="4" t="str">
        <f>HYPERLINK("http://141.218.60.56/~jnz1568/getInfo.php?workbook=14_04.xlsx&amp;sheet=U0&amp;row=1117&amp;col=7&amp;number=2.01e-05&amp;sourceID=14","2.01e-05")</f>
        <v>2.01e-05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HYPERLINK("http://141.218.60.56/~jnz1568/getInfo.php?workbook=14_04.xlsx&amp;sheet=U0&amp;row=1118&amp;col=6&amp;number=4.4&amp;sourceID=14","4.4")</f>
        <v>4.4</v>
      </c>
      <c r="G1118" s="4" t="str">
        <f>HYPERLINK("http://141.218.60.56/~jnz1568/getInfo.php?workbook=14_04.xlsx&amp;sheet=U0&amp;row=1118&amp;col=7&amp;number=2.01e-05&amp;sourceID=14","2.01e-05")</f>
        <v>2.01e-05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HYPERLINK("http://141.218.60.56/~jnz1568/getInfo.php?workbook=14_04.xlsx&amp;sheet=U0&amp;row=1119&amp;col=6&amp;number=4.5&amp;sourceID=14","4.5")</f>
        <v>4.5</v>
      </c>
      <c r="G1119" s="4" t="str">
        <f>HYPERLINK("http://141.218.60.56/~jnz1568/getInfo.php?workbook=14_04.xlsx&amp;sheet=U0&amp;row=1119&amp;col=7&amp;number=2.01e-05&amp;sourceID=14","2.01e-05")</f>
        <v>2.01e-05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HYPERLINK("http://141.218.60.56/~jnz1568/getInfo.php?workbook=14_04.xlsx&amp;sheet=U0&amp;row=1120&amp;col=6&amp;number=4.6&amp;sourceID=14","4.6")</f>
        <v>4.6</v>
      </c>
      <c r="G1120" s="4" t="str">
        <f>HYPERLINK("http://141.218.60.56/~jnz1568/getInfo.php?workbook=14_04.xlsx&amp;sheet=U0&amp;row=1120&amp;col=7&amp;number=2e-05&amp;sourceID=14","2e-05")</f>
        <v>2e-05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HYPERLINK("http://141.218.60.56/~jnz1568/getInfo.php?workbook=14_04.xlsx&amp;sheet=U0&amp;row=1121&amp;col=6&amp;number=4.7&amp;sourceID=14","4.7")</f>
        <v>4.7</v>
      </c>
      <c r="G1121" s="4" t="str">
        <f>HYPERLINK("http://141.218.60.56/~jnz1568/getInfo.php?workbook=14_04.xlsx&amp;sheet=U0&amp;row=1121&amp;col=7&amp;number=2e-05&amp;sourceID=14","2e-05")</f>
        <v>2e-05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HYPERLINK("http://141.218.60.56/~jnz1568/getInfo.php?workbook=14_04.xlsx&amp;sheet=U0&amp;row=1122&amp;col=6&amp;number=4.8&amp;sourceID=14","4.8")</f>
        <v>4.8</v>
      </c>
      <c r="G1122" s="4" t="str">
        <f>HYPERLINK("http://141.218.60.56/~jnz1568/getInfo.php?workbook=14_04.xlsx&amp;sheet=U0&amp;row=1122&amp;col=7&amp;number=2e-05&amp;sourceID=14","2e-05")</f>
        <v>2e-05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HYPERLINK("http://141.218.60.56/~jnz1568/getInfo.php?workbook=14_04.xlsx&amp;sheet=U0&amp;row=1123&amp;col=6&amp;number=4.9&amp;sourceID=14","4.9")</f>
        <v>4.9</v>
      </c>
      <c r="G1123" s="4" t="str">
        <f>HYPERLINK("http://141.218.60.56/~jnz1568/getInfo.php?workbook=14_04.xlsx&amp;sheet=U0&amp;row=1123&amp;col=7&amp;number=1.99e-05&amp;sourceID=14","1.99e-05")</f>
        <v>1.99e-05</v>
      </c>
    </row>
    <row r="1124" spans="1:7">
      <c r="A1124" s="3">
        <v>14</v>
      </c>
      <c r="B1124" s="3">
        <v>4</v>
      </c>
      <c r="C1124" s="3">
        <v>1</v>
      </c>
      <c r="D1124" s="3">
        <v>22</v>
      </c>
      <c r="E1124" s="3">
        <v>1</v>
      </c>
      <c r="F1124" s="4" t="str">
        <f>HYPERLINK("http://141.218.60.56/~jnz1568/getInfo.php?workbook=14_04.xlsx&amp;sheet=U0&amp;row=1124&amp;col=6&amp;number=3&amp;sourceID=14","3")</f>
        <v>3</v>
      </c>
      <c r="G1124" s="4" t="str">
        <f>HYPERLINK("http://141.218.60.56/~jnz1568/getInfo.php?workbook=14_04.xlsx&amp;sheet=U0&amp;row=1124&amp;col=7&amp;number=6.99e-05&amp;sourceID=14","6.99e-05")</f>
        <v>6.99e-05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HYPERLINK("http://141.218.60.56/~jnz1568/getInfo.php?workbook=14_04.xlsx&amp;sheet=U0&amp;row=1125&amp;col=6&amp;number=3.1&amp;sourceID=14","3.1")</f>
        <v>3.1</v>
      </c>
      <c r="G1125" s="4" t="str">
        <f>HYPERLINK("http://141.218.60.56/~jnz1568/getInfo.php?workbook=14_04.xlsx&amp;sheet=U0&amp;row=1125&amp;col=7&amp;number=6.99e-05&amp;sourceID=14","6.99e-05")</f>
        <v>6.99e-05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HYPERLINK("http://141.218.60.56/~jnz1568/getInfo.php?workbook=14_04.xlsx&amp;sheet=U0&amp;row=1126&amp;col=6&amp;number=3.2&amp;sourceID=14","3.2")</f>
        <v>3.2</v>
      </c>
      <c r="G1126" s="4" t="str">
        <f>HYPERLINK("http://141.218.60.56/~jnz1568/getInfo.php?workbook=14_04.xlsx&amp;sheet=U0&amp;row=1126&amp;col=7&amp;number=6.99e-05&amp;sourceID=14","6.99e-05")</f>
        <v>6.99e-05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HYPERLINK("http://141.218.60.56/~jnz1568/getInfo.php?workbook=14_04.xlsx&amp;sheet=U0&amp;row=1127&amp;col=6&amp;number=3.3&amp;sourceID=14","3.3")</f>
        <v>3.3</v>
      </c>
      <c r="G1127" s="4" t="str">
        <f>HYPERLINK("http://141.218.60.56/~jnz1568/getInfo.php?workbook=14_04.xlsx&amp;sheet=U0&amp;row=1127&amp;col=7&amp;number=6.99e-05&amp;sourceID=14","6.99e-05")</f>
        <v>6.99e-05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HYPERLINK("http://141.218.60.56/~jnz1568/getInfo.php?workbook=14_04.xlsx&amp;sheet=U0&amp;row=1128&amp;col=6&amp;number=3.4&amp;sourceID=14","3.4")</f>
        <v>3.4</v>
      </c>
      <c r="G1128" s="4" t="str">
        <f>HYPERLINK("http://141.218.60.56/~jnz1568/getInfo.php?workbook=14_04.xlsx&amp;sheet=U0&amp;row=1128&amp;col=7&amp;number=6.99e-05&amp;sourceID=14","6.99e-05")</f>
        <v>6.99e-05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HYPERLINK("http://141.218.60.56/~jnz1568/getInfo.php?workbook=14_04.xlsx&amp;sheet=U0&amp;row=1129&amp;col=6&amp;number=3.5&amp;sourceID=14","3.5")</f>
        <v>3.5</v>
      </c>
      <c r="G1129" s="4" t="str">
        <f>HYPERLINK("http://141.218.60.56/~jnz1568/getInfo.php?workbook=14_04.xlsx&amp;sheet=U0&amp;row=1129&amp;col=7&amp;number=6.99e-05&amp;sourceID=14","6.99e-05")</f>
        <v>6.99e-05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HYPERLINK("http://141.218.60.56/~jnz1568/getInfo.php?workbook=14_04.xlsx&amp;sheet=U0&amp;row=1130&amp;col=6&amp;number=3.6&amp;sourceID=14","3.6")</f>
        <v>3.6</v>
      </c>
      <c r="G1130" s="4" t="str">
        <f>HYPERLINK("http://141.218.60.56/~jnz1568/getInfo.php?workbook=14_04.xlsx&amp;sheet=U0&amp;row=1130&amp;col=7&amp;number=6.99e-05&amp;sourceID=14","6.99e-05")</f>
        <v>6.99e-05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HYPERLINK("http://141.218.60.56/~jnz1568/getInfo.php?workbook=14_04.xlsx&amp;sheet=U0&amp;row=1131&amp;col=6&amp;number=3.7&amp;sourceID=14","3.7")</f>
        <v>3.7</v>
      </c>
      <c r="G1131" s="4" t="str">
        <f>HYPERLINK("http://141.218.60.56/~jnz1568/getInfo.php?workbook=14_04.xlsx&amp;sheet=U0&amp;row=1131&amp;col=7&amp;number=6.99e-05&amp;sourceID=14","6.99e-05")</f>
        <v>6.99e-05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HYPERLINK("http://141.218.60.56/~jnz1568/getInfo.php?workbook=14_04.xlsx&amp;sheet=U0&amp;row=1132&amp;col=6&amp;number=3.8&amp;sourceID=14","3.8")</f>
        <v>3.8</v>
      </c>
      <c r="G1132" s="4" t="str">
        <f>HYPERLINK("http://141.218.60.56/~jnz1568/getInfo.php?workbook=14_04.xlsx&amp;sheet=U0&amp;row=1132&amp;col=7&amp;number=6.99e-05&amp;sourceID=14","6.99e-05")</f>
        <v>6.99e-05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HYPERLINK("http://141.218.60.56/~jnz1568/getInfo.php?workbook=14_04.xlsx&amp;sheet=U0&amp;row=1133&amp;col=6&amp;number=3.9&amp;sourceID=14","3.9")</f>
        <v>3.9</v>
      </c>
      <c r="G1133" s="4" t="str">
        <f>HYPERLINK("http://141.218.60.56/~jnz1568/getInfo.php?workbook=14_04.xlsx&amp;sheet=U0&amp;row=1133&amp;col=7&amp;number=6.99e-05&amp;sourceID=14","6.99e-05")</f>
        <v>6.99e-05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HYPERLINK("http://141.218.60.56/~jnz1568/getInfo.php?workbook=14_04.xlsx&amp;sheet=U0&amp;row=1134&amp;col=6&amp;number=4&amp;sourceID=14","4")</f>
        <v>4</v>
      </c>
      <c r="G1134" s="4" t="str">
        <f>HYPERLINK("http://141.218.60.56/~jnz1568/getInfo.php?workbook=14_04.xlsx&amp;sheet=U0&amp;row=1134&amp;col=7&amp;number=6.99e-05&amp;sourceID=14","6.99e-05")</f>
        <v>6.99e-05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HYPERLINK("http://141.218.60.56/~jnz1568/getInfo.php?workbook=14_04.xlsx&amp;sheet=U0&amp;row=1135&amp;col=6&amp;number=4.1&amp;sourceID=14","4.1")</f>
        <v>4.1</v>
      </c>
      <c r="G1135" s="4" t="str">
        <f>HYPERLINK("http://141.218.60.56/~jnz1568/getInfo.php?workbook=14_04.xlsx&amp;sheet=U0&amp;row=1135&amp;col=7&amp;number=6.99e-05&amp;sourceID=14","6.99e-05")</f>
        <v>6.99e-05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HYPERLINK("http://141.218.60.56/~jnz1568/getInfo.php?workbook=14_04.xlsx&amp;sheet=U0&amp;row=1136&amp;col=6&amp;number=4.2&amp;sourceID=14","4.2")</f>
        <v>4.2</v>
      </c>
      <c r="G1136" s="4" t="str">
        <f>HYPERLINK("http://141.218.60.56/~jnz1568/getInfo.php?workbook=14_04.xlsx&amp;sheet=U0&amp;row=1136&amp;col=7&amp;number=6.99e-05&amp;sourceID=14","6.99e-05")</f>
        <v>6.99e-05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HYPERLINK("http://141.218.60.56/~jnz1568/getInfo.php?workbook=14_04.xlsx&amp;sheet=U0&amp;row=1137&amp;col=6&amp;number=4.3&amp;sourceID=14","4.3")</f>
        <v>4.3</v>
      </c>
      <c r="G1137" s="4" t="str">
        <f>HYPERLINK("http://141.218.60.56/~jnz1568/getInfo.php?workbook=14_04.xlsx&amp;sheet=U0&amp;row=1137&amp;col=7&amp;number=6.99e-05&amp;sourceID=14","6.99e-05")</f>
        <v>6.99e-05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HYPERLINK("http://141.218.60.56/~jnz1568/getInfo.php?workbook=14_04.xlsx&amp;sheet=U0&amp;row=1138&amp;col=6&amp;number=4.4&amp;sourceID=14","4.4")</f>
        <v>4.4</v>
      </c>
      <c r="G1138" s="4" t="str">
        <f>HYPERLINK("http://141.218.60.56/~jnz1568/getInfo.php?workbook=14_04.xlsx&amp;sheet=U0&amp;row=1138&amp;col=7&amp;number=6.98e-05&amp;sourceID=14","6.98e-05")</f>
        <v>6.98e-05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HYPERLINK("http://141.218.60.56/~jnz1568/getInfo.php?workbook=14_04.xlsx&amp;sheet=U0&amp;row=1139&amp;col=6&amp;number=4.5&amp;sourceID=14","4.5")</f>
        <v>4.5</v>
      </c>
      <c r="G1139" s="4" t="str">
        <f>HYPERLINK("http://141.218.60.56/~jnz1568/getInfo.php?workbook=14_04.xlsx&amp;sheet=U0&amp;row=1139&amp;col=7&amp;number=6.98e-05&amp;sourceID=14","6.98e-05")</f>
        <v>6.98e-05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HYPERLINK("http://141.218.60.56/~jnz1568/getInfo.php?workbook=14_04.xlsx&amp;sheet=U0&amp;row=1140&amp;col=6&amp;number=4.6&amp;sourceID=14","4.6")</f>
        <v>4.6</v>
      </c>
      <c r="G1140" s="4" t="str">
        <f>HYPERLINK("http://141.218.60.56/~jnz1568/getInfo.php?workbook=14_04.xlsx&amp;sheet=U0&amp;row=1140&amp;col=7&amp;number=6.98e-05&amp;sourceID=14","6.98e-05")</f>
        <v>6.98e-05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HYPERLINK("http://141.218.60.56/~jnz1568/getInfo.php?workbook=14_04.xlsx&amp;sheet=U0&amp;row=1141&amp;col=6&amp;number=4.7&amp;sourceID=14","4.7")</f>
        <v>4.7</v>
      </c>
      <c r="G1141" s="4" t="str">
        <f>HYPERLINK("http://141.218.60.56/~jnz1568/getInfo.php?workbook=14_04.xlsx&amp;sheet=U0&amp;row=1141&amp;col=7&amp;number=6.98e-05&amp;sourceID=14","6.98e-05")</f>
        <v>6.98e-05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HYPERLINK("http://141.218.60.56/~jnz1568/getInfo.php?workbook=14_04.xlsx&amp;sheet=U0&amp;row=1142&amp;col=6&amp;number=4.8&amp;sourceID=14","4.8")</f>
        <v>4.8</v>
      </c>
      <c r="G1142" s="4" t="str">
        <f>HYPERLINK("http://141.218.60.56/~jnz1568/getInfo.php?workbook=14_04.xlsx&amp;sheet=U0&amp;row=1142&amp;col=7&amp;number=6.98e-05&amp;sourceID=14","6.98e-05")</f>
        <v>6.98e-05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HYPERLINK("http://141.218.60.56/~jnz1568/getInfo.php?workbook=14_04.xlsx&amp;sheet=U0&amp;row=1143&amp;col=6&amp;number=4.9&amp;sourceID=14","4.9")</f>
        <v>4.9</v>
      </c>
      <c r="G1143" s="4" t="str">
        <f>HYPERLINK("http://141.218.60.56/~jnz1568/getInfo.php?workbook=14_04.xlsx&amp;sheet=U0&amp;row=1143&amp;col=7&amp;number=6.98e-05&amp;sourceID=14","6.98e-05")</f>
        <v>6.98e-05</v>
      </c>
    </row>
    <row r="1144" spans="1:7">
      <c r="A1144" s="3">
        <v>14</v>
      </c>
      <c r="B1144" s="3">
        <v>4</v>
      </c>
      <c r="C1144" s="3">
        <v>1</v>
      </c>
      <c r="D1144" s="3">
        <v>23</v>
      </c>
      <c r="E1144" s="3">
        <v>1</v>
      </c>
      <c r="F1144" s="4" t="str">
        <f>HYPERLINK("http://141.218.60.56/~jnz1568/getInfo.php?workbook=14_04.xlsx&amp;sheet=U0&amp;row=1144&amp;col=6&amp;number=3&amp;sourceID=14","3")</f>
        <v>3</v>
      </c>
      <c r="G1144" s="4" t="str">
        <f>HYPERLINK("http://141.218.60.56/~jnz1568/getInfo.php?workbook=14_04.xlsx&amp;sheet=U0&amp;row=1144&amp;col=7&amp;number=0.00014&amp;sourceID=14","0.00014")</f>
        <v>0.00014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HYPERLINK("http://141.218.60.56/~jnz1568/getInfo.php?workbook=14_04.xlsx&amp;sheet=U0&amp;row=1145&amp;col=6&amp;number=3.1&amp;sourceID=14","3.1")</f>
        <v>3.1</v>
      </c>
      <c r="G1145" s="4" t="str">
        <f>HYPERLINK("http://141.218.60.56/~jnz1568/getInfo.php?workbook=14_04.xlsx&amp;sheet=U0&amp;row=1145&amp;col=7&amp;number=0.00014&amp;sourceID=14","0.00014")</f>
        <v>0.00014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HYPERLINK("http://141.218.60.56/~jnz1568/getInfo.php?workbook=14_04.xlsx&amp;sheet=U0&amp;row=1146&amp;col=6&amp;number=3.2&amp;sourceID=14","3.2")</f>
        <v>3.2</v>
      </c>
      <c r="G1146" s="4" t="str">
        <f>HYPERLINK("http://141.218.60.56/~jnz1568/getInfo.php?workbook=14_04.xlsx&amp;sheet=U0&amp;row=1146&amp;col=7&amp;number=0.00014&amp;sourceID=14","0.00014")</f>
        <v>0.00014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HYPERLINK("http://141.218.60.56/~jnz1568/getInfo.php?workbook=14_04.xlsx&amp;sheet=U0&amp;row=1147&amp;col=6&amp;number=3.3&amp;sourceID=14","3.3")</f>
        <v>3.3</v>
      </c>
      <c r="G1147" s="4" t="str">
        <f>HYPERLINK("http://141.218.60.56/~jnz1568/getInfo.php?workbook=14_04.xlsx&amp;sheet=U0&amp;row=1147&amp;col=7&amp;number=0.00014&amp;sourceID=14","0.00014")</f>
        <v>0.00014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HYPERLINK("http://141.218.60.56/~jnz1568/getInfo.php?workbook=14_04.xlsx&amp;sheet=U0&amp;row=1148&amp;col=6&amp;number=3.4&amp;sourceID=14","3.4")</f>
        <v>3.4</v>
      </c>
      <c r="G1148" s="4" t="str">
        <f>HYPERLINK("http://141.218.60.56/~jnz1568/getInfo.php?workbook=14_04.xlsx&amp;sheet=U0&amp;row=1148&amp;col=7&amp;number=0.00014&amp;sourceID=14","0.00014")</f>
        <v>0.00014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HYPERLINK("http://141.218.60.56/~jnz1568/getInfo.php?workbook=14_04.xlsx&amp;sheet=U0&amp;row=1149&amp;col=6&amp;number=3.5&amp;sourceID=14","3.5")</f>
        <v>3.5</v>
      </c>
      <c r="G1149" s="4" t="str">
        <f>HYPERLINK("http://141.218.60.56/~jnz1568/getInfo.php?workbook=14_04.xlsx&amp;sheet=U0&amp;row=1149&amp;col=7&amp;number=0.00014&amp;sourceID=14","0.00014")</f>
        <v>0.00014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HYPERLINK("http://141.218.60.56/~jnz1568/getInfo.php?workbook=14_04.xlsx&amp;sheet=U0&amp;row=1150&amp;col=6&amp;number=3.6&amp;sourceID=14","3.6")</f>
        <v>3.6</v>
      </c>
      <c r="G1150" s="4" t="str">
        <f>HYPERLINK("http://141.218.60.56/~jnz1568/getInfo.php?workbook=14_04.xlsx&amp;sheet=U0&amp;row=1150&amp;col=7&amp;number=0.000139&amp;sourceID=14","0.000139")</f>
        <v>0.000139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HYPERLINK("http://141.218.60.56/~jnz1568/getInfo.php?workbook=14_04.xlsx&amp;sheet=U0&amp;row=1151&amp;col=6&amp;number=3.7&amp;sourceID=14","3.7")</f>
        <v>3.7</v>
      </c>
      <c r="G1151" s="4" t="str">
        <f>HYPERLINK("http://141.218.60.56/~jnz1568/getInfo.php?workbook=14_04.xlsx&amp;sheet=U0&amp;row=1151&amp;col=7&amp;number=0.000139&amp;sourceID=14","0.000139")</f>
        <v>0.000139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HYPERLINK("http://141.218.60.56/~jnz1568/getInfo.php?workbook=14_04.xlsx&amp;sheet=U0&amp;row=1152&amp;col=6&amp;number=3.8&amp;sourceID=14","3.8")</f>
        <v>3.8</v>
      </c>
      <c r="G1152" s="4" t="str">
        <f>HYPERLINK("http://141.218.60.56/~jnz1568/getInfo.php?workbook=14_04.xlsx&amp;sheet=U0&amp;row=1152&amp;col=7&amp;number=0.000139&amp;sourceID=14","0.000139")</f>
        <v>0.000139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HYPERLINK("http://141.218.60.56/~jnz1568/getInfo.php?workbook=14_04.xlsx&amp;sheet=U0&amp;row=1153&amp;col=6&amp;number=3.9&amp;sourceID=14","3.9")</f>
        <v>3.9</v>
      </c>
      <c r="G1153" s="4" t="str">
        <f>HYPERLINK("http://141.218.60.56/~jnz1568/getInfo.php?workbook=14_04.xlsx&amp;sheet=U0&amp;row=1153&amp;col=7&amp;number=0.000139&amp;sourceID=14","0.000139")</f>
        <v>0.000139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HYPERLINK("http://141.218.60.56/~jnz1568/getInfo.php?workbook=14_04.xlsx&amp;sheet=U0&amp;row=1154&amp;col=6&amp;number=4&amp;sourceID=14","4")</f>
        <v>4</v>
      </c>
      <c r="G1154" s="4" t="str">
        <f>HYPERLINK("http://141.218.60.56/~jnz1568/getInfo.php?workbook=14_04.xlsx&amp;sheet=U0&amp;row=1154&amp;col=7&amp;number=0.000139&amp;sourceID=14","0.000139")</f>
        <v>0.000139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HYPERLINK("http://141.218.60.56/~jnz1568/getInfo.php?workbook=14_04.xlsx&amp;sheet=U0&amp;row=1155&amp;col=6&amp;number=4.1&amp;sourceID=14","4.1")</f>
        <v>4.1</v>
      </c>
      <c r="G1155" s="4" t="str">
        <f>HYPERLINK("http://141.218.60.56/~jnz1568/getInfo.php?workbook=14_04.xlsx&amp;sheet=U0&amp;row=1155&amp;col=7&amp;number=0.000139&amp;sourceID=14","0.000139")</f>
        <v>0.000139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HYPERLINK("http://141.218.60.56/~jnz1568/getInfo.php?workbook=14_04.xlsx&amp;sheet=U0&amp;row=1156&amp;col=6&amp;number=4.2&amp;sourceID=14","4.2")</f>
        <v>4.2</v>
      </c>
      <c r="G1156" s="4" t="str">
        <f>HYPERLINK("http://141.218.60.56/~jnz1568/getInfo.php?workbook=14_04.xlsx&amp;sheet=U0&amp;row=1156&amp;col=7&amp;number=0.000139&amp;sourceID=14","0.000139")</f>
        <v>0.000139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HYPERLINK("http://141.218.60.56/~jnz1568/getInfo.php?workbook=14_04.xlsx&amp;sheet=U0&amp;row=1157&amp;col=6&amp;number=4.3&amp;sourceID=14","4.3")</f>
        <v>4.3</v>
      </c>
      <c r="G1157" s="4" t="str">
        <f>HYPERLINK("http://141.218.60.56/~jnz1568/getInfo.php?workbook=14_04.xlsx&amp;sheet=U0&amp;row=1157&amp;col=7&amp;number=0.000139&amp;sourceID=14","0.000139")</f>
        <v>0.000139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HYPERLINK("http://141.218.60.56/~jnz1568/getInfo.php?workbook=14_04.xlsx&amp;sheet=U0&amp;row=1158&amp;col=6&amp;number=4.4&amp;sourceID=14","4.4")</f>
        <v>4.4</v>
      </c>
      <c r="G1158" s="4" t="str">
        <f>HYPERLINK("http://141.218.60.56/~jnz1568/getInfo.php?workbook=14_04.xlsx&amp;sheet=U0&amp;row=1158&amp;col=7&amp;number=0.000138&amp;sourceID=14","0.000138")</f>
        <v>0.000138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HYPERLINK("http://141.218.60.56/~jnz1568/getInfo.php?workbook=14_04.xlsx&amp;sheet=U0&amp;row=1159&amp;col=6&amp;number=4.5&amp;sourceID=14","4.5")</f>
        <v>4.5</v>
      </c>
      <c r="G1159" s="4" t="str">
        <f>HYPERLINK("http://141.218.60.56/~jnz1568/getInfo.php?workbook=14_04.xlsx&amp;sheet=U0&amp;row=1159&amp;col=7&amp;number=0.000138&amp;sourceID=14","0.000138")</f>
        <v>0.000138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HYPERLINK("http://141.218.60.56/~jnz1568/getInfo.php?workbook=14_04.xlsx&amp;sheet=U0&amp;row=1160&amp;col=6&amp;number=4.6&amp;sourceID=14","4.6")</f>
        <v>4.6</v>
      </c>
      <c r="G1160" s="4" t="str">
        <f>HYPERLINK("http://141.218.60.56/~jnz1568/getInfo.php?workbook=14_04.xlsx&amp;sheet=U0&amp;row=1160&amp;col=7&amp;number=0.000138&amp;sourceID=14","0.000138")</f>
        <v>0.000138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HYPERLINK("http://141.218.60.56/~jnz1568/getInfo.php?workbook=14_04.xlsx&amp;sheet=U0&amp;row=1161&amp;col=6&amp;number=4.7&amp;sourceID=14","4.7")</f>
        <v>4.7</v>
      </c>
      <c r="G1161" s="4" t="str">
        <f>HYPERLINK("http://141.218.60.56/~jnz1568/getInfo.php?workbook=14_04.xlsx&amp;sheet=U0&amp;row=1161&amp;col=7&amp;number=0.000137&amp;sourceID=14","0.000137")</f>
        <v>0.000137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HYPERLINK("http://141.218.60.56/~jnz1568/getInfo.php?workbook=14_04.xlsx&amp;sheet=U0&amp;row=1162&amp;col=6&amp;number=4.8&amp;sourceID=14","4.8")</f>
        <v>4.8</v>
      </c>
      <c r="G1162" s="4" t="str">
        <f>HYPERLINK("http://141.218.60.56/~jnz1568/getInfo.php?workbook=14_04.xlsx&amp;sheet=U0&amp;row=1162&amp;col=7&amp;number=0.000137&amp;sourceID=14","0.000137")</f>
        <v>0.000137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HYPERLINK("http://141.218.60.56/~jnz1568/getInfo.php?workbook=14_04.xlsx&amp;sheet=U0&amp;row=1163&amp;col=6&amp;number=4.9&amp;sourceID=14","4.9")</f>
        <v>4.9</v>
      </c>
      <c r="G1163" s="4" t="str">
        <f>HYPERLINK("http://141.218.60.56/~jnz1568/getInfo.php?workbook=14_04.xlsx&amp;sheet=U0&amp;row=1163&amp;col=7&amp;number=0.000136&amp;sourceID=14","0.000136")</f>
        <v>0.000136</v>
      </c>
    </row>
    <row r="1164" spans="1:7">
      <c r="A1164" s="3">
        <v>14</v>
      </c>
      <c r="B1164" s="3">
        <v>4</v>
      </c>
      <c r="C1164" s="3">
        <v>1</v>
      </c>
      <c r="D1164" s="3">
        <v>24</v>
      </c>
      <c r="E1164" s="3">
        <v>1</v>
      </c>
      <c r="F1164" s="4" t="str">
        <f>HYPERLINK("http://141.218.60.56/~jnz1568/getInfo.php?workbook=14_04.xlsx&amp;sheet=U0&amp;row=1164&amp;col=6&amp;number=3&amp;sourceID=14","3")</f>
        <v>3</v>
      </c>
      <c r="G1164" s="4" t="str">
        <f>HYPERLINK("http://141.218.60.56/~jnz1568/getInfo.php?workbook=14_04.xlsx&amp;sheet=U0&amp;row=1164&amp;col=7&amp;number=0.000882&amp;sourceID=14","0.000882")</f>
        <v>0.000882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HYPERLINK("http://141.218.60.56/~jnz1568/getInfo.php?workbook=14_04.xlsx&amp;sheet=U0&amp;row=1165&amp;col=6&amp;number=3.1&amp;sourceID=14","3.1")</f>
        <v>3.1</v>
      </c>
      <c r="G1165" s="4" t="str">
        <f>HYPERLINK("http://141.218.60.56/~jnz1568/getInfo.php?workbook=14_04.xlsx&amp;sheet=U0&amp;row=1165&amp;col=7&amp;number=0.000882&amp;sourceID=14","0.000882")</f>
        <v>0.000882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HYPERLINK("http://141.218.60.56/~jnz1568/getInfo.php?workbook=14_04.xlsx&amp;sheet=U0&amp;row=1166&amp;col=6&amp;number=3.2&amp;sourceID=14","3.2")</f>
        <v>3.2</v>
      </c>
      <c r="G1166" s="4" t="str">
        <f>HYPERLINK("http://141.218.60.56/~jnz1568/getInfo.php?workbook=14_04.xlsx&amp;sheet=U0&amp;row=1166&amp;col=7&amp;number=0.000882&amp;sourceID=14","0.000882")</f>
        <v>0.000882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HYPERLINK("http://141.218.60.56/~jnz1568/getInfo.php?workbook=14_04.xlsx&amp;sheet=U0&amp;row=1167&amp;col=6&amp;number=3.3&amp;sourceID=14","3.3")</f>
        <v>3.3</v>
      </c>
      <c r="G1167" s="4" t="str">
        <f>HYPERLINK("http://141.218.60.56/~jnz1568/getInfo.php?workbook=14_04.xlsx&amp;sheet=U0&amp;row=1167&amp;col=7&amp;number=0.000882&amp;sourceID=14","0.000882")</f>
        <v>0.000882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HYPERLINK("http://141.218.60.56/~jnz1568/getInfo.php?workbook=14_04.xlsx&amp;sheet=U0&amp;row=1168&amp;col=6&amp;number=3.4&amp;sourceID=14","3.4")</f>
        <v>3.4</v>
      </c>
      <c r="G1168" s="4" t="str">
        <f>HYPERLINK("http://141.218.60.56/~jnz1568/getInfo.php?workbook=14_04.xlsx&amp;sheet=U0&amp;row=1168&amp;col=7&amp;number=0.000882&amp;sourceID=14","0.000882")</f>
        <v>0.000882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HYPERLINK("http://141.218.60.56/~jnz1568/getInfo.php?workbook=14_04.xlsx&amp;sheet=U0&amp;row=1169&amp;col=6&amp;number=3.5&amp;sourceID=14","3.5")</f>
        <v>3.5</v>
      </c>
      <c r="G1169" s="4" t="str">
        <f>HYPERLINK("http://141.218.60.56/~jnz1568/getInfo.php?workbook=14_04.xlsx&amp;sheet=U0&amp;row=1169&amp;col=7&amp;number=0.000882&amp;sourceID=14","0.000882")</f>
        <v>0.000882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HYPERLINK("http://141.218.60.56/~jnz1568/getInfo.php?workbook=14_04.xlsx&amp;sheet=U0&amp;row=1170&amp;col=6&amp;number=3.6&amp;sourceID=14","3.6")</f>
        <v>3.6</v>
      </c>
      <c r="G1170" s="4" t="str">
        <f>HYPERLINK("http://141.218.60.56/~jnz1568/getInfo.php?workbook=14_04.xlsx&amp;sheet=U0&amp;row=1170&amp;col=7&amp;number=0.000883&amp;sourceID=14","0.000883")</f>
        <v>0.000883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HYPERLINK("http://141.218.60.56/~jnz1568/getInfo.php?workbook=14_04.xlsx&amp;sheet=U0&amp;row=1171&amp;col=6&amp;number=3.7&amp;sourceID=14","3.7")</f>
        <v>3.7</v>
      </c>
      <c r="G1171" s="4" t="str">
        <f>HYPERLINK("http://141.218.60.56/~jnz1568/getInfo.php?workbook=14_04.xlsx&amp;sheet=U0&amp;row=1171&amp;col=7&amp;number=0.000883&amp;sourceID=14","0.000883")</f>
        <v>0.000883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HYPERLINK("http://141.218.60.56/~jnz1568/getInfo.php?workbook=14_04.xlsx&amp;sheet=U0&amp;row=1172&amp;col=6&amp;number=3.8&amp;sourceID=14","3.8")</f>
        <v>3.8</v>
      </c>
      <c r="G1172" s="4" t="str">
        <f>HYPERLINK("http://141.218.60.56/~jnz1568/getInfo.php?workbook=14_04.xlsx&amp;sheet=U0&amp;row=1172&amp;col=7&amp;number=0.000883&amp;sourceID=14","0.000883")</f>
        <v>0.000883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HYPERLINK("http://141.218.60.56/~jnz1568/getInfo.php?workbook=14_04.xlsx&amp;sheet=U0&amp;row=1173&amp;col=6&amp;number=3.9&amp;sourceID=14","3.9")</f>
        <v>3.9</v>
      </c>
      <c r="G1173" s="4" t="str">
        <f>HYPERLINK("http://141.218.60.56/~jnz1568/getInfo.php?workbook=14_04.xlsx&amp;sheet=U0&amp;row=1173&amp;col=7&amp;number=0.000884&amp;sourceID=14","0.000884")</f>
        <v>0.000884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HYPERLINK("http://141.218.60.56/~jnz1568/getInfo.php?workbook=14_04.xlsx&amp;sheet=U0&amp;row=1174&amp;col=6&amp;number=4&amp;sourceID=14","4")</f>
        <v>4</v>
      </c>
      <c r="G1174" s="4" t="str">
        <f>HYPERLINK("http://141.218.60.56/~jnz1568/getInfo.php?workbook=14_04.xlsx&amp;sheet=U0&amp;row=1174&amp;col=7&amp;number=0.000885&amp;sourceID=14","0.000885")</f>
        <v>0.000885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HYPERLINK("http://141.218.60.56/~jnz1568/getInfo.php?workbook=14_04.xlsx&amp;sheet=U0&amp;row=1175&amp;col=6&amp;number=4.1&amp;sourceID=14","4.1")</f>
        <v>4.1</v>
      </c>
      <c r="G1175" s="4" t="str">
        <f>HYPERLINK("http://141.218.60.56/~jnz1568/getInfo.php?workbook=14_04.xlsx&amp;sheet=U0&amp;row=1175&amp;col=7&amp;number=0.000886&amp;sourceID=14","0.000886")</f>
        <v>0.000886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HYPERLINK("http://141.218.60.56/~jnz1568/getInfo.php?workbook=14_04.xlsx&amp;sheet=U0&amp;row=1176&amp;col=6&amp;number=4.2&amp;sourceID=14","4.2")</f>
        <v>4.2</v>
      </c>
      <c r="G1176" s="4" t="str">
        <f>HYPERLINK("http://141.218.60.56/~jnz1568/getInfo.php?workbook=14_04.xlsx&amp;sheet=U0&amp;row=1176&amp;col=7&amp;number=0.000887&amp;sourceID=14","0.000887")</f>
        <v>0.000887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HYPERLINK("http://141.218.60.56/~jnz1568/getInfo.php?workbook=14_04.xlsx&amp;sheet=U0&amp;row=1177&amp;col=6&amp;number=4.3&amp;sourceID=14","4.3")</f>
        <v>4.3</v>
      </c>
      <c r="G1177" s="4" t="str">
        <f>HYPERLINK("http://141.218.60.56/~jnz1568/getInfo.php?workbook=14_04.xlsx&amp;sheet=U0&amp;row=1177&amp;col=7&amp;number=0.000888&amp;sourceID=14","0.000888")</f>
        <v>0.000888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HYPERLINK("http://141.218.60.56/~jnz1568/getInfo.php?workbook=14_04.xlsx&amp;sheet=U0&amp;row=1178&amp;col=6&amp;number=4.4&amp;sourceID=14","4.4")</f>
        <v>4.4</v>
      </c>
      <c r="G1178" s="4" t="str">
        <f>HYPERLINK("http://141.218.60.56/~jnz1568/getInfo.php?workbook=14_04.xlsx&amp;sheet=U0&amp;row=1178&amp;col=7&amp;number=0.00089&amp;sourceID=14","0.00089")</f>
        <v>0.00089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HYPERLINK("http://141.218.60.56/~jnz1568/getInfo.php?workbook=14_04.xlsx&amp;sheet=U0&amp;row=1179&amp;col=6&amp;number=4.5&amp;sourceID=14","4.5")</f>
        <v>4.5</v>
      </c>
      <c r="G1179" s="4" t="str">
        <f>HYPERLINK("http://141.218.60.56/~jnz1568/getInfo.php?workbook=14_04.xlsx&amp;sheet=U0&amp;row=1179&amp;col=7&amp;number=0.000892&amp;sourceID=14","0.000892")</f>
        <v>0.000892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HYPERLINK("http://141.218.60.56/~jnz1568/getInfo.php?workbook=14_04.xlsx&amp;sheet=U0&amp;row=1180&amp;col=6&amp;number=4.6&amp;sourceID=14","4.6")</f>
        <v>4.6</v>
      </c>
      <c r="G1180" s="4" t="str">
        <f>HYPERLINK("http://141.218.60.56/~jnz1568/getInfo.php?workbook=14_04.xlsx&amp;sheet=U0&amp;row=1180&amp;col=7&amp;number=0.000895&amp;sourceID=14","0.000895")</f>
        <v>0.000895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HYPERLINK("http://141.218.60.56/~jnz1568/getInfo.php?workbook=14_04.xlsx&amp;sheet=U0&amp;row=1181&amp;col=6&amp;number=4.7&amp;sourceID=14","4.7")</f>
        <v>4.7</v>
      </c>
      <c r="G1181" s="4" t="str">
        <f>HYPERLINK("http://141.218.60.56/~jnz1568/getInfo.php?workbook=14_04.xlsx&amp;sheet=U0&amp;row=1181&amp;col=7&amp;number=0.000899&amp;sourceID=14","0.000899")</f>
        <v>0.000899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HYPERLINK("http://141.218.60.56/~jnz1568/getInfo.php?workbook=14_04.xlsx&amp;sheet=U0&amp;row=1182&amp;col=6&amp;number=4.8&amp;sourceID=14","4.8")</f>
        <v>4.8</v>
      </c>
      <c r="G1182" s="4" t="str">
        <f>HYPERLINK("http://141.218.60.56/~jnz1568/getInfo.php?workbook=14_04.xlsx&amp;sheet=U0&amp;row=1182&amp;col=7&amp;number=0.000903&amp;sourceID=14","0.000903")</f>
        <v>0.000903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HYPERLINK("http://141.218.60.56/~jnz1568/getInfo.php?workbook=14_04.xlsx&amp;sheet=U0&amp;row=1183&amp;col=6&amp;number=4.9&amp;sourceID=14","4.9")</f>
        <v>4.9</v>
      </c>
      <c r="G1183" s="4" t="str">
        <f>HYPERLINK("http://141.218.60.56/~jnz1568/getInfo.php?workbook=14_04.xlsx&amp;sheet=U0&amp;row=1183&amp;col=7&amp;number=0.000909&amp;sourceID=14","0.000909")</f>
        <v>0.000909</v>
      </c>
    </row>
    <row r="1184" spans="1:7">
      <c r="A1184" s="3">
        <v>14</v>
      </c>
      <c r="B1184" s="3">
        <v>4</v>
      </c>
      <c r="C1184" s="3">
        <v>1</v>
      </c>
      <c r="D1184" s="3">
        <v>25</v>
      </c>
      <c r="E1184" s="3">
        <v>1</v>
      </c>
      <c r="F1184" s="4" t="str">
        <f>HYPERLINK("http://141.218.60.56/~jnz1568/getInfo.php?workbook=14_04.xlsx&amp;sheet=U0&amp;row=1184&amp;col=6&amp;number=3&amp;sourceID=14","3")</f>
        <v>3</v>
      </c>
      <c r="G1184" s="4" t="str">
        <f>HYPERLINK("http://141.218.60.56/~jnz1568/getInfo.php?workbook=14_04.xlsx&amp;sheet=U0&amp;row=1184&amp;col=7&amp;number=8.49e-05&amp;sourceID=14","8.49e-05")</f>
        <v>8.49e-05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HYPERLINK("http://141.218.60.56/~jnz1568/getInfo.php?workbook=14_04.xlsx&amp;sheet=U0&amp;row=1185&amp;col=6&amp;number=3.1&amp;sourceID=14","3.1")</f>
        <v>3.1</v>
      </c>
      <c r="G1185" s="4" t="str">
        <f>HYPERLINK("http://141.218.60.56/~jnz1568/getInfo.php?workbook=14_04.xlsx&amp;sheet=U0&amp;row=1185&amp;col=7&amp;number=8.49e-05&amp;sourceID=14","8.49e-05")</f>
        <v>8.49e-05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HYPERLINK("http://141.218.60.56/~jnz1568/getInfo.php?workbook=14_04.xlsx&amp;sheet=U0&amp;row=1186&amp;col=6&amp;number=3.2&amp;sourceID=14","3.2")</f>
        <v>3.2</v>
      </c>
      <c r="G1186" s="4" t="str">
        <f>HYPERLINK("http://141.218.60.56/~jnz1568/getInfo.php?workbook=14_04.xlsx&amp;sheet=U0&amp;row=1186&amp;col=7&amp;number=8.49e-05&amp;sourceID=14","8.49e-05")</f>
        <v>8.49e-05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HYPERLINK("http://141.218.60.56/~jnz1568/getInfo.php?workbook=14_04.xlsx&amp;sheet=U0&amp;row=1187&amp;col=6&amp;number=3.3&amp;sourceID=14","3.3")</f>
        <v>3.3</v>
      </c>
      <c r="G1187" s="4" t="str">
        <f>HYPERLINK("http://141.218.60.56/~jnz1568/getInfo.php?workbook=14_04.xlsx&amp;sheet=U0&amp;row=1187&amp;col=7&amp;number=8.49e-05&amp;sourceID=14","8.49e-05")</f>
        <v>8.49e-05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HYPERLINK("http://141.218.60.56/~jnz1568/getInfo.php?workbook=14_04.xlsx&amp;sheet=U0&amp;row=1188&amp;col=6&amp;number=3.4&amp;sourceID=14","3.4")</f>
        <v>3.4</v>
      </c>
      <c r="G1188" s="4" t="str">
        <f>HYPERLINK("http://141.218.60.56/~jnz1568/getInfo.php?workbook=14_04.xlsx&amp;sheet=U0&amp;row=1188&amp;col=7&amp;number=8.49e-05&amp;sourceID=14","8.49e-05")</f>
        <v>8.49e-05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HYPERLINK("http://141.218.60.56/~jnz1568/getInfo.php?workbook=14_04.xlsx&amp;sheet=U0&amp;row=1189&amp;col=6&amp;number=3.5&amp;sourceID=14","3.5")</f>
        <v>3.5</v>
      </c>
      <c r="G1189" s="4" t="str">
        <f>HYPERLINK("http://141.218.60.56/~jnz1568/getInfo.php?workbook=14_04.xlsx&amp;sheet=U0&amp;row=1189&amp;col=7&amp;number=8.49e-05&amp;sourceID=14","8.49e-05")</f>
        <v>8.49e-05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HYPERLINK("http://141.218.60.56/~jnz1568/getInfo.php?workbook=14_04.xlsx&amp;sheet=U0&amp;row=1190&amp;col=6&amp;number=3.6&amp;sourceID=14","3.6")</f>
        <v>3.6</v>
      </c>
      <c r="G1190" s="4" t="str">
        <f>HYPERLINK("http://141.218.60.56/~jnz1568/getInfo.php?workbook=14_04.xlsx&amp;sheet=U0&amp;row=1190&amp;col=7&amp;number=8.49e-05&amp;sourceID=14","8.49e-05")</f>
        <v>8.49e-05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HYPERLINK("http://141.218.60.56/~jnz1568/getInfo.php?workbook=14_04.xlsx&amp;sheet=U0&amp;row=1191&amp;col=6&amp;number=3.7&amp;sourceID=14","3.7")</f>
        <v>3.7</v>
      </c>
      <c r="G1191" s="4" t="str">
        <f>HYPERLINK("http://141.218.60.56/~jnz1568/getInfo.php?workbook=14_04.xlsx&amp;sheet=U0&amp;row=1191&amp;col=7&amp;number=8.49e-05&amp;sourceID=14","8.49e-05")</f>
        <v>8.49e-05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HYPERLINK("http://141.218.60.56/~jnz1568/getInfo.php?workbook=14_04.xlsx&amp;sheet=U0&amp;row=1192&amp;col=6&amp;number=3.8&amp;sourceID=14","3.8")</f>
        <v>3.8</v>
      </c>
      <c r="G1192" s="4" t="str">
        <f>HYPERLINK("http://141.218.60.56/~jnz1568/getInfo.php?workbook=14_04.xlsx&amp;sheet=U0&amp;row=1192&amp;col=7&amp;number=8.49e-05&amp;sourceID=14","8.49e-05")</f>
        <v>8.49e-05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HYPERLINK("http://141.218.60.56/~jnz1568/getInfo.php?workbook=14_04.xlsx&amp;sheet=U0&amp;row=1193&amp;col=6&amp;number=3.9&amp;sourceID=14","3.9")</f>
        <v>3.9</v>
      </c>
      <c r="G1193" s="4" t="str">
        <f>HYPERLINK("http://141.218.60.56/~jnz1568/getInfo.php?workbook=14_04.xlsx&amp;sheet=U0&amp;row=1193&amp;col=7&amp;number=8.48e-05&amp;sourceID=14","8.48e-05")</f>
        <v>8.48e-05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HYPERLINK("http://141.218.60.56/~jnz1568/getInfo.php?workbook=14_04.xlsx&amp;sheet=U0&amp;row=1194&amp;col=6&amp;number=4&amp;sourceID=14","4")</f>
        <v>4</v>
      </c>
      <c r="G1194" s="4" t="str">
        <f>HYPERLINK("http://141.218.60.56/~jnz1568/getInfo.php?workbook=14_04.xlsx&amp;sheet=U0&amp;row=1194&amp;col=7&amp;number=8.48e-05&amp;sourceID=14","8.48e-05")</f>
        <v>8.48e-05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HYPERLINK("http://141.218.60.56/~jnz1568/getInfo.php?workbook=14_04.xlsx&amp;sheet=U0&amp;row=1195&amp;col=6&amp;number=4.1&amp;sourceID=14","4.1")</f>
        <v>4.1</v>
      </c>
      <c r="G1195" s="4" t="str">
        <f>HYPERLINK("http://141.218.60.56/~jnz1568/getInfo.php?workbook=14_04.xlsx&amp;sheet=U0&amp;row=1195&amp;col=7&amp;number=8.48e-05&amp;sourceID=14","8.48e-05")</f>
        <v>8.48e-05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HYPERLINK("http://141.218.60.56/~jnz1568/getInfo.php?workbook=14_04.xlsx&amp;sheet=U0&amp;row=1196&amp;col=6&amp;number=4.2&amp;sourceID=14","4.2")</f>
        <v>4.2</v>
      </c>
      <c r="G1196" s="4" t="str">
        <f>HYPERLINK("http://141.218.60.56/~jnz1568/getInfo.php?workbook=14_04.xlsx&amp;sheet=U0&amp;row=1196&amp;col=7&amp;number=8.48e-05&amp;sourceID=14","8.48e-05")</f>
        <v>8.48e-05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HYPERLINK("http://141.218.60.56/~jnz1568/getInfo.php?workbook=14_04.xlsx&amp;sheet=U0&amp;row=1197&amp;col=6&amp;number=4.3&amp;sourceID=14","4.3")</f>
        <v>4.3</v>
      </c>
      <c r="G1197" s="4" t="str">
        <f>HYPERLINK("http://141.218.60.56/~jnz1568/getInfo.php?workbook=14_04.xlsx&amp;sheet=U0&amp;row=1197&amp;col=7&amp;number=8.48e-05&amp;sourceID=14","8.48e-05")</f>
        <v>8.48e-05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HYPERLINK("http://141.218.60.56/~jnz1568/getInfo.php?workbook=14_04.xlsx&amp;sheet=U0&amp;row=1198&amp;col=6&amp;number=4.4&amp;sourceID=14","4.4")</f>
        <v>4.4</v>
      </c>
      <c r="G1198" s="4" t="str">
        <f>HYPERLINK("http://141.218.60.56/~jnz1568/getInfo.php?workbook=14_04.xlsx&amp;sheet=U0&amp;row=1198&amp;col=7&amp;number=8.48e-05&amp;sourceID=14","8.48e-05")</f>
        <v>8.48e-05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HYPERLINK("http://141.218.60.56/~jnz1568/getInfo.php?workbook=14_04.xlsx&amp;sheet=U0&amp;row=1199&amp;col=6&amp;number=4.5&amp;sourceID=14","4.5")</f>
        <v>4.5</v>
      </c>
      <c r="G1199" s="4" t="str">
        <f>HYPERLINK("http://141.218.60.56/~jnz1568/getInfo.php?workbook=14_04.xlsx&amp;sheet=U0&amp;row=1199&amp;col=7&amp;number=8.47e-05&amp;sourceID=14","8.47e-05")</f>
        <v>8.47e-05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HYPERLINK("http://141.218.60.56/~jnz1568/getInfo.php?workbook=14_04.xlsx&amp;sheet=U0&amp;row=1200&amp;col=6&amp;number=4.6&amp;sourceID=14","4.6")</f>
        <v>4.6</v>
      </c>
      <c r="G1200" s="4" t="str">
        <f>HYPERLINK("http://141.218.60.56/~jnz1568/getInfo.php?workbook=14_04.xlsx&amp;sheet=U0&amp;row=1200&amp;col=7&amp;number=8.47e-05&amp;sourceID=14","8.47e-05")</f>
        <v>8.47e-05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HYPERLINK("http://141.218.60.56/~jnz1568/getInfo.php?workbook=14_04.xlsx&amp;sheet=U0&amp;row=1201&amp;col=6&amp;number=4.7&amp;sourceID=14","4.7")</f>
        <v>4.7</v>
      </c>
      <c r="G1201" s="4" t="str">
        <f>HYPERLINK("http://141.218.60.56/~jnz1568/getInfo.php?workbook=14_04.xlsx&amp;sheet=U0&amp;row=1201&amp;col=7&amp;number=8.46e-05&amp;sourceID=14","8.46e-05")</f>
        <v>8.46e-05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HYPERLINK("http://141.218.60.56/~jnz1568/getInfo.php?workbook=14_04.xlsx&amp;sheet=U0&amp;row=1202&amp;col=6&amp;number=4.8&amp;sourceID=14","4.8")</f>
        <v>4.8</v>
      </c>
      <c r="G1202" s="4" t="str">
        <f>HYPERLINK("http://141.218.60.56/~jnz1568/getInfo.php?workbook=14_04.xlsx&amp;sheet=U0&amp;row=1202&amp;col=7&amp;number=8.46e-05&amp;sourceID=14","8.46e-05")</f>
        <v>8.46e-05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HYPERLINK("http://141.218.60.56/~jnz1568/getInfo.php?workbook=14_04.xlsx&amp;sheet=U0&amp;row=1203&amp;col=6&amp;number=4.9&amp;sourceID=14","4.9")</f>
        <v>4.9</v>
      </c>
      <c r="G1203" s="4" t="str">
        <f>HYPERLINK("http://141.218.60.56/~jnz1568/getInfo.php?workbook=14_04.xlsx&amp;sheet=U0&amp;row=1203&amp;col=7&amp;number=8.45e-05&amp;sourceID=14","8.45e-05")</f>
        <v>8.45e-05</v>
      </c>
    </row>
    <row r="1204" spans="1:7">
      <c r="A1204" s="3">
        <v>14</v>
      </c>
      <c r="B1204" s="3">
        <v>4</v>
      </c>
      <c r="C1204" s="3">
        <v>1</v>
      </c>
      <c r="D1204" s="3">
        <v>26</v>
      </c>
      <c r="E1204" s="3">
        <v>1</v>
      </c>
      <c r="F1204" s="4" t="str">
        <f>HYPERLINK("http://141.218.60.56/~jnz1568/getInfo.php?workbook=14_04.xlsx&amp;sheet=U0&amp;row=1204&amp;col=6&amp;number=3&amp;sourceID=14","3")</f>
        <v>3</v>
      </c>
      <c r="G1204" s="4" t="str">
        <f>HYPERLINK("http://141.218.60.56/~jnz1568/getInfo.php?workbook=14_04.xlsx&amp;sheet=U0&amp;row=1204&amp;col=7&amp;number=0.00022&amp;sourceID=14","0.00022")</f>
        <v>0.00022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HYPERLINK("http://141.218.60.56/~jnz1568/getInfo.php?workbook=14_04.xlsx&amp;sheet=U0&amp;row=1205&amp;col=6&amp;number=3.1&amp;sourceID=14","3.1")</f>
        <v>3.1</v>
      </c>
      <c r="G1205" s="4" t="str">
        <f>HYPERLINK("http://141.218.60.56/~jnz1568/getInfo.php?workbook=14_04.xlsx&amp;sheet=U0&amp;row=1205&amp;col=7&amp;number=0.00022&amp;sourceID=14","0.00022")</f>
        <v>0.00022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HYPERLINK("http://141.218.60.56/~jnz1568/getInfo.php?workbook=14_04.xlsx&amp;sheet=U0&amp;row=1206&amp;col=6&amp;number=3.2&amp;sourceID=14","3.2")</f>
        <v>3.2</v>
      </c>
      <c r="G1206" s="4" t="str">
        <f>HYPERLINK("http://141.218.60.56/~jnz1568/getInfo.php?workbook=14_04.xlsx&amp;sheet=U0&amp;row=1206&amp;col=7&amp;number=0.00022&amp;sourceID=14","0.00022")</f>
        <v>0.00022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HYPERLINK("http://141.218.60.56/~jnz1568/getInfo.php?workbook=14_04.xlsx&amp;sheet=U0&amp;row=1207&amp;col=6&amp;number=3.3&amp;sourceID=14","3.3")</f>
        <v>3.3</v>
      </c>
      <c r="G1207" s="4" t="str">
        <f>HYPERLINK("http://141.218.60.56/~jnz1568/getInfo.php?workbook=14_04.xlsx&amp;sheet=U0&amp;row=1207&amp;col=7&amp;number=0.00022&amp;sourceID=14","0.00022")</f>
        <v>0.00022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HYPERLINK("http://141.218.60.56/~jnz1568/getInfo.php?workbook=14_04.xlsx&amp;sheet=U0&amp;row=1208&amp;col=6&amp;number=3.4&amp;sourceID=14","3.4")</f>
        <v>3.4</v>
      </c>
      <c r="G1208" s="4" t="str">
        <f>HYPERLINK("http://141.218.60.56/~jnz1568/getInfo.php?workbook=14_04.xlsx&amp;sheet=U0&amp;row=1208&amp;col=7&amp;number=0.00022&amp;sourceID=14","0.00022")</f>
        <v>0.00022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HYPERLINK("http://141.218.60.56/~jnz1568/getInfo.php?workbook=14_04.xlsx&amp;sheet=U0&amp;row=1209&amp;col=6&amp;number=3.5&amp;sourceID=14","3.5")</f>
        <v>3.5</v>
      </c>
      <c r="G1209" s="4" t="str">
        <f>HYPERLINK("http://141.218.60.56/~jnz1568/getInfo.php?workbook=14_04.xlsx&amp;sheet=U0&amp;row=1209&amp;col=7&amp;number=0.00022&amp;sourceID=14","0.00022")</f>
        <v>0.00022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HYPERLINK("http://141.218.60.56/~jnz1568/getInfo.php?workbook=14_04.xlsx&amp;sheet=U0&amp;row=1210&amp;col=6&amp;number=3.6&amp;sourceID=14","3.6")</f>
        <v>3.6</v>
      </c>
      <c r="G1210" s="4" t="str">
        <f>HYPERLINK("http://141.218.60.56/~jnz1568/getInfo.php?workbook=14_04.xlsx&amp;sheet=U0&amp;row=1210&amp;col=7&amp;number=0.00022&amp;sourceID=14","0.00022")</f>
        <v>0.00022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HYPERLINK("http://141.218.60.56/~jnz1568/getInfo.php?workbook=14_04.xlsx&amp;sheet=U0&amp;row=1211&amp;col=6&amp;number=3.7&amp;sourceID=14","3.7")</f>
        <v>3.7</v>
      </c>
      <c r="G1211" s="4" t="str">
        <f>HYPERLINK("http://141.218.60.56/~jnz1568/getInfo.php?workbook=14_04.xlsx&amp;sheet=U0&amp;row=1211&amp;col=7&amp;number=0.00022&amp;sourceID=14","0.00022")</f>
        <v>0.00022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HYPERLINK("http://141.218.60.56/~jnz1568/getInfo.php?workbook=14_04.xlsx&amp;sheet=U0&amp;row=1212&amp;col=6&amp;number=3.8&amp;sourceID=14","3.8")</f>
        <v>3.8</v>
      </c>
      <c r="G1212" s="4" t="str">
        <f>HYPERLINK("http://141.218.60.56/~jnz1568/getInfo.php?workbook=14_04.xlsx&amp;sheet=U0&amp;row=1212&amp;col=7&amp;number=0.00022&amp;sourceID=14","0.00022")</f>
        <v>0.00022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HYPERLINK("http://141.218.60.56/~jnz1568/getInfo.php?workbook=14_04.xlsx&amp;sheet=U0&amp;row=1213&amp;col=6&amp;number=3.9&amp;sourceID=14","3.9")</f>
        <v>3.9</v>
      </c>
      <c r="G1213" s="4" t="str">
        <f>HYPERLINK("http://141.218.60.56/~jnz1568/getInfo.php?workbook=14_04.xlsx&amp;sheet=U0&amp;row=1213&amp;col=7&amp;number=0.00022&amp;sourceID=14","0.00022")</f>
        <v>0.00022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HYPERLINK("http://141.218.60.56/~jnz1568/getInfo.php?workbook=14_04.xlsx&amp;sheet=U0&amp;row=1214&amp;col=6&amp;number=4&amp;sourceID=14","4")</f>
        <v>4</v>
      </c>
      <c r="G1214" s="4" t="str">
        <f>HYPERLINK("http://141.218.60.56/~jnz1568/getInfo.php?workbook=14_04.xlsx&amp;sheet=U0&amp;row=1214&amp;col=7&amp;number=0.00022&amp;sourceID=14","0.00022")</f>
        <v>0.00022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HYPERLINK("http://141.218.60.56/~jnz1568/getInfo.php?workbook=14_04.xlsx&amp;sheet=U0&amp;row=1215&amp;col=6&amp;number=4.1&amp;sourceID=14","4.1")</f>
        <v>4.1</v>
      </c>
      <c r="G1215" s="4" t="str">
        <f>HYPERLINK("http://141.218.60.56/~jnz1568/getInfo.php?workbook=14_04.xlsx&amp;sheet=U0&amp;row=1215&amp;col=7&amp;number=0.000219&amp;sourceID=14","0.000219")</f>
        <v>0.000219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HYPERLINK("http://141.218.60.56/~jnz1568/getInfo.php?workbook=14_04.xlsx&amp;sheet=U0&amp;row=1216&amp;col=6&amp;number=4.2&amp;sourceID=14","4.2")</f>
        <v>4.2</v>
      </c>
      <c r="G1216" s="4" t="str">
        <f>HYPERLINK("http://141.218.60.56/~jnz1568/getInfo.php?workbook=14_04.xlsx&amp;sheet=U0&amp;row=1216&amp;col=7&amp;number=0.000219&amp;sourceID=14","0.000219")</f>
        <v>0.000219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HYPERLINK("http://141.218.60.56/~jnz1568/getInfo.php?workbook=14_04.xlsx&amp;sheet=U0&amp;row=1217&amp;col=6&amp;number=4.3&amp;sourceID=14","4.3")</f>
        <v>4.3</v>
      </c>
      <c r="G1217" s="4" t="str">
        <f>HYPERLINK("http://141.218.60.56/~jnz1568/getInfo.php?workbook=14_04.xlsx&amp;sheet=U0&amp;row=1217&amp;col=7&amp;number=0.000219&amp;sourceID=14","0.000219")</f>
        <v>0.000219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HYPERLINK("http://141.218.60.56/~jnz1568/getInfo.php?workbook=14_04.xlsx&amp;sheet=U0&amp;row=1218&amp;col=6&amp;number=4.4&amp;sourceID=14","4.4")</f>
        <v>4.4</v>
      </c>
      <c r="G1218" s="4" t="str">
        <f>HYPERLINK("http://141.218.60.56/~jnz1568/getInfo.php?workbook=14_04.xlsx&amp;sheet=U0&amp;row=1218&amp;col=7&amp;number=0.000219&amp;sourceID=14","0.000219")</f>
        <v>0.000219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HYPERLINK("http://141.218.60.56/~jnz1568/getInfo.php?workbook=14_04.xlsx&amp;sheet=U0&amp;row=1219&amp;col=6&amp;number=4.5&amp;sourceID=14","4.5")</f>
        <v>4.5</v>
      </c>
      <c r="G1219" s="4" t="str">
        <f>HYPERLINK("http://141.218.60.56/~jnz1568/getInfo.php?workbook=14_04.xlsx&amp;sheet=U0&amp;row=1219&amp;col=7&amp;number=0.000218&amp;sourceID=14","0.000218")</f>
        <v>0.000218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HYPERLINK("http://141.218.60.56/~jnz1568/getInfo.php?workbook=14_04.xlsx&amp;sheet=U0&amp;row=1220&amp;col=6&amp;number=4.6&amp;sourceID=14","4.6")</f>
        <v>4.6</v>
      </c>
      <c r="G1220" s="4" t="str">
        <f>HYPERLINK("http://141.218.60.56/~jnz1568/getInfo.php?workbook=14_04.xlsx&amp;sheet=U0&amp;row=1220&amp;col=7&amp;number=0.000218&amp;sourceID=14","0.000218")</f>
        <v>0.000218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HYPERLINK("http://141.218.60.56/~jnz1568/getInfo.php?workbook=14_04.xlsx&amp;sheet=U0&amp;row=1221&amp;col=6&amp;number=4.7&amp;sourceID=14","4.7")</f>
        <v>4.7</v>
      </c>
      <c r="G1221" s="4" t="str">
        <f>HYPERLINK("http://141.218.60.56/~jnz1568/getInfo.php?workbook=14_04.xlsx&amp;sheet=U0&amp;row=1221&amp;col=7&amp;number=0.000218&amp;sourceID=14","0.000218")</f>
        <v>0.000218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HYPERLINK("http://141.218.60.56/~jnz1568/getInfo.php?workbook=14_04.xlsx&amp;sheet=U0&amp;row=1222&amp;col=6&amp;number=4.8&amp;sourceID=14","4.8")</f>
        <v>4.8</v>
      </c>
      <c r="G1222" s="4" t="str">
        <f>HYPERLINK("http://141.218.60.56/~jnz1568/getInfo.php?workbook=14_04.xlsx&amp;sheet=U0&amp;row=1222&amp;col=7&amp;number=0.000217&amp;sourceID=14","0.000217")</f>
        <v>0.000217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HYPERLINK("http://141.218.60.56/~jnz1568/getInfo.php?workbook=14_04.xlsx&amp;sheet=U0&amp;row=1223&amp;col=6&amp;number=4.9&amp;sourceID=14","4.9")</f>
        <v>4.9</v>
      </c>
      <c r="G1223" s="4" t="str">
        <f>HYPERLINK("http://141.218.60.56/~jnz1568/getInfo.php?workbook=14_04.xlsx&amp;sheet=U0&amp;row=1223&amp;col=7&amp;number=0.000216&amp;sourceID=14","0.000216")</f>
        <v>0.000216</v>
      </c>
    </row>
    <row r="1224" spans="1:7">
      <c r="A1224" s="3">
        <v>14</v>
      </c>
      <c r="B1224" s="3">
        <v>4</v>
      </c>
      <c r="C1224" s="3">
        <v>1</v>
      </c>
      <c r="D1224" s="3">
        <v>27</v>
      </c>
      <c r="E1224" s="3">
        <v>1</v>
      </c>
      <c r="F1224" s="4" t="str">
        <f>HYPERLINK("http://141.218.60.56/~jnz1568/getInfo.php?workbook=14_04.xlsx&amp;sheet=U0&amp;row=1224&amp;col=6&amp;number=3&amp;sourceID=14","3")</f>
        <v>3</v>
      </c>
      <c r="G1224" s="4" t="str">
        <f>HYPERLINK("http://141.218.60.56/~jnz1568/getInfo.php?workbook=14_04.xlsx&amp;sheet=U0&amp;row=1224&amp;col=7&amp;number=0.000337&amp;sourceID=14","0.000337")</f>
        <v>0.000337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HYPERLINK("http://141.218.60.56/~jnz1568/getInfo.php?workbook=14_04.xlsx&amp;sheet=U0&amp;row=1225&amp;col=6&amp;number=3.1&amp;sourceID=14","3.1")</f>
        <v>3.1</v>
      </c>
      <c r="G1225" s="4" t="str">
        <f>HYPERLINK("http://141.218.60.56/~jnz1568/getInfo.php?workbook=14_04.xlsx&amp;sheet=U0&amp;row=1225&amp;col=7&amp;number=0.000337&amp;sourceID=14","0.000337")</f>
        <v>0.000337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HYPERLINK("http://141.218.60.56/~jnz1568/getInfo.php?workbook=14_04.xlsx&amp;sheet=U0&amp;row=1226&amp;col=6&amp;number=3.2&amp;sourceID=14","3.2")</f>
        <v>3.2</v>
      </c>
      <c r="G1226" s="4" t="str">
        <f>HYPERLINK("http://141.218.60.56/~jnz1568/getInfo.php?workbook=14_04.xlsx&amp;sheet=U0&amp;row=1226&amp;col=7&amp;number=0.000337&amp;sourceID=14","0.000337")</f>
        <v>0.000337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HYPERLINK("http://141.218.60.56/~jnz1568/getInfo.php?workbook=14_04.xlsx&amp;sheet=U0&amp;row=1227&amp;col=6&amp;number=3.3&amp;sourceID=14","3.3")</f>
        <v>3.3</v>
      </c>
      <c r="G1227" s="4" t="str">
        <f>HYPERLINK("http://141.218.60.56/~jnz1568/getInfo.php?workbook=14_04.xlsx&amp;sheet=U0&amp;row=1227&amp;col=7&amp;number=0.000336&amp;sourceID=14","0.000336")</f>
        <v>0.000336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HYPERLINK("http://141.218.60.56/~jnz1568/getInfo.php?workbook=14_04.xlsx&amp;sheet=U0&amp;row=1228&amp;col=6&amp;number=3.4&amp;sourceID=14","3.4")</f>
        <v>3.4</v>
      </c>
      <c r="G1228" s="4" t="str">
        <f>HYPERLINK("http://141.218.60.56/~jnz1568/getInfo.php?workbook=14_04.xlsx&amp;sheet=U0&amp;row=1228&amp;col=7&amp;number=0.000336&amp;sourceID=14","0.000336")</f>
        <v>0.000336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HYPERLINK("http://141.218.60.56/~jnz1568/getInfo.php?workbook=14_04.xlsx&amp;sheet=U0&amp;row=1229&amp;col=6&amp;number=3.5&amp;sourceID=14","3.5")</f>
        <v>3.5</v>
      </c>
      <c r="G1229" s="4" t="str">
        <f>HYPERLINK("http://141.218.60.56/~jnz1568/getInfo.php?workbook=14_04.xlsx&amp;sheet=U0&amp;row=1229&amp;col=7&amp;number=0.000336&amp;sourceID=14","0.000336")</f>
        <v>0.000336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HYPERLINK("http://141.218.60.56/~jnz1568/getInfo.php?workbook=14_04.xlsx&amp;sheet=U0&amp;row=1230&amp;col=6&amp;number=3.6&amp;sourceID=14","3.6")</f>
        <v>3.6</v>
      </c>
      <c r="G1230" s="4" t="str">
        <f>HYPERLINK("http://141.218.60.56/~jnz1568/getInfo.php?workbook=14_04.xlsx&amp;sheet=U0&amp;row=1230&amp;col=7&amp;number=0.000336&amp;sourceID=14","0.000336")</f>
        <v>0.000336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HYPERLINK("http://141.218.60.56/~jnz1568/getInfo.php?workbook=14_04.xlsx&amp;sheet=U0&amp;row=1231&amp;col=6&amp;number=3.7&amp;sourceID=14","3.7")</f>
        <v>3.7</v>
      </c>
      <c r="G1231" s="4" t="str">
        <f>HYPERLINK("http://141.218.60.56/~jnz1568/getInfo.php?workbook=14_04.xlsx&amp;sheet=U0&amp;row=1231&amp;col=7&amp;number=0.000336&amp;sourceID=14","0.000336")</f>
        <v>0.000336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HYPERLINK("http://141.218.60.56/~jnz1568/getInfo.php?workbook=14_04.xlsx&amp;sheet=U0&amp;row=1232&amp;col=6&amp;number=3.8&amp;sourceID=14","3.8")</f>
        <v>3.8</v>
      </c>
      <c r="G1232" s="4" t="str">
        <f>HYPERLINK("http://141.218.60.56/~jnz1568/getInfo.php?workbook=14_04.xlsx&amp;sheet=U0&amp;row=1232&amp;col=7&amp;number=0.000336&amp;sourceID=14","0.000336")</f>
        <v>0.000336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HYPERLINK("http://141.218.60.56/~jnz1568/getInfo.php?workbook=14_04.xlsx&amp;sheet=U0&amp;row=1233&amp;col=6&amp;number=3.9&amp;sourceID=14","3.9")</f>
        <v>3.9</v>
      </c>
      <c r="G1233" s="4" t="str">
        <f>HYPERLINK("http://141.218.60.56/~jnz1568/getInfo.php?workbook=14_04.xlsx&amp;sheet=U0&amp;row=1233&amp;col=7&amp;number=0.000336&amp;sourceID=14","0.000336")</f>
        <v>0.000336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HYPERLINK("http://141.218.60.56/~jnz1568/getInfo.php?workbook=14_04.xlsx&amp;sheet=U0&amp;row=1234&amp;col=6&amp;number=4&amp;sourceID=14","4")</f>
        <v>4</v>
      </c>
      <c r="G1234" s="4" t="str">
        <f>HYPERLINK("http://141.218.60.56/~jnz1568/getInfo.php?workbook=14_04.xlsx&amp;sheet=U0&amp;row=1234&amp;col=7&amp;number=0.000336&amp;sourceID=14","0.000336")</f>
        <v>0.000336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HYPERLINK("http://141.218.60.56/~jnz1568/getInfo.php?workbook=14_04.xlsx&amp;sheet=U0&amp;row=1235&amp;col=6&amp;number=4.1&amp;sourceID=14","4.1")</f>
        <v>4.1</v>
      </c>
      <c r="G1235" s="4" t="str">
        <f>HYPERLINK("http://141.218.60.56/~jnz1568/getInfo.php?workbook=14_04.xlsx&amp;sheet=U0&amp;row=1235&amp;col=7&amp;number=0.000336&amp;sourceID=14","0.000336")</f>
        <v>0.000336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HYPERLINK("http://141.218.60.56/~jnz1568/getInfo.php?workbook=14_04.xlsx&amp;sheet=U0&amp;row=1236&amp;col=6&amp;number=4.2&amp;sourceID=14","4.2")</f>
        <v>4.2</v>
      </c>
      <c r="G1236" s="4" t="str">
        <f>HYPERLINK("http://141.218.60.56/~jnz1568/getInfo.php?workbook=14_04.xlsx&amp;sheet=U0&amp;row=1236&amp;col=7&amp;number=0.000336&amp;sourceID=14","0.000336")</f>
        <v>0.000336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HYPERLINK("http://141.218.60.56/~jnz1568/getInfo.php?workbook=14_04.xlsx&amp;sheet=U0&amp;row=1237&amp;col=6&amp;number=4.3&amp;sourceID=14","4.3")</f>
        <v>4.3</v>
      </c>
      <c r="G1237" s="4" t="str">
        <f>HYPERLINK("http://141.218.60.56/~jnz1568/getInfo.php?workbook=14_04.xlsx&amp;sheet=U0&amp;row=1237&amp;col=7&amp;number=0.000336&amp;sourceID=14","0.000336")</f>
        <v>0.000336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HYPERLINK("http://141.218.60.56/~jnz1568/getInfo.php?workbook=14_04.xlsx&amp;sheet=U0&amp;row=1238&amp;col=6&amp;number=4.4&amp;sourceID=14","4.4")</f>
        <v>4.4</v>
      </c>
      <c r="G1238" s="4" t="str">
        <f>HYPERLINK("http://141.218.60.56/~jnz1568/getInfo.php?workbook=14_04.xlsx&amp;sheet=U0&amp;row=1238&amp;col=7&amp;number=0.000335&amp;sourceID=14","0.000335")</f>
        <v>0.000335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HYPERLINK("http://141.218.60.56/~jnz1568/getInfo.php?workbook=14_04.xlsx&amp;sheet=U0&amp;row=1239&amp;col=6&amp;number=4.5&amp;sourceID=14","4.5")</f>
        <v>4.5</v>
      </c>
      <c r="G1239" s="4" t="str">
        <f>HYPERLINK("http://141.218.60.56/~jnz1568/getInfo.php?workbook=14_04.xlsx&amp;sheet=U0&amp;row=1239&amp;col=7&amp;number=0.000335&amp;sourceID=14","0.000335")</f>
        <v>0.000335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HYPERLINK("http://141.218.60.56/~jnz1568/getInfo.php?workbook=14_04.xlsx&amp;sheet=U0&amp;row=1240&amp;col=6&amp;number=4.6&amp;sourceID=14","4.6")</f>
        <v>4.6</v>
      </c>
      <c r="G1240" s="4" t="str">
        <f>HYPERLINK("http://141.218.60.56/~jnz1568/getInfo.php?workbook=14_04.xlsx&amp;sheet=U0&amp;row=1240&amp;col=7&amp;number=0.000335&amp;sourceID=14","0.000335")</f>
        <v>0.000335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HYPERLINK("http://141.218.60.56/~jnz1568/getInfo.php?workbook=14_04.xlsx&amp;sheet=U0&amp;row=1241&amp;col=6&amp;number=4.7&amp;sourceID=14","4.7")</f>
        <v>4.7</v>
      </c>
      <c r="G1241" s="4" t="str">
        <f>HYPERLINK("http://141.218.60.56/~jnz1568/getInfo.php?workbook=14_04.xlsx&amp;sheet=U0&amp;row=1241&amp;col=7&amp;number=0.000334&amp;sourceID=14","0.000334")</f>
        <v>0.000334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HYPERLINK("http://141.218.60.56/~jnz1568/getInfo.php?workbook=14_04.xlsx&amp;sheet=U0&amp;row=1242&amp;col=6&amp;number=4.8&amp;sourceID=14","4.8")</f>
        <v>4.8</v>
      </c>
      <c r="G1242" s="4" t="str">
        <f>HYPERLINK("http://141.218.60.56/~jnz1568/getInfo.php?workbook=14_04.xlsx&amp;sheet=U0&amp;row=1242&amp;col=7&amp;number=0.000333&amp;sourceID=14","0.000333")</f>
        <v>0.000333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HYPERLINK("http://141.218.60.56/~jnz1568/getInfo.php?workbook=14_04.xlsx&amp;sheet=U0&amp;row=1243&amp;col=6&amp;number=4.9&amp;sourceID=14","4.9")</f>
        <v>4.9</v>
      </c>
      <c r="G1243" s="4" t="str">
        <f>HYPERLINK("http://141.218.60.56/~jnz1568/getInfo.php?workbook=14_04.xlsx&amp;sheet=U0&amp;row=1243&amp;col=7&amp;number=0.000333&amp;sourceID=14","0.000333")</f>
        <v>0.000333</v>
      </c>
    </row>
    <row r="1244" spans="1:7">
      <c r="A1244" s="3">
        <v>14</v>
      </c>
      <c r="B1244" s="3">
        <v>4</v>
      </c>
      <c r="C1244" s="3">
        <v>1</v>
      </c>
      <c r="D1244" s="3">
        <v>28</v>
      </c>
      <c r="E1244" s="3">
        <v>1</v>
      </c>
      <c r="F1244" s="4" t="str">
        <f>HYPERLINK("http://141.218.60.56/~jnz1568/getInfo.php?workbook=14_04.xlsx&amp;sheet=U0&amp;row=1244&amp;col=6&amp;number=3&amp;sourceID=14","3")</f>
        <v>3</v>
      </c>
      <c r="G1244" s="4" t="str">
        <f>HYPERLINK("http://141.218.60.56/~jnz1568/getInfo.php?workbook=14_04.xlsx&amp;sheet=U0&amp;row=1244&amp;col=7&amp;number=0.000569&amp;sourceID=14","0.000569")</f>
        <v>0.000569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HYPERLINK("http://141.218.60.56/~jnz1568/getInfo.php?workbook=14_04.xlsx&amp;sheet=U0&amp;row=1245&amp;col=6&amp;number=3.1&amp;sourceID=14","3.1")</f>
        <v>3.1</v>
      </c>
      <c r="G1245" s="4" t="str">
        <f>HYPERLINK("http://141.218.60.56/~jnz1568/getInfo.php?workbook=14_04.xlsx&amp;sheet=U0&amp;row=1245&amp;col=7&amp;number=0.000569&amp;sourceID=14","0.000569")</f>
        <v>0.000569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HYPERLINK("http://141.218.60.56/~jnz1568/getInfo.php?workbook=14_04.xlsx&amp;sheet=U0&amp;row=1246&amp;col=6&amp;number=3.2&amp;sourceID=14","3.2")</f>
        <v>3.2</v>
      </c>
      <c r="G1246" s="4" t="str">
        <f>HYPERLINK("http://141.218.60.56/~jnz1568/getInfo.php?workbook=14_04.xlsx&amp;sheet=U0&amp;row=1246&amp;col=7&amp;number=0.000569&amp;sourceID=14","0.000569")</f>
        <v>0.000569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HYPERLINK("http://141.218.60.56/~jnz1568/getInfo.php?workbook=14_04.xlsx&amp;sheet=U0&amp;row=1247&amp;col=6&amp;number=3.3&amp;sourceID=14","3.3")</f>
        <v>3.3</v>
      </c>
      <c r="G1247" s="4" t="str">
        <f>HYPERLINK("http://141.218.60.56/~jnz1568/getInfo.php?workbook=14_04.xlsx&amp;sheet=U0&amp;row=1247&amp;col=7&amp;number=0.000569&amp;sourceID=14","0.000569")</f>
        <v>0.000569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HYPERLINK("http://141.218.60.56/~jnz1568/getInfo.php?workbook=14_04.xlsx&amp;sheet=U0&amp;row=1248&amp;col=6&amp;number=3.4&amp;sourceID=14","3.4")</f>
        <v>3.4</v>
      </c>
      <c r="G1248" s="4" t="str">
        <f>HYPERLINK("http://141.218.60.56/~jnz1568/getInfo.php?workbook=14_04.xlsx&amp;sheet=U0&amp;row=1248&amp;col=7&amp;number=0.000568&amp;sourceID=14","0.000568")</f>
        <v>0.000568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HYPERLINK("http://141.218.60.56/~jnz1568/getInfo.php?workbook=14_04.xlsx&amp;sheet=U0&amp;row=1249&amp;col=6&amp;number=3.5&amp;sourceID=14","3.5")</f>
        <v>3.5</v>
      </c>
      <c r="G1249" s="4" t="str">
        <f>HYPERLINK("http://141.218.60.56/~jnz1568/getInfo.php?workbook=14_04.xlsx&amp;sheet=U0&amp;row=1249&amp;col=7&amp;number=0.000568&amp;sourceID=14","0.000568")</f>
        <v>0.000568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HYPERLINK("http://141.218.60.56/~jnz1568/getInfo.php?workbook=14_04.xlsx&amp;sheet=U0&amp;row=1250&amp;col=6&amp;number=3.6&amp;sourceID=14","3.6")</f>
        <v>3.6</v>
      </c>
      <c r="G1250" s="4" t="str">
        <f>HYPERLINK("http://141.218.60.56/~jnz1568/getInfo.php?workbook=14_04.xlsx&amp;sheet=U0&amp;row=1250&amp;col=7&amp;number=0.000568&amp;sourceID=14","0.000568")</f>
        <v>0.000568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HYPERLINK("http://141.218.60.56/~jnz1568/getInfo.php?workbook=14_04.xlsx&amp;sheet=U0&amp;row=1251&amp;col=6&amp;number=3.7&amp;sourceID=14","3.7")</f>
        <v>3.7</v>
      </c>
      <c r="G1251" s="4" t="str">
        <f>HYPERLINK("http://141.218.60.56/~jnz1568/getInfo.php?workbook=14_04.xlsx&amp;sheet=U0&amp;row=1251&amp;col=7&amp;number=0.000568&amp;sourceID=14","0.000568")</f>
        <v>0.000568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HYPERLINK("http://141.218.60.56/~jnz1568/getInfo.php?workbook=14_04.xlsx&amp;sheet=U0&amp;row=1252&amp;col=6&amp;number=3.8&amp;sourceID=14","3.8")</f>
        <v>3.8</v>
      </c>
      <c r="G1252" s="4" t="str">
        <f>HYPERLINK("http://141.218.60.56/~jnz1568/getInfo.php?workbook=14_04.xlsx&amp;sheet=U0&amp;row=1252&amp;col=7&amp;number=0.000568&amp;sourceID=14","0.000568")</f>
        <v>0.000568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HYPERLINK("http://141.218.60.56/~jnz1568/getInfo.php?workbook=14_04.xlsx&amp;sheet=U0&amp;row=1253&amp;col=6&amp;number=3.9&amp;sourceID=14","3.9")</f>
        <v>3.9</v>
      </c>
      <c r="G1253" s="4" t="str">
        <f>HYPERLINK("http://141.218.60.56/~jnz1568/getInfo.php?workbook=14_04.xlsx&amp;sheet=U0&amp;row=1253&amp;col=7&amp;number=0.000568&amp;sourceID=14","0.000568")</f>
        <v>0.000568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HYPERLINK("http://141.218.60.56/~jnz1568/getInfo.php?workbook=14_04.xlsx&amp;sheet=U0&amp;row=1254&amp;col=6&amp;number=4&amp;sourceID=14","4")</f>
        <v>4</v>
      </c>
      <c r="G1254" s="4" t="str">
        <f>HYPERLINK("http://141.218.60.56/~jnz1568/getInfo.php?workbook=14_04.xlsx&amp;sheet=U0&amp;row=1254&amp;col=7&amp;number=0.000567&amp;sourceID=14","0.000567")</f>
        <v>0.000567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HYPERLINK("http://141.218.60.56/~jnz1568/getInfo.php?workbook=14_04.xlsx&amp;sheet=U0&amp;row=1255&amp;col=6&amp;number=4.1&amp;sourceID=14","4.1")</f>
        <v>4.1</v>
      </c>
      <c r="G1255" s="4" t="str">
        <f>HYPERLINK("http://141.218.60.56/~jnz1568/getInfo.php?workbook=14_04.xlsx&amp;sheet=U0&amp;row=1255&amp;col=7&amp;number=0.000567&amp;sourceID=14","0.000567")</f>
        <v>0.000567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HYPERLINK("http://141.218.60.56/~jnz1568/getInfo.php?workbook=14_04.xlsx&amp;sheet=U0&amp;row=1256&amp;col=6&amp;number=4.2&amp;sourceID=14","4.2")</f>
        <v>4.2</v>
      </c>
      <c r="G1256" s="4" t="str">
        <f>HYPERLINK("http://141.218.60.56/~jnz1568/getInfo.php?workbook=14_04.xlsx&amp;sheet=U0&amp;row=1256&amp;col=7&amp;number=0.000566&amp;sourceID=14","0.000566")</f>
        <v>0.000566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HYPERLINK("http://141.218.60.56/~jnz1568/getInfo.php?workbook=14_04.xlsx&amp;sheet=U0&amp;row=1257&amp;col=6&amp;number=4.3&amp;sourceID=14","4.3")</f>
        <v>4.3</v>
      </c>
      <c r="G1257" s="4" t="str">
        <f>HYPERLINK("http://141.218.60.56/~jnz1568/getInfo.php?workbook=14_04.xlsx&amp;sheet=U0&amp;row=1257&amp;col=7&amp;number=0.000566&amp;sourceID=14","0.000566")</f>
        <v>0.000566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HYPERLINK("http://141.218.60.56/~jnz1568/getInfo.php?workbook=14_04.xlsx&amp;sheet=U0&amp;row=1258&amp;col=6&amp;number=4.4&amp;sourceID=14","4.4")</f>
        <v>4.4</v>
      </c>
      <c r="G1258" s="4" t="str">
        <f>HYPERLINK("http://141.218.60.56/~jnz1568/getInfo.php?workbook=14_04.xlsx&amp;sheet=U0&amp;row=1258&amp;col=7&amp;number=0.000565&amp;sourceID=14","0.000565")</f>
        <v>0.000565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HYPERLINK("http://141.218.60.56/~jnz1568/getInfo.php?workbook=14_04.xlsx&amp;sheet=U0&amp;row=1259&amp;col=6&amp;number=4.5&amp;sourceID=14","4.5")</f>
        <v>4.5</v>
      </c>
      <c r="G1259" s="4" t="str">
        <f>HYPERLINK("http://141.218.60.56/~jnz1568/getInfo.php?workbook=14_04.xlsx&amp;sheet=U0&amp;row=1259&amp;col=7&amp;number=0.000564&amp;sourceID=14","0.000564")</f>
        <v>0.000564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HYPERLINK("http://141.218.60.56/~jnz1568/getInfo.php?workbook=14_04.xlsx&amp;sheet=U0&amp;row=1260&amp;col=6&amp;number=4.6&amp;sourceID=14","4.6")</f>
        <v>4.6</v>
      </c>
      <c r="G1260" s="4" t="str">
        <f>HYPERLINK("http://141.218.60.56/~jnz1568/getInfo.php?workbook=14_04.xlsx&amp;sheet=U0&amp;row=1260&amp;col=7&amp;number=0.000563&amp;sourceID=14","0.000563")</f>
        <v>0.000563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HYPERLINK("http://141.218.60.56/~jnz1568/getInfo.php?workbook=14_04.xlsx&amp;sheet=U0&amp;row=1261&amp;col=6&amp;number=4.7&amp;sourceID=14","4.7")</f>
        <v>4.7</v>
      </c>
      <c r="G1261" s="4" t="str">
        <f>HYPERLINK("http://141.218.60.56/~jnz1568/getInfo.php?workbook=14_04.xlsx&amp;sheet=U0&amp;row=1261&amp;col=7&amp;number=0.000561&amp;sourceID=14","0.000561")</f>
        <v>0.000561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HYPERLINK("http://141.218.60.56/~jnz1568/getInfo.php?workbook=14_04.xlsx&amp;sheet=U0&amp;row=1262&amp;col=6&amp;number=4.8&amp;sourceID=14","4.8")</f>
        <v>4.8</v>
      </c>
      <c r="G1262" s="4" t="str">
        <f>HYPERLINK("http://141.218.60.56/~jnz1568/getInfo.php?workbook=14_04.xlsx&amp;sheet=U0&amp;row=1262&amp;col=7&amp;number=0.000559&amp;sourceID=14","0.000559")</f>
        <v>0.000559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HYPERLINK("http://141.218.60.56/~jnz1568/getInfo.php?workbook=14_04.xlsx&amp;sheet=U0&amp;row=1263&amp;col=6&amp;number=4.9&amp;sourceID=14","4.9")</f>
        <v>4.9</v>
      </c>
      <c r="G1263" s="4" t="str">
        <f>HYPERLINK("http://141.218.60.56/~jnz1568/getInfo.php?workbook=14_04.xlsx&amp;sheet=U0&amp;row=1263&amp;col=7&amp;number=0.000556&amp;sourceID=14","0.000556")</f>
        <v>0.000556</v>
      </c>
    </row>
    <row r="1264" spans="1:7">
      <c r="A1264" s="3">
        <v>14</v>
      </c>
      <c r="B1264" s="3">
        <v>4</v>
      </c>
      <c r="C1264" s="3">
        <v>1</v>
      </c>
      <c r="D1264" s="3">
        <v>29</v>
      </c>
      <c r="E1264" s="3">
        <v>1</v>
      </c>
      <c r="F1264" s="4" t="str">
        <f>HYPERLINK("http://141.218.60.56/~jnz1568/getInfo.php?workbook=14_04.xlsx&amp;sheet=U0&amp;row=1264&amp;col=6&amp;number=3&amp;sourceID=14","3")</f>
        <v>3</v>
      </c>
      <c r="G1264" s="4" t="str">
        <f>HYPERLINK("http://141.218.60.56/~jnz1568/getInfo.php?workbook=14_04.xlsx&amp;sheet=U0&amp;row=1264&amp;col=7&amp;number=0.000109&amp;sourceID=14","0.000109")</f>
        <v>0.000109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HYPERLINK("http://141.218.60.56/~jnz1568/getInfo.php?workbook=14_04.xlsx&amp;sheet=U0&amp;row=1265&amp;col=6&amp;number=3.1&amp;sourceID=14","3.1")</f>
        <v>3.1</v>
      </c>
      <c r="G1265" s="4" t="str">
        <f>HYPERLINK("http://141.218.60.56/~jnz1568/getInfo.php?workbook=14_04.xlsx&amp;sheet=U0&amp;row=1265&amp;col=7&amp;number=0.000109&amp;sourceID=14","0.000109")</f>
        <v>0.000109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HYPERLINK("http://141.218.60.56/~jnz1568/getInfo.php?workbook=14_04.xlsx&amp;sheet=U0&amp;row=1266&amp;col=6&amp;number=3.2&amp;sourceID=14","3.2")</f>
        <v>3.2</v>
      </c>
      <c r="G1266" s="4" t="str">
        <f>HYPERLINK("http://141.218.60.56/~jnz1568/getInfo.php?workbook=14_04.xlsx&amp;sheet=U0&amp;row=1266&amp;col=7&amp;number=0.000109&amp;sourceID=14","0.000109")</f>
        <v>0.000109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HYPERLINK("http://141.218.60.56/~jnz1568/getInfo.php?workbook=14_04.xlsx&amp;sheet=U0&amp;row=1267&amp;col=6&amp;number=3.3&amp;sourceID=14","3.3")</f>
        <v>3.3</v>
      </c>
      <c r="G1267" s="4" t="str">
        <f>HYPERLINK("http://141.218.60.56/~jnz1568/getInfo.php?workbook=14_04.xlsx&amp;sheet=U0&amp;row=1267&amp;col=7&amp;number=0.000109&amp;sourceID=14","0.000109")</f>
        <v>0.000109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HYPERLINK("http://141.218.60.56/~jnz1568/getInfo.php?workbook=14_04.xlsx&amp;sheet=U0&amp;row=1268&amp;col=6&amp;number=3.4&amp;sourceID=14","3.4")</f>
        <v>3.4</v>
      </c>
      <c r="G1268" s="4" t="str">
        <f>HYPERLINK("http://141.218.60.56/~jnz1568/getInfo.php?workbook=14_04.xlsx&amp;sheet=U0&amp;row=1268&amp;col=7&amp;number=0.000109&amp;sourceID=14","0.000109")</f>
        <v>0.000109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HYPERLINK("http://141.218.60.56/~jnz1568/getInfo.php?workbook=14_04.xlsx&amp;sheet=U0&amp;row=1269&amp;col=6&amp;number=3.5&amp;sourceID=14","3.5")</f>
        <v>3.5</v>
      </c>
      <c r="G1269" s="4" t="str">
        <f>HYPERLINK("http://141.218.60.56/~jnz1568/getInfo.php?workbook=14_04.xlsx&amp;sheet=U0&amp;row=1269&amp;col=7&amp;number=0.000109&amp;sourceID=14","0.000109")</f>
        <v>0.000109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HYPERLINK("http://141.218.60.56/~jnz1568/getInfo.php?workbook=14_04.xlsx&amp;sheet=U0&amp;row=1270&amp;col=6&amp;number=3.6&amp;sourceID=14","3.6")</f>
        <v>3.6</v>
      </c>
      <c r="G1270" s="4" t="str">
        <f>HYPERLINK("http://141.218.60.56/~jnz1568/getInfo.php?workbook=14_04.xlsx&amp;sheet=U0&amp;row=1270&amp;col=7&amp;number=0.000109&amp;sourceID=14","0.000109")</f>
        <v>0.000109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HYPERLINK("http://141.218.60.56/~jnz1568/getInfo.php?workbook=14_04.xlsx&amp;sheet=U0&amp;row=1271&amp;col=6&amp;number=3.7&amp;sourceID=14","3.7")</f>
        <v>3.7</v>
      </c>
      <c r="G1271" s="4" t="str">
        <f>HYPERLINK("http://141.218.60.56/~jnz1568/getInfo.php?workbook=14_04.xlsx&amp;sheet=U0&amp;row=1271&amp;col=7&amp;number=0.000109&amp;sourceID=14","0.000109")</f>
        <v>0.000109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HYPERLINK("http://141.218.60.56/~jnz1568/getInfo.php?workbook=14_04.xlsx&amp;sheet=U0&amp;row=1272&amp;col=6&amp;number=3.8&amp;sourceID=14","3.8")</f>
        <v>3.8</v>
      </c>
      <c r="G1272" s="4" t="str">
        <f>HYPERLINK("http://141.218.60.56/~jnz1568/getInfo.php?workbook=14_04.xlsx&amp;sheet=U0&amp;row=1272&amp;col=7&amp;number=0.000109&amp;sourceID=14","0.000109")</f>
        <v>0.000109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HYPERLINK("http://141.218.60.56/~jnz1568/getInfo.php?workbook=14_04.xlsx&amp;sheet=U0&amp;row=1273&amp;col=6&amp;number=3.9&amp;sourceID=14","3.9")</f>
        <v>3.9</v>
      </c>
      <c r="G1273" s="4" t="str">
        <f>HYPERLINK("http://141.218.60.56/~jnz1568/getInfo.php?workbook=14_04.xlsx&amp;sheet=U0&amp;row=1273&amp;col=7&amp;number=0.000109&amp;sourceID=14","0.000109")</f>
        <v>0.000109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HYPERLINK("http://141.218.60.56/~jnz1568/getInfo.php?workbook=14_04.xlsx&amp;sheet=U0&amp;row=1274&amp;col=6&amp;number=4&amp;sourceID=14","4")</f>
        <v>4</v>
      </c>
      <c r="G1274" s="4" t="str">
        <f>HYPERLINK("http://141.218.60.56/~jnz1568/getInfo.php?workbook=14_04.xlsx&amp;sheet=U0&amp;row=1274&amp;col=7&amp;number=0.000109&amp;sourceID=14","0.000109")</f>
        <v>0.000109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HYPERLINK("http://141.218.60.56/~jnz1568/getInfo.php?workbook=14_04.xlsx&amp;sheet=U0&amp;row=1275&amp;col=6&amp;number=4.1&amp;sourceID=14","4.1")</f>
        <v>4.1</v>
      </c>
      <c r="G1275" s="4" t="str">
        <f>HYPERLINK("http://141.218.60.56/~jnz1568/getInfo.php?workbook=14_04.xlsx&amp;sheet=U0&amp;row=1275&amp;col=7&amp;number=0.000109&amp;sourceID=14","0.000109")</f>
        <v>0.000109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HYPERLINK("http://141.218.60.56/~jnz1568/getInfo.php?workbook=14_04.xlsx&amp;sheet=U0&amp;row=1276&amp;col=6&amp;number=4.2&amp;sourceID=14","4.2")</f>
        <v>4.2</v>
      </c>
      <c r="G1276" s="4" t="str">
        <f>HYPERLINK("http://141.218.60.56/~jnz1568/getInfo.php?workbook=14_04.xlsx&amp;sheet=U0&amp;row=1276&amp;col=7&amp;number=0.000109&amp;sourceID=14","0.000109")</f>
        <v>0.000109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HYPERLINK("http://141.218.60.56/~jnz1568/getInfo.php?workbook=14_04.xlsx&amp;sheet=U0&amp;row=1277&amp;col=6&amp;number=4.3&amp;sourceID=14","4.3")</f>
        <v>4.3</v>
      </c>
      <c r="G1277" s="4" t="str">
        <f>HYPERLINK("http://141.218.60.56/~jnz1568/getInfo.php?workbook=14_04.xlsx&amp;sheet=U0&amp;row=1277&amp;col=7&amp;number=0.000109&amp;sourceID=14","0.000109")</f>
        <v>0.000109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HYPERLINK("http://141.218.60.56/~jnz1568/getInfo.php?workbook=14_04.xlsx&amp;sheet=U0&amp;row=1278&amp;col=6&amp;number=4.4&amp;sourceID=14","4.4")</f>
        <v>4.4</v>
      </c>
      <c r="G1278" s="4" t="str">
        <f>HYPERLINK("http://141.218.60.56/~jnz1568/getInfo.php?workbook=14_04.xlsx&amp;sheet=U0&amp;row=1278&amp;col=7&amp;number=0.000109&amp;sourceID=14","0.000109")</f>
        <v>0.000109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HYPERLINK("http://141.218.60.56/~jnz1568/getInfo.php?workbook=14_04.xlsx&amp;sheet=U0&amp;row=1279&amp;col=6&amp;number=4.5&amp;sourceID=14","4.5")</f>
        <v>4.5</v>
      </c>
      <c r="G1279" s="4" t="str">
        <f>HYPERLINK("http://141.218.60.56/~jnz1568/getInfo.php?workbook=14_04.xlsx&amp;sheet=U0&amp;row=1279&amp;col=7&amp;number=0.000108&amp;sourceID=14","0.000108")</f>
        <v>0.000108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HYPERLINK("http://141.218.60.56/~jnz1568/getInfo.php?workbook=14_04.xlsx&amp;sheet=U0&amp;row=1280&amp;col=6&amp;number=4.6&amp;sourceID=14","4.6")</f>
        <v>4.6</v>
      </c>
      <c r="G1280" s="4" t="str">
        <f>HYPERLINK("http://141.218.60.56/~jnz1568/getInfo.php?workbook=14_04.xlsx&amp;sheet=U0&amp;row=1280&amp;col=7&amp;number=0.000108&amp;sourceID=14","0.000108")</f>
        <v>0.000108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HYPERLINK("http://141.218.60.56/~jnz1568/getInfo.php?workbook=14_04.xlsx&amp;sheet=U0&amp;row=1281&amp;col=6&amp;number=4.7&amp;sourceID=14","4.7")</f>
        <v>4.7</v>
      </c>
      <c r="G1281" s="4" t="str">
        <f>HYPERLINK("http://141.218.60.56/~jnz1568/getInfo.php?workbook=14_04.xlsx&amp;sheet=U0&amp;row=1281&amp;col=7&amp;number=0.000108&amp;sourceID=14","0.000108")</f>
        <v>0.000108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HYPERLINK("http://141.218.60.56/~jnz1568/getInfo.php?workbook=14_04.xlsx&amp;sheet=U0&amp;row=1282&amp;col=6&amp;number=4.8&amp;sourceID=14","4.8")</f>
        <v>4.8</v>
      </c>
      <c r="G1282" s="4" t="str">
        <f>HYPERLINK("http://141.218.60.56/~jnz1568/getInfo.php?workbook=14_04.xlsx&amp;sheet=U0&amp;row=1282&amp;col=7&amp;number=0.000108&amp;sourceID=14","0.000108")</f>
        <v>0.000108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HYPERLINK("http://141.218.60.56/~jnz1568/getInfo.php?workbook=14_04.xlsx&amp;sheet=U0&amp;row=1283&amp;col=6&amp;number=4.9&amp;sourceID=14","4.9")</f>
        <v>4.9</v>
      </c>
      <c r="G1283" s="4" t="str">
        <f>HYPERLINK("http://141.218.60.56/~jnz1568/getInfo.php?workbook=14_04.xlsx&amp;sheet=U0&amp;row=1283&amp;col=7&amp;number=0.000107&amp;sourceID=14","0.000107")</f>
        <v>0.000107</v>
      </c>
    </row>
    <row r="1284" spans="1:7">
      <c r="A1284" s="3">
        <v>14</v>
      </c>
      <c r="B1284" s="3">
        <v>4</v>
      </c>
      <c r="C1284" s="3">
        <v>1</v>
      </c>
      <c r="D1284" s="3">
        <v>30</v>
      </c>
      <c r="E1284" s="3">
        <v>1</v>
      </c>
      <c r="F1284" s="4" t="str">
        <f>HYPERLINK("http://141.218.60.56/~jnz1568/getInfo.php?workbook=14_04.xlsx&amp;sheet=U0&amp;row=1284&amp;col=6&amp;number=3&amp;sourceID=14","3")</f>
        <v>3</v>
      </c>
      <c r="G1284" s="4" t="str">
        <f>HYPERLINK("http://141.218.60.56/~jnz1568/getInfo.php?workbook=14_04.xlsx&amp;sheet=U0&amp;row=1284&amp;col=7&amp;number=2.58e-05&amp;sourceID=14","2.58e-05")</f>
        <v>2.58e-05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HYPERLINK("http://141.218.60.56/~jnz1568/getInfo.php?workbook=14_04.xlsx&amp;sheet=U0&amp;row=1285&amp;col=6&amp;number=3.1&amp;sourceID=14","3.1")</f>
        <v>3.1</v>
      </c>
      <c r="G1285" s="4" t="str">
        <f>HYPERLINK("http://141.218.60.56/~jnz1568/getInfo.php?workbook=14_04.xlsx&amp;sheet=U0&amp;row=1285&amp;col=7&amp;number=2.58e-05&amp;sourceID=14","2.58e-05")</f>
        <v>2.58e-05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HYPERLINK("http://141.218.60.56/~jnz1568/getInfo.php?workbook=14_04.xlsx&amp;sheet=U0&amp;row=1286&amp;col=6&amp;number=3.2&amp;sourceID=14","3.2")</f>
        <v>3.2</v>
      </c>
      <c r="G1286" s="4" t="str">
        <f>HYPERLINK("http://141.218.60.56/~jnz1568/getInfo.php?workbook=14_04.xlsx&amp;sheet=U0&amp;row=1286&amp;col=7&amp;number=2.58e-05&amp;sourceID=14","2.58e-05")</f>
        <v>2.58e-05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HYPERLINK("http://141.218.60.56/~jnz1568/getInfo.php?workbook=14_04.xlsx&amp;sheet=U0&amp;row=1287&amp;col=6&amp;number=3.3&amp;sourceID=14","3.3")</f>
        <v>3.3</v>
      </c>
      <c r="G1287" s="4" t="str">
        <f>HYPERLINK("http://141.218.60.56/~jnz1568/getInfo.php?workbook=14_04.xlsx&amp;sheet=U0&amp;row=1287&amp;col=7&amp;number=2.58e-05&amp;sourceID=14","2.58e-05")</f>
        <v>2.58e-05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HYPERLINK("http://141.218.60.56/~jnz1568/getInfo.php?workbook=14_04.xlsx&amp;sheet=U0&amp;row=1288&amp;col=6&amp;number=3.4&amp;sourceID=14","3.4")</f>
        <v>3.4</v>
      </c>
      <c r="G1288" s="4" t="str">
        <f>HYPERLINK("http://141.218.60.56/~jnz1568/getInfo.php?workbook=14_04.xlsx&amp;sheet=U0&amp;row=1288&amp;col=7&amp;number=2.58e-05&amp;sourceID=14","2.58e-05")</f>
        <v>2.58e-05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HYPERLINK("http://141.218.60.56/~jnz1568/getInfo.php?workbook=14_04.xlsx&amp;sheet=U0&amp;row=1289&amp;col=6&amp;number=3.5&amp;sourceID=14","3.5")</f>
        <v>3.5</v>
      </c>
      <c r="G1289" s="4" t="str">
        <f>HYPERLINK("http://141.218.60.56/~jnz1568/getInfo.php?workbook=14_04.xlsx&amp;sheet=U0&amp;row=1289&amp;col=7&amp;number=2.58e-05&amp;sourceID=14","2.58e-05")</f>
        <v>2.58e-05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HYPERLINK("http://141.218.60.56/~jnz1568/getInfo.php?workbook=14_04.xlsx&amp;sheet=U0&amp;row=1290&amp;col=6&amp;number=3.6&amp;sourceID=14","3.6")</f>
        <v>3.6</v>
      </c>
      <c r="G1290" s="4" t="str">
        <f>HYPERLINK("http://141.218.60.56/~jnz1568/getInfo.php?workbook=14_04.xlsx&amp;sheet=U0&amp;row=1290&amp;col=7&amp;number=2.58e-05&amp;sourceID=14","2.58e-05")</f>
        <v>2.58e-05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HYPERLINK("http://141.218.60.56/~jnz1568/getInfo.php?workbook=14_04.xlsx&amp;sheet=U0&amp;row=1291&amp;col=6&amp;number=3.7&amp;sourceID=14","3.7")</f>
        <v>3.7</v>
      </c>
      <c r="G1291" s="4" t="str">
        <f>HYPERLINK("http://141.218.60.56/~jnz1568/getInfo.php?workbook=14_04.xlsx&amp;sheet=U0&amp;row=1291&amp;col=7&amp;number=2.58e-05&amp;sourceID=14","2.58e-05")</f>
        <v>2.58e-05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HYPERLINK("http://141.218.60.56/~jnz1568/getInfo.php?workbook=14_04.xlsx&amp;sheet=U0&amp;row=1292&amp;col=6&amp;number=3.8&amp;sourceID=14","3.8")</f>
        <v>3.8</v>
      </c>
      <c r="G1292" s="4" t="str">
        <f>HYPERLINK("http://141.218.60.56/~jnz1568/getInfo.php?workbook=14_04.xlsx&amp;sheet=U0&amp;row=1292&amp;col=7&amp;number=2.58e-05&amp;sourceID=14","2.58e-05")</f>
        <v>2.58e-05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HYPERLINK("http://141.218.60.56/~jnz1568/getInfo.php?workbook=14_04.xlsx&amp;sheet=U0&amp;row=1293&amp;col=6&amp;number=3.9&amp;sourceID=14","3.9")</f>
        <v>3.9</v>
      </c>
      <c r="G1293" s="4" t="str">
        <f>HYPERLINK("http://141.218.60.56/~jnz1568/getInfo.php?workbook=14_04.xlsx&amp;sheet=U0&amp;row=1293&amp;col=7&amp;number=2.58e-05&amp;sourceID=14","2.58e-05")</f>
        <v>2.58e-05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HYPERLINK("http://141.218.60.56/~jnz1568/getInfo.php?workbook=14_04.xlsx&amp;sheet=U0&amp;row=1294&amp;col=6&amp;number=4&amp;sourceID=14","4")</f>
        <v>4</v>
      </c>
      <c r="G1294" s="4" t="str">
        <f>HYPERLINK("http://141.218.60.56/~jnz1568/getInfo.php?workbook=14_04.xlsx&amp;sheet=U0&amp;row=1294&amp;col=7&amp;number=2.58e-05&amp;sourceID=14","2.58e-05")</f>
        <v>2.58e-05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HYPERLINK("http://141.218.60.56/~jnz1568/getInfo.php?workbook=14_04.xlsx&amp;sheet=U0&amp;row=1295&amp;col=6&amp;number=4.1&amp;sourceID=14","4.1")</f>
        <v>4.1</v>
      </c>
      <c r="G1295" s="4" t="str">
        <f>HYPERLINK("http://141.218.60.56/~jnz1568/getInfo.php?workbook=14_04.xlsx&amp;sheet=U0&amp;row=1295&amp;col=7&amp;number=2.58e-05&amp;sourceID=14","2.58e-05")</f>
        <v>2.58e-05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HYPERLINK("http://141.218.60.56/~jnz1568/getInfo.php?workbook=14_04.xlsx&amp;sheet=U0&amp;row=1296&amp;col=6&amp;number=4.2&amp;sourceID=14","4.2")</f>
        <v>4.2</v>
      </c>
      <c r="G1296" s="4" t="str">
        <f>HYPERLINK("http://141.218.60.56/~jnz1568/getInfo.php?workbook=14_04.xlsx&amp;sheet=U0&amp;row=1296&amp;col=7&amp;number=2.58e-05&amp;sourceID=14","2.58e-05")</f>
        <v>2.58e-05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HYPERLINK("http://141.218.60.56/~jnz1568/getInfo.php?workbook=14_04.xlsx&amp;sheet=U0&amp;row=1297&amp;col=6&amp;number=4.3&amp;sourceID=14","4.3")</f>
        <v>4.3</v>
      </c>
      <c r="G1297" s="4" t="str">
        <f>HYPERLINK("http://141.218.60.56/~jnz1568/getInfo.php?workbook=14_04.xlsx&amp;sheet=U0&amp;row=1297&amp;col=7&amp;number=2.57e-05&amp;sourceID=14","2.57e-05")</f>
        <v>2.57e-05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HYPERLINK("http://141.218.60.56/~jnz1568/getInfo.php?workbook=14_04.xlsx&amp;sheet=U0&amp;row=1298&amp;col=6&amp;number=4.4&amp;sourceID=14","4.4")</f>
        <v>4.4</v>
      </c>
      <c r="G1298" s="4" t="str">
        <f>HYPERLINK("http://141.218.60.56/~jnz1568/getInfo.php?workbook=14_04.xlsx&amp;sheet=U0&amp;row=1298&amp;col=7&amp;number=2.57e-05&amp;sourceID=14","2.57e-05")</f>
        <v>2.57e-05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HYPERLINK("http://141.218.60.56/~jnz1568/getInfo.php?workbook=14_04.xlsx&amp;sheet=U0&amp;row=1299&amp;col=6&amp;number=4.5&amp;sourceID=14","4.5")</f>
        <v>4.5</v>
      </c>
      <c r="G1299" s="4" t="str">
        <f>HYPERLINK("http://141.218.60.56/~jnz1568/getInfo.php?workbook=14_04.xlsx&amp;sheet=U0&amp;row=1299&amp;col=7&amp;number=2.57e-05&amp;sourceID=14","2.57e-05")</f>
        <v>2.57e-05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HYPERLINK("http://141.218.60.56/~jnz1568/getInfo.php?workbook=14_04.xlsx&amp;sheet=U0&amp;row=1300&amp;col=6&amp;number=4.6&amp;sourceID=14","4.6")</f>
        <v>4.6</v>
      </c>
      <c r="G1300" s="4" t="str">
        <f>HYPERLINK("http://141.218.60.56/~jnz1568/getInfo.php?workbook=14_04.xlsx&amp;sheet=U0&amp;row=1300&amp;col=7&amp;number=2.57e-05&amp;sourceID=14","2.57e-05")</f>
        <v>2.57e-05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HYPERLINK("http://141.218.60.56/~jnz1568/getInfo.php?workbook=14_04.xlsx&amp;sheet=U0&amp;row=1301&amp;col=6&amp;number=4.7&amp;sourceID=14","4.7")</f>
        <v>4.7</v>
      </c>
      <c r="G1301" s="4" t="str">
        <f>HYPERLINK("http://141.218.60.56/~jnz1568/getInfo.php?workbook=14_04.xlsx&amp;sheet=U0&amp;row=1301&amp;col=7&amp;number=2.56e-05&amp;sourceID=14","2.56e-05")</f>
        <v>2.56e-05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HYPERLINK("http://141.218.60.56/~jnz1568/getInfo.php?workbook=14_04.xlsx&amp;sheet=U0&amp;row=1302&amp;col=6&amp;number=4.8&amp;sourceID=14","4.8")</f>
        <v>4.8</v>
      </c>
      <c r="G1302" s="4" t="str">
        <f>HYPERLINK("http://141.218.60.56/~jnz1568/getInfo.php?workbook=14_04.xlsx&amp;sheet=U0&amp;row=1302&amp;col=7&amp;number=2.56e-05&amp;sourceID=14","2.56e-05")</f>
        <v>2.56e-05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HYPERLINK("http://141.218.60.56/~jnz1568/getInfo.php?workbook=14_04.xlsx&amp;sheet=U0&amp;row=1303&amp;col=6&amp;number=4.9&amp;sourceID=14","4.9")</f>
        <v>4.9</v>
      </c>
      <c r="G1303" s="4" t="str">
        <f>HYPERLINK("http://141.218.60.56/~jnz1568/getInfo.php?workbook=14_04.xlsx&amp;sheet=U0&amp;row=1303&amp;col=7&amp;number=2.55e-05&amp;sourceID=14","2.55e-05")</f>
        <v>2.55e-05</v>
      </c>
    </row>
    <row r="1304" spans="1:7">
      <c r="A1304" s="3">
        <v>14</v>
      </c>
      <c r="B1304" s="3">
        <v>4</v>
      </c>
      <c r="C1304" s="3">
        <v>1</v>
      </c>
      <c r="D1304" s="3">
        <v>31</v>
      </c>
      <c r="E1304" s="3">
        <v>1</v>
      </c>
      <c r="F1304" s="4" t="str">
        <f>HYPERLINK("http://141.218.60.56/~jnz1568/getInfo.php?workbook=14_04.xlsx&amp;sheet=U0&amp;row=1304&amp;col=6&amp;number=3&amp;sourceID=14","3")</f>
        <v>3</v>
      </c>
      <c r="G1304" s="4" t="str">
        <f>HYPERLINK("http://141.218.60.56/~jnz1568/getInfo.php?workbook=14_04.xlsx&amp;sheet=U0&amp;row=1304&amp;col=7&amp;number=6.98e-05&amp;sourceID=14","6.98e-05")</f>
        <v>6.98e-05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HYPERLINK("http://141.218.60.56/~jnz1568/getInfo.php?workbook=14_04.xlsx&amp;sheet=U0&amp;row=1305&amp;col=6&amp;number=3.1&amp;sourceID=14","3.1")</f>
        <v>3.1</v>
      </c>
      <c r="G1305" s="4" t="str">
        <f>HYPERLINK("http://141.218.60.56/~jnz1568/getInfo.php?workbook=14_04.xlsx&amp;sheet=U0&amp;row=1305&amp;col=7&amp;number=6.98e-05&amp;sourceID=14","6.98e-05")</f>
        <v>6.98e-05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HYPERLINK("http://141.218.60.56/~jnz1568/getInfo.php?workbook=14_04.xlsx&amp;sheet=U0&amp;row=1306&amp;col=6&amp;number=3.2&amp;sourceID=14","3.2")</f>
        <v>3.2</v>
      </c>
      <c r="G1306" s="4" t="str">
        <f>HYPERLINK("http://141.218.60.56/~jnz1568/getInfo.php?workbook=14_04.xlsx&amp;sheet=U0&amp;row=1306&amp;col=7&amp;number=6.98e-05&amp;sourceID=14","6.98e-05")</f>
        <v>6.98e-05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HYPERLINK("http://141.218.60.56/~jnz1568/getInfo.php?workbook=14_04.xlsx&amp;sheet=U0&amp;row=1307&amp;col=6&amp;number=3.3&amp;sourceID=14","3.3")</f>
        <v>3.3</v>
      </c>
      <c r="G1307" s="4" t="str">
        <f>HYPERLINK("http://141.218.60.56/~jnz1568/getInfo.php?workbook=14_04.xlsx&amp;sheet=U0&amp;row=1307&amp;col=7&amp;number=6.98e-05&amp;sourceID=14","6.98e-05")</f>
        <v>6.98e-05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HYPERLINK("http://141.218.60.56/~jnz1568/getInfo.php?workbook=14_04.xlsx&amp;sheet=U0&amp;row=1308&amp;col=6&amp;number=3.4&amp;sourceID=14","3.4")</f>
        <v>3.4</v>
      </c>
      <c r="G1308" s="4" t="str">
        <f>HYPERLINK("http://141.218.60.56/~jnz1568/getInfo.php?workbook=14_04.xlsx&amp;sheet=U0&amp;row=1308&amp;col=7&amp;number=6.98e-05&amp;sourceID=14","6.98e-05")</f>
        <v>6.98e-05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HYPERLINK("http://141.218.60.56/~jnz1568/getInfo.php?workbook=14_04.xlsx&amp;sheet=U0&amp;row=1309&amp;col=6&amp;number=3.5&amp;sourceID=14","3.5")</f>
        <v>3.5</v>
      </c>
      <c r="G1309" s="4" t="str">
        <f>HYPERLINK("http://141.218.60.56/~jnz1568/getInfo.php?workbook=14_04.xlsx&amp;sheet=U0&amp;row=1309&amp;col=7&amp;number=6.98e-05&amp;sourceID=14","6.98e-05")</f>
        <v>6.98e-05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HYPERLINK("http://141.218.60.56/~jnz1568/getInfo.php?workbook=14_04.xlsx&amp;sheet=U0&amp;row=1310&amp;col=6&amp;number=3.6&amp;sourceID=14","3.6")</f>
        <v>3.6</v>
      </c>
      <c r="G1310" s="4" t="str">
        <f>HYPERLINK("http://141.218.60.56/~jnz1568/getInfo.php?workbook=14_04.xlsx&amp;sheet=U0&amp;row=1310&amp;col=7&amp;number=6.98e-05&amp;sourceID=14","6.98e-05")</f>
        <v>6.98e-05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HYPERLINK("http://141.218.60.56/~jnz1568/getInfo.php?workbook=14_04.xlsx&amp;sheet=U0&amp;row=1311&amp;col=6&amp;number=3.7&amp;sourceID=14","3.7")</f>
        <v>3.7</v>
      </c>
      <c r="G1311" s="4" t="str">
        <f>HYPERLINK("http://141.218.60.56/~jnz1568/getInfo.php?workbook=14_04.xlsx&amp;sheet=U0&amp;row=1311&amp;col=7&amp;number=6.97e-05&amp;sourceID=14","6.97e-05")</f>
        <v>6.97e-05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HYPERLINK("http://141.218.60.56/~jnz1568/getInfo.php?workbook=14_04.xlsx&amp;sheet=U0&amp;row=1312&amp;col=6&amp;number=3.8&amp;sourceID=14","3.8")</f>
        <v>3.8</v>
      </c>
      <c r="G1312" s="4" t="str">
        <f>HYPERLINK("http://141.218.60.56/~jnz1568/getInfo.php?workbook=14_04.xlsx&amp;sheet=U0&amp;row=1312&amp;col=7&amp;number=6.97e-05&amp;sourceID=14","6.97e-05")</f>
        <v>6.97e-05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HYPERLINK("http://141.218.60.56/~jnz1568/getInfo.php?workbook=14_04.xlsx&amp;sheet=U0&amp;row=1313&amp;col=6&amp;number=3.9&amp;sourceID=14","3.9")</f>
        <v>3.9</v>
      </c>
      <c r="G1313" s="4" t="str">
        <f>HYPERLINK("http://141.218.60.56/~jnz1568/getInfo.php?workbook=14_04.xlsx&amp;sheet=U0&amp;row=1313&amp;col=7&amp;number=6.97e-05&amp;sourceID=14","6.97e-05")</f>
        <v>6.97e-05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HYPERLINK("http://141.218.60.56/~jnz1568/getInfo.php?workbook=14_04.xlsx&amp;sheet=U0&amp;row=1314&amp;col=6&amp;number=4&amp;sourceID=14","4")</f>
        <v>4</v>
      </c>
      <c r="G1314" s="4" t="str">
        <f>HYPERLINK("http://141.218.60.56/~jnz1568/getInfo.php?workbook=14_04.xlsx&amp;sheet=U0&amp;row=1314&amp;col=7&amp;number=6.97e-05&amp;sourceID=14","6.97e-05")</f>
        <v>6.97e-05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HYPERLINK("http://141.218.60.56/~jnz1568/getInfo.php?workbook=14_04.xlsx&amp;sheet=U0&amp;row=1315&amp;col=6&amp;number=4.1&amp;sourceID=14","4.1")</f>
        <v>4.1</v>
      </c>
      <c r="G1315" s="4" t="str">
        <f>HYPERLINK("http://141.218.60.56/~jnz1568/getInfo.php?workbook=14_04.xlsx&amp;sheet=U0&amp;row=1315&amp;col=7&amp;number=6.97e-05&amp;sourceID=14","6.97e-05")</f>
        <v>6.97e-05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HYPERLINK("http://141.218.60.56/~jnz1568/getInfo.php?workbook=14_04.xlsx&amp;sheet=U0&amp;row=1316&amp;col=6&amp;number=4.2&amp;sourceID=14","4.2")</f>
        <v>4.2</v>
      </c>
      <c r="G1316" s="4" t="str">
        <f>HYPERLINK("http://141.218.60.56/~jnz1568/getInfo.php?workbook=14_04.xlsx&amp;sheet=U0&amp;row=1316&amp;col=7&amp;number=6.96e-05&amp;sourceID=14","6.96e-05")</f>
        <v>6.96e-05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HYPERLINK("http://141.218.60.56/~jnz1568/getInfo.php?workbook=14_04.xlsx&amp;sheet=U0&amp;row=1317&amp;col=6&amp;number=4.3&amp;sourceID=14","4.3")</f>
        <v>4.3</v>
      </c>
      <c r="G1317" s="4" t="str">
        <f>HYPERLINK("http://141.218.60.56/~jnz1568/getInfo.php?workbook=14_04.xlsx&amp;sheet=U0&amp;row=1317&amp;col=7&amp;number=6.96e-05&amp;sourceID=14","6.96e-05")</f>
        <v>6.96e-05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HYPERLINK("http://141.218.60.56/~jnz1568/getInfo.php?workbook=14_04.xlsx&amp;sheet=U0&amp;row=1318&amp;col=6&amp;number=4.4&amp;sourceID=14","4.4")</f>
        <v>4.4</v>
      </c>
      <c r="G1318" s="4" t="str">
        <f>HYPERLINK("http://141.218.60.56/~jnz1568/getInfo.php?workbook=14_04.xlsx&amp;sheet=U0&amp;row=1318&amp;col=7&amp;number=6.95e-05&amp;sourceID=14","6.95e-05")</f>
        <v>6.95e-05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HYPERLINK("http://141.218.60.56/~jnz1568/getInfo.php?workbook=14_04.xlsx&amp;sheet=U0&amp;row=1319&amp;col=6&amp;number=4.5&amp;sourceID=14","4.5")</f>
        <v>4.5</v>
      </c>
      <c r="G1319" s="4" t="str">
        <f>HYPERLINK("http://141.218.60.56/~jnz1568/getInfo.php?workbook=14_04.xlsx&amp;sheet=U0&amp;row=1319&amp;col=7&amp;number=6.94e-05&amp;sourceID=14","6.94e-05")</f>
        <v>6.94e-05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HYPERLINK("http://141.218.60.56/~jnz1568/getInfo.php?workbook=14_04.xlsx&amp;sheet=U0&amp;row=1320&amp;col=6&amp;number=4.6&amp;sourceID=14","4.6")</f>
        <v>4.6</v>
      </c>
      <c r="G1320" s="4" t="str">
        <f>HYPERLINK("http://141.218.60.56/~jnz1568/getInfo.php?workbook=14_04.xlsx&amp;sheet=U0&amp;row=1320&amp;col=7&amp;number=6.93e-05&amp;sourceID=14","6.93e-05")</f>
        <v>6.93e-05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HYPERLINK("http://141.218.60.56/~jnz1568/getInfo.php?workbook=14_04.xlsx&amp;sheet=U0&amp;row=1321&amp;col=6&amp;number=4.7&amp;sourceID=14","4.7")</f>
        <v>4.7</v>
      </c>
      <c r="G1321" s="4" t="str">
        <f>HYPERLINK("http://141.218.60.56/~jnz1568/getInfo.php?workbook=14_04.xlsx&amp;sheet=U0&amp;row=1321&amp;col=7&amp;number=6.92e-05&amp;sourceID=14","6.92e-05")</f>
        <v>6.92e-05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HYPERLINK("http://141.218.60.56/~jnz1568/getInfo.php?workbook=14_04.xlsx&amp;sheet=U0&amp;row=1322&amp;col=6&amp;number=4.8&amp;sourceID=14","4.8")</f>
        <v>4.8</v>
      </c>
      <c r="G1322" s="4" t="str">
        <f>HYPERLINK("http://141.218.60.56/~jnz1568/getInfo.php?workbook=14_04.xlsx&amp;sheet=U0&amp;row=1322&amp;col=7&amp;number=6.9e-05&amp;sourceID=14","6.9e-05")</f>
        <v>6.9e-05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HYPERLINK("http://141.218.60.56/~jnz1568/getInfo.php?workbook=14_04.xlsx&amp;sheet=U0&amp;row=1323&amp;col=6&amp;number=4.9&amp;sourceID=14","4.9")</f>
        <v>4.9</v>
      </c>
      <c r="G1323" s="4" t="str">
        <f>HYPERLINK("http://141.218.60.56/~jnz1568/getInfo.php?workbook=14_04.xlsx&amp;sheet=U0&amp;row=1323&amp;col=7&amp;number=6.88e-05&amp;sourceID=14","6.88e-05")</f>
        <v>6.88e-05</v>
      </c>
    </row>
    <row r="1324" spans="1:7">
      <c r="A1324" s="3">
        <v>14</v>
      </c>
      <c r="B1324" s="3">
        <v>4</v>
      </c>
      <c r="C1324" s="3">
        <v>1</v>
      </c>
      <c r="D1324" s="3">
        <v>32</v>
      </c>
      <c r="E1324" s="3">
        <v>1</v>
      </c>
      <c r="F1324" s="4" t="str">
        <f>HYPERLINK("http://141.218.60.56/~jnz1568/getInfo.php?workbook=14_04.xlsx&amp;sheet=U0&amp;row=1324&amp;col=6&amp;number=3&amp;sourceID=14","3")</f>
        <v>3</v>
      </c>
      <c r="G1324" s="4" t="str">
        <f>HYPERLINK("http://141.218.60.56/~jnz1568/getInfo.php?workbook=14_04.xlsx&amp;sheet=U0&amp;row=1324&amp;col=7&amp;number=0.000121&amp;sourceID=14","0.000121")</f>
        <v>0.000121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HYPERLINK("http://141.218.60.56/~jnz1568/getInfo.php?workbook=14_04.xlsx&amp;sheet=U0&amp;row=1325&amp;col=6&amp;number=3.1&amp;sourceID=14","3.1")</f>
        <v>3.1</v>
      </c>
      <c r="G1325" s="4" t="str">
        <f>HYPERLINK("http://141.218.60.56/~jnz1568/getInfo.php?workbook=14_04.xlsx&amp;sheet=U0&amp;row=1325&amp;col=7&amp;number=0.000121&amp;sourceID=14","0.000121")</f>
        <v>0.000121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HYPERLINK("http://141.218.60.56/~jnz1568/getInfo.php?workbook=14_04.xlsx&amp;sheet=U0&amp;row=1326&amp;col=6&amp;number=3.2&amp;sourceID=14","3.2")</f>
        <v>3.2</v>
      </c>
      <c r="G1326" s="4" t="str">
        <f>HYPERLINK("http://141.218.60.56/~jnz1568/getInfo.php?workbook=14_04.xlsx&amp;sheet=U0&amp;row=1326&amp;col=7&amp;number=0.000121&amp;sourceID=14","0.000121")</f>
        <v>0.000121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HYPERLINK("http://141.218.60.56/~jnz1568/getInfo.php?workbook=14_04.xlsx&amp;sheet=U0&amp;row=1327&amp;col=6&amp;number=3.3&amp;sourceID=14","3.3")</f>
        <v>3.3</v>
      </c>
      <c r="G1327" s="4" t="str">
        <f>HYPERLINK("http://141.218.60.56/~jnz1568/getInfo.php?workbook=14_04.xlsx&amp;sheet=U0&amp;row=1327&amp;col=7&amp;number=0.000121&amp;sourceID=14","0.000121")</f>
        <v>0.000121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HYPERLINK("http://141.218.60.56/~jnz1568/getInfo.php?workbook=14_04.xlsx&amp;sheet=U0&amp;row=1328&amp;col=6&amp;number=3.4&amp;sourceID=14","3.4")</f>
        <v>3.4</v>
      </c>
      <c r="G1328" s="4" t="str">
        <f>HYPERLINK("http://141.218.60.56/~jnz1568/getInfo.php?workbook=14_04.xlsx&amp;sheet=U0&amp;row=1328&amp;col=7&amp;number=0.000121&amp;sourceID=14","0.000121")</f>
        <v>0.000121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HYPERLINK("http://141.218.60.56/~jnz1568/getInfo.php?workbook=14_04.xlsx&amp;sheet=U0&amp;row=1329&amp;col=6&amp;number=3.5&amp;sourceID=14","3.5")</f>
        <v>3.5</v>
      </c>
      <c r="G1329" s="4" t="str">
        <f>HYPERLINK("http://141.218.60.56/~jnz1568/getInfo.php?workbook=14_04.xlsx&amp;sheet=U0&amp;row=1329&amp;col=7&amp;number=0.000121&amp;sourceID=14","0.000121")</f>
        <v>0.000121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HYPERLINK("http://141.218.60.56/~jnz1568/getInfo.php?workbook=14_04.xlsx&amp;sheet=U0&amp;row=1330&amp;col=6&amp;number=3.6&amp;sourceID=14","3.6")</f>
        <v>3.6</v>
      </c>
      <c r="G1330" s="4" t="str">
        <f>HYPERLINK("http://141.218.60.56/~jnz1568/getInfo.php?workbook=14_04.xlsx&amp;sheet=U0&amp;row=1330&amp;col=7&amp;number=0.000121&amp;sourceID=14","0.000121")</f>
        <v>0.000121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HYPERLINK("http://141.218.60.56/~jnz1568/getInfo.php?workbook=14_04.xlsx&amp;sheet=U0&amp;row=1331&amp;col=6&amp;number=3.7&amp;sourceID=14","3.7")</f>
        <v>3.7</v>
      </c>
      <c r="G1331" s="4" t="str">
        <f>HYPERLINK("http://141.218.60.56/~jnz1568/getInfo.php?workbook=14_04.xlsx&amp;sheet=U0&amp;row=1331&amp;col=7&amp;number=0.000121&amp;sourceID=14","0.000121")</f>
        <v>0.000121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HYPERLINK("http://141.218.60.56/~jnz1568/getInfo.php?workbook=14_04.xlsx&amp;sheet=U0&amp;row=1332&amp;col=6&amp;number=3.8&amp;sourceID=14","3.8")</f>
        <v>3.8</v>
      </c>
      <c r="G1332" s="4" t="str">
        <f>HYPERLINK("http://141.218.60.56/~jnz1568/getInfo.php?workbook=14_04.xlsx&amp;sheet=U0&amp;row=1332&amp;col=7&amp;number=0.000121&amp;sourceID=14","0.000121")</f>
        <v>0.000121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HYPERLINK("http://141.218.60.56/~jnz1568/getInfo.php?workbook=14_04.xlsx&amp;sheet=U0&amp;row=1333&amp;col=6&amp;number=3.9&amp;sourceID=14","3.9")</f>
        <v>3.9</v>
      </c>
      <c r="G1333" s="4" t="str">
        <f>HYPERLINK("http://141.218.60.56/~jnz1568/getInfo.php?workbook=14_04.xlsx&amp;sheet=U0&amp;row=1333&amp;col=7&amp;number=0.000121&amp;sourceID=14","0.000121")</f>
        <v>0.000121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HYPERLINK("http://141.218.60.56/~jnz1568/getInfo.php?workbook=14_04.xlsx&amp;sheet=U0&amp;row=1334&amp;col=6&amp;number=4&amp;sourceID=14","4")</f>
        <v>4</v>
      </c>
      <c r="G1334" s="4" t="str">
        <f>HYPERLINK("http://141.218.60.56/~jnz1568/getInfo.php?workbook=14_04.xlsx&amp;sheet=U0&amp;row=1334&amp;col=7&amp;number=0.000121&amp;sourceID=14","0.000121")</f>
        <v>0.000121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HYPERLINK("http://141.218.60.56/~jnz1568/getInfo.php?workbook=14_04.xlsx&amp;sheet=U0&amp;row=1335&amp;col=6&amp;number=4.1&amp;sourceID=14","4.1")</f>
        <v>4.1</v>
      </c>
      <c r="G1335" s="4" t="str">
        <f>HYPERLINK("http://141.218.60.56/~jnz1568/getInfo.php?workbook=14_04.xlsx&amp;sheet=U0&amp;row=1335&amp;col=7&amp;number=0.000121&amp;sourceID=14","0.000121")</f>
        <v>0.000121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HYPERLINK("http://141.218.60.56/~jnz1568/getInfo.php?workbook=14_04.xlsx&amp;sheet=U0&amp;row=1336&amp;col=6&amp;number=4.2&amp;sourceID=14","4.2")</f>
        <v>4.2</v>
      </c>
      <c r="G1336" s="4" t="str">
        <f>HYPERLINK("http://141.218.60.56/~jnz1568/getInfo.php?workbook=14_04.xlsx&amp;sheet=U0&amp;row=1336&amp;col=7&amp;number=0.000121&amp;sourceID=14","0.000121")</f>
        <v>0.000121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HYPERLINK("http://141.218.60.56/~jnz1568/getInfo.php?workbook=14_04.xlsx&amp;sheet=U0&amp;row=1337&amp;col=6&amp;number=4.3&amp;sourceID=14","4.3")</f>
        <v>4.3</v>
      </c>
      <c r="G1337" s="4" t="str">
        <f>HYPERLINK("http://141.218.60.56/~jnz1568/getInfo.php?workbook=14_04.xlsx&amp;sheet=U0&amp;row=1337&amp;col=7&amp;number=0.000121&amp;sourceID=14","0.000121")</f>
        <v>0.000121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HYPERLINK("http://141.218.60.56/~jnz1568/getInfo.php?workbook=14_04.xlsx&amp;sheet=U0&amp;row=1338&amp;col=6&amp;number=4.4&amp;sourceID=14","4.4")</f>
        <v>4.4</v>
      </c>
      <c r="G1338" s="4" t="str">
        <f>HYPERLINK("http://141.218.60.56/~jnz1568/getInfo.php?workbook=14_04.xlsx&amp;sheet=U0&amp;row=1338&amp;col=7&amp;number=0.000121&amp;sourceID=14","0.000121")</f>
        <v>0.000121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HYPERLINK("http://141.218.60.56/~jnz1568/getInfo.php?workbook=14_04.xlsx&amp;sheet=U0&amp;row=1339&amp;col=6&amp;number=4.5&amp;sourceID=14","4.5")</f>
        <v>4.5</v>
      </c>
      <c r="G1339" s="4" t="str">
        <f>HYPERLINK("http://141.218.60.56/~jnz1568/getInfo.php?workbook=14_04.xlsx&amp;sheet=U0&amp;row=1339&amp;col=7&amp;number=0.000121&amp;sourceID=14","0.000121")</f>
        <v>0.000121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HYPERLINK("http://141.218.60.56/~jnz1568/getInfo.php?workbook=14_04.xlsx&amp;sheet=U0&amp;row=1340&amp;col=6&amp;number=4.6&amp;sourceID=14","4.6")</f>
        <v>4.6</v>
      </c>
      <c r="G1340" s="4" t="str">
        <f>HYPERLINK("http://141.218.60.56/~jnz1568/getInfo.php?workbook=14_04.xlsx&amp;sheet=U0&amp;row=1340&amp;col=7&amp;number=0.00012&amp;sourceID=14","0.00012")</f>
        <v>0.00012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HYPERLINK("http://141.218.60.56/~jnz1568/getInfo.php?workbook=14_04.xlsx&amp;sheet=U0&amp;row=1341&amp;col=6&amp;number=4.7&amp;sourceID=14","4.7")</f>
        <v>4.7</v>
      </c>
      <c r="G1341" s="4" t="str">
        <f>HYPERLINK("http://141.218.60.56/~jnz1568/getInfo.php?workbook=14_04.xlsx&amp;sheet=U0&amp;row=1341&amp;col=7&amp;number=0.00012&amp;sourceID=14","0.00012")</f>
        <v>0.00012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HYPERLINK("http://141.218.60.56/~jnz1568/getInfo.php?workbook=14_04.xlsx&amp;sheet=U0&amp;row=1342&amp;col=6&amp;number=4.8&amp;sourceID=14","4.8")</f>
        <v>4.8</v>
      </c>
      <c r="G1342" s="4" t="str">
        <f>HYPERLINK("http://141.218.60.56/~jnz1568/getInfo.php?workbook=14_04.xlsx&amp;sheet=U0&amp;row=1342&amp;col=7&amp;number=0.00012&amp;sourceID=14","0.00012")</f>
        <v>0.00012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HYPERLINK("http://141.218.60.56/~jnz1568/getInfo.php?workbook=14_04.xlsx&amp;sheet=U0&amp;row=1343&amp;col=6&amp;number=4.9&amp;sourceID=14","4.9")</f>
        <v>4.9</v>
      </c>
      <c r="G1343" s="4" t="str">
        <f>HYPERLINK("http://141.218.60.56/~jnz1568/getInfo.php?workbook=14_04.xlsx&amp;sheet=U0&amp;row=1343&amp;col=7&amp;number=0.00012&amp;sourceID=14","0.00012")</f>
        <v>0.00012</v>
      </c>
    </row>
    <row r="1344" spans="1:7">
      <c r="A1344" s="3">
        <v>14</v>
      </c>
      <c r="B1344" s="3">
        <v>4</v>
      </c>
      <c r="C1344" s="3">
        <v>1</v>
      </c>
      <c r="D1344" s="3">
        <v>33</v>
      </c>
      <c r="E1344" s="3">
        <v>1</v>
      </c>
      <c r="F1344" s="4" t="str">
        <f>HYPERLINK("http://141.218.60.56/~jnz1568/getInfo.php?workbook=14_04.xlsx&amp;sheet=U0&amp;row=1344&amp;col=6&amp;number=3&amp;sourceID=14","3")</f>
        <v>3</v>
      </c>
      <c r="G1344" s="4" t="str">
        <f>HYPERLINK("http://141.218.60.56/~jnz1568/getInfo.php?workbook=14_04.xlsx&amp;sheet=U0&amp;row=1344&amp;col=7&amp;number=0.000177&amp;sourceID=14","0.000177")</f>
        <v>0.000177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HYPERLINK("http://141.218.60.56/~jnz1568/getInfo.php?workbook=14_04.xlsx&amp;sheet=U0&amp;row=1345&amp;col=6&amp;number=3.1&amp;sourceID=14","3.1")</f>
        <v>3.1</v>
      </c>
      <c r="G1345" s="4" t="str">
        <f>HYPERLINK("http://141.218.60.56/~jnz1568/getInfo.php?workbook=14_04.xlsx&amp;sheet=U0&amp;row=1345&amp;col=7&amp;number=0.000177&amp;sourceID=14","0.000177")</f>
        <v>0.000177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HYPERLINK("http://141.218.60.56/~jnz1568/getInfo.php?workbook=14_04.xlsx&amp;sheet=U0&amp;row=1346&amp;col=6&amp;number=3.2&amp;sourceID=14","3.2")</f>
        <v>3.2</v>
      </c>
      <c r="G1346" s="4" t="str">
        <f>HYPERLINK("http://141.218.60.56/~jnz1568/getInfo.php?workbook=14_04.xlsx&amp;sheet=U0&amp;row=1346&amp;col=7&amp;number=0.000177&amp;sourceID=14","0.000177")</f>
        <v>0.000177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HYPERLINK("http://141.218.60.56/~jnz1568/getInfo.php?workbook=14_04.xlsx&amp;sheet=U0&amp;row=1347&amp;col=6&amp;number=3.3&amp;sourceID=14","3.3")</f>
        <v>3.3</v>
      </c>
      <c r="G1347" s="4" t="str">
        <f>HYPERLINK("http://141.218.60.56/~jnz1568/getInfo.php?workbook=14_04.xlsx&amp;sheet=U0&amp;row=1347&amp;col=7&amp;number=0.000177&amp;sourceID=14","0.000177")</f>
        <v>0.000177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HYPERLINK("http://141.218.60.56/~jnz1568/getInfo.php?workbook=14_04.xlsx&amp;sheet=U0&amp;row=1348&amp;col=6&amp;number=3.4&amp;sourceID=14","3.4")</f>
        <v>3.4</v>
      </c>
      <c r="G1348" s="4" t="str">
        <f>HYPERLINK("http://141.218.60.56/~jnz1568/getInfo.php?workbook=14_04.xlsx&amp;sheet=U0&amp;row=1348&amp;col=7&amp;number=0.000177&amp;sourceID=14","0.000177")</f>
        <v>0.000177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HYPERLINK("http://141.218.60.56/~jnz1568/getInfo.php?workbook=14_04.xlsx&amp;sheet=U0&amp;row=1349&amp;col=6&amp;number=3.5&amp;sourceID=14","3.5")</f>
        <v>3.5</v>
      </c>
      <c r="G1349" s="4" t="str">
        <f>HYPERLINK("http://141.218.60.56/~jnz1568/getInfo.php?workbook=14_04.xlsx&amp;sheet=U0&amp;row=1349&amp;col=7&amp;number=0.000177&amp;sourceID=14","0.000177")</f>
        <v>0.000177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HYPERLINK("http://141.218.60.56/~jnz1568/getInfo.php?workbook=14_04.xlsx&amp;sheet=U0&amp;row=1350&amp;col=6&amp;number=3.6&amp;sourceID=14","3.6")</f>
        <v>3.6</v>
      </c>
      <c r="G1350" s="4" t="str">
        <f>HYPERLINK("http://141.218.60.56/~jnz1568/getInfo.php?workbook=14_04.xlsx&amp;sheet=U0&amp;row=1350&amp;col=7&amp;number=0.000177&amp;sourceID=14","0.000177")</f>
        <v>0.000177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HYPERLINK("http://141.218.60.56/~jnz1568/getInfo.php?workbook=14_04.xlsx&amp;sheet=U0&amp;row=1351&amp;col=6&amp;number=3.7&amp;sourceID=14","3.7")</f>
        <v>3.7</v>
      </c>
      <c r="G1351" s="4" t="str">
        <f>HYPERLINK("http://141.218.60.56/~jnz1568/getInfo.php?workbook=14_04.xlsx&amp;sheet=U0&amp;row=1351&amp;col=7&amp;number=0.000177&amp;sourceID=14","0.000177")</f>
        <v>0.000177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HYPERLINK("http://141.218.60.56/~jnz1568/getInfo.php?workbook=14_04.xlsx&amp;sheet=U0&amp;row=1352&amp;col=6&amp;number=3.8&amp;sourceID=14","3.8")</f>
        <v>3.8</v>
      </c>
      <c r="G1352" s="4" t="str">
        <f>HYPERLINK("http://141.218.60.56/~jnz1568/getInfo.php?workbook=14_04.xlsx&amp;sheet=U0&amp;row=1352&amp;col=7&amp;number=0.000177&amp;sourceID=14","0.000177")</f>
        <v>0.000177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HYPERLINK("http://141.218.60.56/~jnz1568/getInfo.php?workbook=14_04.xlsx&amp;sheet=U0&amp;row=1353&amp;col=6&amp;number=3.9&amp;sourceID=14","3.9")</f>
        <v>3.9</v>
      </c>
      <c r="G1353" s="4" t="str">
        <f>HYPERLINK("http://141.218.60.56/~jnz1568/getInfo.php?workbook=14_04.xlsx&amp;sheet=U0&amp;row=1353&amp;col=7&amp;number=0.000177&amp;sourceID=14","0.000177")</f>
        <v>0.000177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HYPERLINK("http://141.218.60.56/~jnz1568/getInfo.php?workbook=14_04.xlsx&amp;sheet=U0&amp;row=1354&amp;col=6&amp;number=4&amp;sourceID=14","4")</f>
        <v>4</v>
      </c>
      <c r="G1354" s="4" t="str">
        <f>HYPERLINK("http://141.218.60.56/~jnz1568/getInfo.php?workbook=14_04.xlsx&amp;sheet=U0&amp;row=1354&amp;col=7&amp;number=0.000177&amp;sourceID=14","0.000177")</f>
        <v>0.000177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HYPERLINK("http://141.218.60.56/~jnz1568/getInfo.php?workbook=14_04.xlsx&amp;sheet=U0&amp;row=1355&amp;col=6&amp;number=4.1&amp;sourceID=14","4.1")</f>
        <v>4.1</v>
      </c>
      <c r="G1355" s="4" t="str">
        <f>HYPERLINK("http://141.218.60.56/~jnz1568/getInfo.php?workbook=14_04.xlsx&amp;sheet=U0&amp;row=1355&amp;col=7&amp;number=0.000177&amp;sourceID=14","0.000177")</f>
        <v>0.000177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HYPERLINK("http://141.218.60.56/~jnz1568/getInfo.php?workbook=14_04.xlsx&amp;sheet=U0&amp;row=1356&amp;col=6&amp;number=4.2&amp;sourceID=14","4.2")</f>
        <v>4.2</v>
      </c>
      <c r="G1356" s="4" t="str">
        <f>HYPERLINK("http://141.218.60.56/~jnz1568/getInfo.php?workbook=14_04.xlsx&amp;sheet=U0&amp;row=1356&amp;col=7&amp;number=0.000177&amp;sourceID=14","0.000177")</f>
        <v>0.000177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HYPERLINK("http://141.218.60.56/~jnz1568/getInfo.php?workbook=14_04.xlsx&amp;sheet=U0&amp;row=1357&amp;col=6&amp;number=4.3&amp;sourceID=14","4.3")</f>
        <v>4.3</v>
      </c>
      <c r="G1357" s="4" t="str">
        <f>HYPERLINK("http://141.218.60.56/~jnz1568/getInfo.php?workbook=14_04.xlsx&amp;sheet=U0&amp;row=1357&amp;col=7&amp;number=0.000177&amp;sourceID=14","0.000177")</f>
        <v>0.000177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HYPERLINK("http://141.218.60.56/~jnz1568/getInfo.php?workbook=14_04.xlsx&amp;sheet=U0&amp;row=1358&amp;col=6&amp;number=4.4&amp;sourceID=14","4.4")</f>
        <v>4.4</v>
      </c>
      <c r="G1358" s="4" t="str">
        <f>HYPERLINK("http://141.218.60.56/~jnz1568/getInfo.php?workbook=14_04.xlsx&amp;sheet=U0&amp;row=1358&amp;col=7&amp;number=0.000176&amp;sourceID=14","0.000176")</f>
        <v>0.000176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HYPERLINK("http://141.218.60.56/~jnz1568/getInfo.php?workbook=14_04.xlsx&amp;sheet=U0&amp;row=1359&amp;col=6&amp;number=4.5&amp;sourceID=14","4.5")</f>
        <v>4.5</v>
      </c>
      <c r="G1359" s="4" t="str">
        <f>HYPERLINK("http://141.218.60.56/~jnz1568/getInfo.php?workbook=14_04.xlsx&amp;sheet=U0&amp;row=1359&amp;col=7&amp;number=0.000176&amp;sourceID=14","0.000176")</f>
        <v>0.000176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HYPERLINK("http://141.218.60.56/~jnz1568/getInfo.php?workbook=14_04.xlsx&amp;sheet=U0&amp;row=1360&amp;col=6&amp;number=4.6&amp;sourceID=14","4.6")</f>
        <v>4.6</v>
      </c>
      <c r="G1360" s="4" t="str">
        <f>HYPERLINK("http://141.218.60.56/~jnz1568/getInfo.php?workbook=14_04.xlsx&amp;sheet=U0&amp;row=1360&amp;col=7&amp;number=0.000176&amp;sourceID=14","0.000176")</f>
        <v>0.000176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HYPERLINK("http://141.218.60.56/~jnz1568/getInfo.php?workbook=14_04.xlsx&amp;sheet=U0&amp;row=1361&amp;col=6&amp;number=4.7&amp;sourceID=14","4.7")</f>
        <v>4.7</v>
      </c>
      <c r="G1361" s="4" t="str">
        <f>HYPERLINK("http://141.218.60.56/~jnz1568/getInfo.php?workbook=14_04.xlsx&amp;sheet=U0&amp;row=1361&amp;col=7&amp;number=0.000176&amp;sourceID=14","0.000176")</f>
        <v>0.000176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HYPERLINK("http://141.218.60.56/~jnz1568/getInfo.php?workbook=14_04.xlsx&amp;sheet=U0&amp;row=1362&amp;col=6&amp;number=4.8&amp;sourceID=14","4.8")</f>
        <v>4.8</v>
      </c>
      <c r="G1362" s="4" t="str">
        <f>HYPERLINK("http://141.218.60.56/~jnz1568/getInfo.php?workbook=14_04.xlsx&amp;sheet=U0&amp;row=1362&amp;col=7&amp;number=0.000175&amp;sourceID=14","0.000175")</f>
        <v>0.000175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HYPERLINK("http://141.218.60.56/~jnz1568/getInfo.php?workbook=14_04.xlsx&amp;sheet=U0&amp;row=1363&amp;col=6&amp;number=4.9&amp;sourceID=14","4.9")</f>
        <v>4.9</v>
      </c>
      <c r="G1363" s="4" t="str">
        <f>HYPERLINK("http://141.218.60.56/~jnz1568/getInfo.php?workbook=14_04.xlsx&amp;sheet=U0&amp;row=1363&amp;col=7&amp;number=0.000175&amp;sourceID=14","0.000175")</f>
        <v>0.000175</v>
      </c>
    </row>
    <row r="1364" spans="1:7">
      <c r="A1364" s="3">
        <v>14</v>
      </c>
      <c r="B1364" s="3">
        <v>4</v>
      </c>
      <c r="C1364" s="3">
        <v>1</v>
      </c>
      <c r="D1364" s="3">
        <v>34</v>
      </c>
      <c r="E1364" s="3">
        <v>1</v>
      </c>
      <c r="F1364" s="4" t="str">
        <f>HYPERLINK("http://141.218.60.56/~jnz1568/getInfo.php?workbook=14_04.xlsx&amp;sheet=U0&amp;row=1364&amp;col=6&amp;number=3&amp;sourceID=14","3")</f>
        <v>3</v>
      </c>
      <c r="G1364" s="4" t="str">
        <f>HYPERLINK("http://141.218.60.56/~jnz1568/getInfo.php?workbook=14_04.xlsx&amp;sheet=U0&amp;row=1364&amp;col=7&amp;number=0.000382&amp;sourceID=14","0.000382")</f>
        <v>0.000382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HYPERLINK("http://141.218.60.56/~jnz1568/getInfo.php?workbook=14_04.xlsx&amp;sheet=U0&amp;row=1365&amp;col=6&amp;number=3.1&amp;sourceID=14","3.1")</f>
        <v>3.1</v>
      </c>
      <c r="G1365" s="4" t="str">
        <f>HYPERLINK("http://141.218.60.56/~jnz1568/getInfo.php?workbook=14_04.xlsx&amp;sheet=U0&amp;row=1365&amp;col=7&amp;number=0.000382&amp;sourceID=14","0.000382")</f>
        <v>0.000382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HYPERLINK("http://141.218.60.56/~jnz1568/getInfo.php?workbook=14_04.xlsx&amp;sheet=U0&amp;row=1366&amp;col=6&amp;number=3.2&amp;sourceID=14","3.2")</f>
        <v>3.2</v>
      </c>
      <c r="G1366" s="4" t="str">
        <f>HYPERLINK("http://141.218.60.56/~jnz1568/getInfo.php?workbook=14_04.xlsx&amp;sheet=U0&amp;row=1366&amp;col=7&amp;number=0.000382&amp;sourceID=14","0.000382")</f>
        <v>0.000382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HYPERLINK("http://141.218.60.56/~jnz1568/getInfo.php?workbook=14_04.xlsx&amp;sheet=U0&amp;row=1367&amp;col=6&amp;number=3.3&amp;sourceID=14","3.3")</f>
        <v>3.3</v>
      </c>
      <c r="G1367" s="4" t="str">
        <f>HYPERLINK("http://141.218.60.56/~jnz1568/getInfo.php?workbook=14_04.xlsx&amp;sheet=U0&amp;row=1367&amp;col=7&amp;number=0.000382&amp;sourceID=14","0.000382")</f>
        <v>0.000382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HYPERLINK("http://141.218.60.56/~jnz1568/getInfo.php?workbook=14_04.xlsx&amp;sheet=U0&amp;row=1368&amp;col=6&amp;number=3.4&amp;sourceID=14","3.4")</f>
        <v>3.4</v>
      </c>
      <c r="G1368" s="4" t="str">
        <f>HYPERLINK("http://141.218.60.56/~jnz1568/getInfo.php?workbook=14_04.xlsx&amp;sheet=U0&amp;row=1368&amp;col=7&amp;number=0.000382&amp;sourceID=14","0.000382")</f>
        <v>0.000382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HYPERLINK("http://141.218.60.56/~jnz1568/getInfo.php?workbook=14_04.xlsx&amp;sheet=U0&amp;row=1369&amp;col=6&amp;number=3.5&amp;sourceID=14","3.5")</f>
        <v>3.5</v>
      </c>
      <c r="G1369" s="4" t="str">
        <f>HYPERLINK("http://141.218.60.56/~jnz1568/getInfo.php?workbook=14_04.xlsx&amp;sheet=U0&amp;row=1369&amp;col=7&amp;number=0.000381&amp;sourceID=14","0.000381")</f>
        <v>0.000381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HYPERLINK("http://141.218.60.56/~jnz1568/getInfo.php?workbook=14_04.xlsx&amp;sheet=U0&amp;row=1370&amp;col=6&amp;number=3.6&amp;sourceID=14","3.6")</f>
        <v>3.6</v>
      </c>
      <c r="G1370" s="4" t="str">
        <f>HYPERLINK("http://141.218.60.56/~jnz1568/getInfo.php?workbook=14_04.xlsx&amp;sheet=U0&amp;row=1370&amp;col=7&amp;number=0.000381&amp;sourceID=14","0.000381")</f>
        <v>0.000381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HYPERLINK("http://141.218.60.56/~jnz1568/getInfo.php?workbook=14_04.xlsx&amp;sheet=U0&amp;row=1371&amp;col=6&amp;number=3.7&amp;sourceID=14","3.7")</f>
        <v>3.7</v>
      </c>
      <c r="G1371" s="4" t="str">
        <f>HYPERLINK("http://141.218.60.56/~jnz1568/getInfo.php?workbook=14_04.xlsx&amp;sheet=U0&amp;row=1371&amp;col=7&amp;number=0.000381&amp;sourceID=14","0.000381")</f>
        <v>0.000381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HYPERLINK("http://141.218.60.56/~jnz1568/getInfo.php?workbook=14_04.xlsx&amp;sheet=U0&amp;row=1372&amp;col=6&amp;number=3.8&amp;sourceID=14","3.8")</f>
        <v>3.8</v>
      </c>
      <c r="G1372" s="4" t="str">
        <f>HYPERLINK("http://141.218.60.56/~jnz1568/getInfo.php?workbook=14_04.xlsx&amp;sheet=U0&amp;row=1372&amp;col=7&amp;number=0.000381&amp;sourceID=14","0.000381")</f>
        <v>0.000381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HYPERLINK("http://141.218.60.56/~jnz1568/getInfo.php?workbook=14_04.xlsx&amp;sheet=U0&amp;row=1373&amp;col=6&amp;number=3.9&amp;sourceID=14","3.9")</f>
        <v>3.9</v>
      </c>
      <c r="G1373" s="4" t="str">
        <f>HYPERLINK("http://141.218.60.56/~jnz1568/getInfo.php?workbook=14_04.xlsx&amp;sheet=U0&amp;row=1373&amp;col=7&amp;number=0.000381&amp;sourceID=14","0.000381")</f>
        <v>0.000381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HYPERLINK("http://141.218.60.56/~jnz1568/getInfo.php?workbook=14_04.xlsx&amp;sheet=U0&amp;row=1374&amp;col=6&amp;number=4&amp;sourceID=14","4")</f>
        <v>4</v>
      </c>
      <c r="G1374" s="4" t="str">
        <f>HYPERLINK("http://141.218.60.56/~jnz1568/getInfo.php?workbook=14_04.xlsx&amp;sheet=U0&amp;row=1374&amp;col=7&amp;number=0.00038&amp;sourceID=14","0.00038")</f>
        <v>0.00038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HYPERLINK("http://141.218.60.56/~jnz1568/getInfo.php?workbook=14_04.xlsx&amp;sheet=U0&amp;row=1375&amp;col=6&amp;number=4.1&amp;sourceID=14","4.1")</f>
        <v>4.1</v>
      </c>
      <c r="G1375" s="4" t="str">
        <f>HYPERLINK("http://141.218.60.56/~jnz1568/getInfo.php?workbook=14_04.xlsx&amp;sheet=U0&amp;row=1375&amp;col=7&amp;number=0.00038&amp;sourceID=14","0.00038")</f>
        <v>0.00038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HYPERLINK("http://141.218.60.56/~jnz1568/getInfo.php?workbook=14_04.xlsx&amp;sheet=U0&amp;row=1376&amp;col=6&amp;number=4.2&amp;sourceID=14","4.2")</f>
        <v>4.2</v>
      </c>
      <c r="G1376" s="4" t="str">
        <f>HYPERLINK("http://141.218.60.56/~jnz1568/getInfo.php?workbook=14_04.xlsx&amp;sheet=U0&amp;row=1376&amp;col=7&amp;number=0.00038&amp;sourceID=14","0.00038")</f>
        <v>0.00038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HYPERLINK("http://141.218.60.56/~jnz1568/getInfo.php?workbook=14_04.xlsx&amp;sheet=U0&amp;row=1377&amp;col=6&amp;number=4.3&amp;sourceID=14","4.3")</f>
        <v>4.3</v>
      </c>
      <c r="G1377" s="4" t="str">
        <f>HYPERLINK("http://141.218.60.56/~jnz1568/getInfo.php?workbook=14_04.xlsx&amp;sheet=U0&amp;row=1377&amp;col=7&amp;number=0.000379&amp;sourceID=14","0.000379")</f>
        <v>0.000379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HYPERLINK("http://141.218.60.56/~jnz1568/getInfo.php?workbook=14_04.xlsx&amp;sheet=U0&amp;row=1378&amp;col=6&amp;number=4.4&amp;sourceID=14","4.4")</f>
        <v>4.4</v>
      </c>
      <c r="G1378" s="4" t="str">
        <f>HYPERLINK("http://141.218.60.56/~jnz1568/getInfo.php?workbook=14_04.xlsx&amp;sheet=U0&amp;row=1378&amp;col=7&amp;number=0.000378&amp;sourceID=14","0.000378")</f>
        <v>0.000378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HYPERLINK("http://141.218.60.56/~jnz1568/getInfo.php?workbook=14_04.xlsx&amp;sheet=U0&amp;row=1379&amp;col=6&amp;number=4.5&amp;sourceID=14","4.5")</f>
        <v>4.5</v>
      </c>
      <c r="G1379" s="4" t="str">
        <f>HYPERLINK("http://141.218.60.56/~jnz1568/getInfo.php?workbook=14_04.xlsx&amp;sheet=U0&amp;row=1379&amp;col=7&amp;number=0.000377&amp;sourceID=14","0.000377")</f>
        <v>0.000377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HYPERLINK("http://141.218.60.56/~jnz1568/getInfo.php?workbook=14_04.xlsx&amp;sheet=U0&amp;row=1380&amp;col=6&amp;number=4.6&amp;sourceID=14","4.6")</f>
        <v>4.6</v>
      </c>
      <c r="G1380" s="4" t="str">
        <f>HYPERLINK("http://141.218.60.56/~jnz1568/getInfo.php?workbook=14_04.xlsx&amp;sheet=U0&amp;row=1380&amp;col=7&amp;number=0.000376&amp;sourceID=14","0.000376")</f>
        <v>0.000376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HYPERLINK("http://141.218.60.56/~jnz1568/getInfo.php?workbook=14_04.xlsx&amp;sheet=U0&amp;row=1381&amp;col=6&amp;number=4.7&amp;sourceID=14","4.7")</f>
        <v>4.7</v>
      </c>
      <c r="G1381" s="4" t="str">
        <f>HYPERLINK("http://141.218.60.56/~jnz1568/getInfo.php?workbook=14_04.xlsx&amp;sheet=U0&amp;row=1381&amp;col=7&amp;number=0.000375&amp;sourceID=14","0.000375")</f>
        <v>0.000375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HYPERLINK("http://141.218.60.56/~jnz1568/getInfo.php?workbook=14_04.xlsx&amp;sheet=U0&amp;row=1382&amp;col=6&amp;number=4.8&amp;sourceID=14","4.8")</f>
        <v>4.8</v>
      </c>
      <c r="G1382" s="4" t="str">
        <f>HYPERLINK("http://141.218.60.56/~jnz1568/getInfo.php?workbook=14_04.xlsx&amp;sheet=U0&amp;row=1382&amp;col=7&amp;number=0.000373&amp;sourceID=14","0.000373")</f>
        <v>0.000373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HYPERLINK("http://141.218.60.56/~jnz1568/getInfo.php?workbook=14_04.xlsx&amp;sheet=U0&amp;row=1383&amp;col=6&amp;number=4.9&amp;sourceID=14","4.9")</f>
        <v>4.9</v>
      </c>
      <c r="G1383" s="4" t="str">
        <f>HYPERLINK("http://141.218.60.56/~jnz1568/getInfo.php?workbook=14_04.xlsx&amp;sheet=U0&amp;row=1383&amp;col=7&amp;number=0.000371&amp;sourceID=14","0.000371")</f>
        <v>0.000371</v>
      </c>
    </row>
    <row r="1384" spans="1:7">
      <c r="A1384" s="3">
        <v>14</v>
      </c>
      <c r="B1384" s="3">
        <v>4</v>
      </c>
      <c r="C1384" s="3">
        <v>1</v>
      </c>
      <c r="D1384" s="3">
        <v>35</v>
      </c>
      <c r="E1384" s="3">
        <v>1</v>
      </c>
      <c r="F1384" s="4" t="str">
        <f>HYPERLINK("http://141.218.60.56/~jnz1568/getInfo.php?workbook=14_04.xlsx&amp;sheet=U0&amp;row=1384&amp;col=6&amp;number=3&amp;sourceID=14","3")</f>
        <v>3</v>
      </c>
      <c r="G1384" s="4" t="str">
        <f>HYPERLINK("http://141.218.60.56/~jnz1568/getInfo.php?workbook=14_04.xlsx&amp;sheet=U0&amp;row=1384&amp;col=7&amp;number=0.000139&amp;sourceID=14","0.000139")</f>
        <v>0.000139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HYPERLINK("http://141.218.60.56/~jnz1568/getInfo.php?workbook=14_04.xlsx&amp;sheet=U0&amp;row=1385&amp;col=6&amp;number=3.1&amp;sourceID=14","3.1")</f>
        <v>3.1</v>
      </c>
      <c r="G1385" s="4" t="str">
        <f>HYPERLINK("http://141.218.60.56/~jnz1568/getInfo.php?workbook=14_04.xlsx&amp;sheet=U0&amp;row=1385&amp;col=7&amp;number=0.000139&amp;sourceID=14","0.000139")</f>
        <v>0.000139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HYPERLINK("http://141.218.60.56/~jnz1568/getInfo.php?workbook=14_04.xlsx&amp;sheet=U0&amp;row=1386&amp;col=6&amp;number=3.2&amp;sourceID=14","3.2")</f>
        <v>3.2</v>
      </c>
      <c r="G1386" s="4" t="str">
        <f>HYPERLINK("http://141.218.60.56/~jnz1568/getInfo.php?workbook=14_04.xlsx&amp;sheet=U0&amp;row=1386&amp;col=7&amp;number=0.000139&amp;sourceID=14","0.000139")</f>
        <v>0.000139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HYPERLINK("http://141.218.60.56/~jnz1568/getInfo.php?workbook=14_04.xlsx&amp;sheet=U0&amp;row=1387&amp;col=6&amp;number=3.3&amp;sourceID=14","3.3")</f>
        <v>3.3</v>
      </c>
      <c r="G1387" s="4" t="str">
        <f>HYPERLINK("http://141.218.60.56/~jnz1568/getInfo.php?workbook=14_04.xlsx&amp;sheet=U0&amp;row=1387&amp;col=7&amp;number=0.000139&amp;sourceID=14","0.000139")</f>
        <v>0.000139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HYPERLINK("http://141.218.60.56/~jnz1568/getInfo.php?workbook=14_04.xlsx&amp;sheet=U0&amp;row=1388&amp;col=6&amp;number=3.4&amp;sourceID=14","3.4")</f>
        <v>3.4</v>
      </c>
      <c r="G1388" s="4" t="str">
        <f>HYPERLINK("http://141.218.60.56/~jnz1568/getInfo.php?workbook=14_04.xlsx&amp;sheet=U0&amp;row=1388&amp;col=7&amp;number=0.000139&amp;sourceID=14","0.000139")</f>
        <v>0.000139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HYPERLINK("http://141.218.60.56/~jnz1568/getInfo.php?workbook=14_04.xlsx&amp;sheet=U0&amp;row=1389&amp;col=6&amp;number=3.5&amp;sourceID=14","3.5")</f>
        <v>3.5</v>
      </c>
      <c r="G1389" s="4" t="str">
        <f>HYPERLINK("http://141.218.60.56/~jnz1568/getInfo.php?workbook=14_04.xlsx&amp;sheet=U0&amp;row=1389&amp;col=7&amp;number=0.000139&amp;sourceID=14","0.000139")</f>
        <v>0.000139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HYPERLINK("http://141.218.60.56/~jnz1568/getInfo.php?workbook=14_04.xlsx&amp;sheet=U0&amp;row=1390&amp;col=6&amp;number=3.6&amp;sourceID=14","3.6")</f>
        <v>3.6</v>
      </c>
      <c r="G1390" s="4" t="str">
        <f>HYPERLINK("http://141.218.60.56/~jnz1568/getInfo.php?workbook=14_04.xlsx&amp;sheet=U0&amp;row=1390&amp;col=7&amp;number=0.000139&amp;sourceID=14","0.000139")</f>
        <v>0.000139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HYPERLINK("http://141.218.60.56/~jnz1568/getInfo.php?workbook=14_04.xlsx&amp;sheet=U0&amp;row=1391&amp;col=6&amp;number=3.7&amp;sourceID=14","3.7")</f>
        <v>3.7</v>
      </c>
      <c r="G1391" s="4" t="str">
        <f>HYPERLINK("http://141.218.60.56/~jnz1568/getInfo.php?workbook=14_04.xlsx&amp;sheet=U0&amp;row=1391&amp;col=7&amp;number=0.000139&amp;sourceID=14","0.000139")</f>
        <v>0.000139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HYPERLINK("http://141.218.60.56/~jnz1568/getInfo.php?workbook=14_04.xlsx&amp;sheet=U0&amp;row=1392&amp;col=6&amp;number=3.8&amp;sourceID=14","3.8")</f>
        <v>3.8</v>
      </c>
      <c r="G1392" s="4" t="str">
        <f>HYPERLINK("http://141.218.60.56/~jnz1568/getInfo.php?workbook=14_04.xlsx&amp;sheet=U0&amp;row=1392&amp;col=7&amp;number=0.000139&amp;sourceID=14","0.000139")</f>
        <v>0.000139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HYPERLINK("http://141.218.60.56/~jnz1568/getInfo.php?workbook=14_04.xlsx&amp;sheet=U0&amp;row=1393&amp;col=6&amp;number=3.9&amp;sourceID=14","3.9")</f>
        <v>3.9</v>
      </c>
      <c r="G1393" s="4" t="str">
        <f>HYPERLINK("http://141.218.60.56/~jnz1568/getInfo.php?workbook=14_04.xlsx&amp;sheet=U0&amp;row=1393&amp;col=7&amp;number=0.000139&amp;sourceID=14","0.000139")</f>
        <v>0.000139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HYPERLINK("http://141.218.60.56/~jnz1568/getInfo.php?workbook=14_04.xlsx&amp;sheet=U0&amp;row=1394&amp;col=6&amp;number=4&amp;sourceID=14","4")</f>
        <v>4</v>
      </c>
      <c r="G1394" s="4" t="str">
        <f>HYPERLINK("http://141.218.60.56/~jnz1568/getInfo.php?workbook=14_04.xlsx&amp;sheet=U0&amp;row=1394&amp;col=7&amp;number=0.000139&amp;sourceID=14","0.000139")</f>
        <v>0.000139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HYPERLINK("http://141.218.60.56/~jnz1568/getInfo.php?workbook=14_04.xlsx&amp;sheet=U0&amp;row=1395&amp;col=6&amp;number=4.1&amp;sourceID=14","4.1")</f>
        <v>4.1</v>
      </c>
      <c r="G1395" s="4" t="str">
        <f>HYPERLINK("http://141.218.60.56/~jnz1568/getInfo.php?workbook=14_04.xlsx&amp;sheet=U0&amp;row=1395&amp;col=7&amp;number=0.000139&amp;sourceID=14","0.000139")</f>
        <v>0.000139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HYPERLINK("http://141.218.60.56/~jnz1568/getInfo.php?workbook=14_04.xlsx&amp;sheet=U0&amp;row=1396&amp;col=6&amp;number=4.2&amp;sourceID=14","4.2")</f>
        <v>4.2</v>
      </c>
      <c r="G1396" s="4" t="str">
        <f>HYPERLINK("http://141.218.60.56/~jnz1568/getInfo.php?workbook=14_04.xlsx&amp;sheet=U0&amp;row=1396&amp;col=7&amp;number=0.000139&amp;sourceID=14","0.000139")</f>
        <v>0.000139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HYPERLINK("http://141.218.60.56/~jnz1568/getInfo.php?workbook=14_04.xlsx&amp;sheet=U0&amp;row=1397&amp;col=6&amp;number=4.3&amp;sourceID=14","4.3")</f>
        <v>4.3</v>
      </c>
      <c r="G1397" s="4" t="str">
        <f>HYPERLINK("http://141.218.60.56/~jnz1568/getInfo.php?workbook=14_04.xlsx&amp;sheet=U0&amp;row=1397&amp;col=7&amp;number=0.000139&amp;sourceID=14","0.000139")</f>
        <v>0.000139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HYPERLINK("http://141.218.60.56/~jnz1568/getInfo.php?workbook=14_04.xlsx&amp;sheet=U0&amp;row=1398&amp;col=6&amp;number=4.4&amp;sourceID=14","4.4")</f>
        <v>4.4</v>
      </c>
      <c r="G1398" s="4" t="str">
        <f>HYPERLINK("http://141.218.60.56/~jnz1568/getInfo.php?workbook=14_04.xlsx&amp;sheet=U0&amp;row=1398&amp;col=7&amp;number=0.000139&amp;sourceID=14","0.000139")</f>
        <v>0.000139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HYPERLINK("http://141.218.60.56/~jnz1568/getInfo.php?workbook=14_04.xlsx&amp;sheet=U0&amp;row=1399&amp;col=6&amp;number=4.5&amp;sourceID=14","4.5")</f>
        <v>4.5</v>
      </c>
      <c r="G1399" s="4" t="str">
        <f>HYPERLINK("http://141.218.60.56/~jnz1568/getInfo.php?workbook=14_04.xlsx&amp;sheet=U0&amp;row=1399&amp;col=7&amp;number=0.000139&amp;sourceID=14","0.000139")</f>
        <v>0.000139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HYPERLINK("http://141.218.60.56/~jnz1568/getInfo.php?workbook=14_04.xlsx&amp;sheet=U0&amp;row=1400&amp;col=6&amp;number=4.6&amp;sourceID=14","4.6")</f>
        <v>4.6</v>
      </c>
      <c r="G1400" s="4" t="str">
        <f>HYPERLINK("http://141.218.60.56/~jnz1568/getInfo.php?workbook=14_04.xlsx&amp;sheet=U0&amp;row=1400&amp;col=7&amp;number=0.000138&amp;sourceID=14","0.000138")</f>
        <v>0.000138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HYPERLINK("http://141.218.60.56/~jnz1568/getInfo.php?workbook=14_04.xlsx&amp;sheet=U0&amp;row=1401&amp;col=6&amp;number=4.7&amp;sourceID=14","4.7")</f>
        <v>4.7</v>
      </c>
      <c r="G1401" s="4" t="str">
        <f>HYPERLINK("http://141.218.60.56/~jnz1568/getInfo.php?workbook=14_04.xlsx&amp;sheet=U0&amp;row=1401&amp;col=7&amp;number=0.000138&amp;sourceID=14","0.000138")</f>
        <v>0.000138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HYPERLINK("http://141.218.60.56/~jnz1568/getInfo.php?workbook=14_04.xlsx&amp;sheet=U0&amp;row=1402&amp;col=6&amp;number=4.8&amp;sourceID=14","4.8")</f>
        <v>4.8</v>
      </c>
      <c r="G1402" s="4" t="str">
        <f>HYPERLINK("http://141.218.60.56/~jnz1568/getInfo.php?workbook=14_04.xlsx&amp;sheet=U0&amp;row=1402&amp;col=7&amp;number=0.000138&amp;sourceID=14","0.000138")</f>
        <v>0.000138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HYPERLINK("http://141.218.60.56/~jnz1568/getInfo.php?workbook=14_04.xlsx&amp;sheet=U0&amp;row=1403&amp;col=6&amp;number=4.9&amp;sourceID=14","4.9")</f>
        <v>4.9</v>
      </c>
      <c r="G1403" s="4" t="str">
        <f>HYPERLINK("http://141.218.60.56/~jnz1568/getInfo.php?workbook=14_04.xlsx&amp;sheet=U0&amp;row=1403&amp;col=7&amp;number=0.000138&amp;sourceID=14","0.000138")</f>
        <v>0.000138</v>
      </c>
    </row>
    <row r="1404" spans="1:7">
      <c r="A1404" s="3">
        <v>14</v>
      </c>
      <c r="B1404" s="3">
        <v>4</v>
      </c>
      <c r="C1404" s="3">
        <v>1</v>
      </c>
      <c r="D1404" s="3">
        <v>36</v>
      </c>
      <c r="E1404" s="3">
        <v>1</v>
      </c>
      <c r="F1404" s="4" t="str">
        <f>HYPERLINK("http://141.218.60.56/~jnz1568/getInfo.php?workbook=14_04.xlsx&amp;sheet=U0&amp;row=1404&amp;col=6&amp;number=3&amp;sourceID=14","3")</f>
        <v>3</v>
      </c>
      <c r="G1404" s="4" t="str">
        <f>HYPERLINK("http://141.218.60.56/~jnz1568/getInfo.php?workbook=14_04.xlsx&amp;sheet=U0&amp;row=1404&amp;col=7&amp;number=0.000326&amp;sourceID=14","0.000326")</f>
        <v>0.000326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HYPERLINK("http://141.218.60.56/~jnz1568/getInfo.php?workbook=14_04.xlsx&amp;sheet=U0&amp;row=1405&amp;col=6&amp;number=3.1&amp;sourceID=14","3.1")</f>
        <v>3.1</v>
      </c>
      <c r="G1405" s="4" t="str">
        <f>HYPERLINK("http://141.218.60.56/~jnz1568/getInfo.php?workbook=14_04.xlsx&amp;sheet=U0&amp;row=1405&amp;col=7&amp;number=0.000326&amp;sourceID=14","0.000326")</f>
        <v>0.000326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HYPERLINK("http://141.218.60.56/~jnz1568/getInfo.php?workbook=14_04.xlsx&amp;sheet=U0&amp;row=1406&amp;col=6&amp;number=3.2&amp;sourceID=14","3.2")</f>
        <v>3.2</v>
      </c>
      <c r="G1406" s="4" t="str">
        <f>HYPERLINK("http://141.218.60.56/~jnz1568/getInfo.php?workbook=14_04.xlsx&amp;sheet=U0&amp;row=1406&amp;col=7&amp;number=0.000326&amp;sourceID=14","0.000326")</f>
        <v>0.000326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HYPERLINK("http://141.218.60.56/~jnz1568/getInfo.php?workbook=14_04.xlsx&amp;sheet=U0&amp;row=1407&amp;col=6&amp;number=3.3&amp;sourceID=14","3.3")</f>
        <v>3.3</v>
      </c>
      <c r="G1407" s="4" t="str">
        <f>HYPERLINK("http://141.218.60.56/~jnz1568/getInfo.php?workbook=14_04.xlsx&amp;sheet=U0&amp;row=1407&amp;col=7&amp;number=0.000326&amp;sourceID=14","0.000326")</f>
        <v>0.000326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HYPERLINK("http://141.218.60.56/~jnz1568/getInfo.php?workbook=14_04.xlsx&amp;sheet=U0&amp;row=1408&amp;col=6&amp;number=3.4&amp;sourceID=14","3.4")</f>
        <v>3.4</v>
      </c>
      <c r="G1408" s="4" t="str">
        <f>HYPERLINK("http://141.218.60.56/~jnz1568/getInfo.php?workbook=14_04.xlsx&amp;sheet=U0&amp;row=1408&amp;col=7&amp;number=0.000326&amp;sourceID=14","0.000326")</f>
        <v>0.000326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HYPERLINK("http://141.218.60.56/~jnz1568/getInfo.php?workbook=14_04.xlsx&amp;sheet=U0&amp;row=1409&amp;col=6&amp;number=3.5&amp;sourceID=14","3.5")</f>
        <v>3.5</v>
      </c>
      <c r="G1409" s="4" t="str">
        <f>HYPERLINK("http://141.218.60.56/~jnz1568/getInfo.php?workbook=14_04.xlsx&amp;sheet=U0&amp;row=1409&amp;col=7&amp;number=0.000326&amp;sourceID=14","0.000326")</f>
        <v>0.000326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HYPERLINK("http://141.218.60.56/~jnz1568/getInfo.php?workbook=14_04.xlsx&amp;sheet=U0&amp;row=1410&amp;col=6&amp;number=3.6&amp;sourceID=14","3.6")</f>
        <v>3.6</v>
      </c>
      <c r="G1410" s="4" t="str">
        <f>HYPERLINK("http://141.218.60.56/~jnz1568/getInfo.php?workbook=14_04.xlsx&amp;sheet=U0&amp;row=1410&amp;col=7&amp;number=0.000325&amp;sourceID=14","0.000325")</f>
        <v>0.000325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HYPERLINK("http://141.218.60.56/~jnz1568/getInfo.php?workbook=14_04.xlsx&amp;sheet=U0&amp;row=1411&amp;col=6&amp;number=3.7&amp;sourceID=14","3.7")</f>
        <v>3.7</v>
      </c>
      <c r="G1411" s="4" t="str">
        <f>HYPERLINK("http://141.218.60.56/~jnz1568/getInfo.php?workbook=14_04.xlsx&amp;sheet=U0&amp;row=1411&amp;col=7&amp;number=0.000325&amp;sourceID=14","0.000325")</f>
        <v>0.000325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HYPERLINK("http://141.218.60.56/~jnz1568/getInfo.php?workbook=14_04.xlsx&amp;sheet=U0&amp;row=1412&amp;col=6&amp;number=3.8&amp;sourceID=14","3.8")</f>
        <v>3.8</v>
      </c>
      <c r="G1412" s="4" t="str">
        <f>HYPERLINK("http://141.218.60.56/~jnz1568/getInfo.php?workbook=14_04.xlsx&amp;sheet=U0&amp;row=1412&amp;col=7&amp;number=0.000325&amp;sourceID=14","0.000325")</f>
        <v>0.000325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HYPERLINK("http://141.218.60.56/~jnz1568/getInfo.php?workbook=14_04.xlsx&amp;sheet=U0&amp;row=1413&amp;col=6&amp;number=3.9&amp;sourceID=14","3.9")</f>
        <v>3.9</v>
      </c>
      <c r="G1413" s="4" t="str">
        <f>HYPERLINK("http://141.218.60.56/~jnz1568/getInfo.php?workbook=14_04.xlsx&amp;sheet=U0&amp;row=1413&amp;col=7&amp;number=0.000325&amp;sourceID=14","0.000325")</f>
        <v>0.000325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HYPERLINK("http://141.218.60.56/~jnz1568/getInfo.php?workbook=14_04.xlsx&amp;sheet=U0&amp;row=1414&amp;col=6&amp;number=4&amp;sourceID=14","4")</f>
        <v>4</v>
      </c>
      <c r="G1414" s="4" t="str">
        <f>HYPERLINK("http://141.218.60.56/~jnz1568/getInfo.php?workbook=14_04.xlsx&amp;sheet=U0&amp;row=1414&amp;col=7&amp;number=0.000325&amp;sourceID=14","0.000325")</f>
        <v>0.000325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HYPERLINK("http://141.218.60.56/~jnz1568/getInfo.php?workbook=14_04.xlsx&amp;sheet=U0&amp;row=1415&amp;col=6&amp;number=4.1&amp;sourceID=14","4.1")</f>
        <v>4.1</v>
      </c>
      <c r="G1415" s="4" t="str">
        <f>HYPERLINK("http://141.218.60.56/~jnz1568/getInfo.php?workbook=14_04.xlsx&amp;sheet=U0&amp;row=1415&amp;col=7&amp;number=0.000325&amp;sourceID=14","0.000325")</f>
        <v>0.000325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HYPERLINK("http://141.218.60.56/~jnz1568/getInfo.php?workbook=14_04.xlsx&amp;sheet=U0&amp;row=1416&amp;col=6&amp;number=4.2&amp;sourceID=14","4.2")</f>
        <v>4.2</v>
      </c>
      <c r="G1416" s="4" t="str">
        <f>HYPERLINK("http://141.218.60.56/~jnz1568/getInfo.php?workbook=14_04.xlsx&amp;sheet=U0&amp;row=1416&amp;col=7&amp;number=0.000325&amp;sourceID=14","0.000325")</f>
        <v>0.000325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HYPERLINK("http://141.218.60.56/~jnz1568/getInfo.php?workbook=14_04.xlsx&amp;sheet=U0&amp;row=1417&amp;col=6&amp;number=4.3&amp;sourceID=14","4.3")</f>
        <v>4.3</v>
      </c>
      <c r="G1417" s="4" t="str">
        <f>HYPERLINK("http://141.218.60.56/~jnz1568/getInfo.php?workbook=14_04.xlsx&amp;sheet=U0&amp;row=1417&amp;col=7&amp;number=0.000325&amp;sourceID=14","0.000325")</f>
        <v>0.000325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HYPERLINK("http://141.218.60.56/~jnz1568/getInfo.php?workbook=14_04.xlsx&amp;sheet=U0&amp;row=1418&amp;col=6&amp;number=4.4&amp;sourceID=14","4.4")</f>
        <v>4.4</v>
      </c>
      <c r="G1418" s="4" t="str">
        <f>HYPERLINK("http://141.218.60.56/~jnz1568/getInfo.php?workbook=14_04.xlsx&amp;sheet=U0&amp;row=1418&amp;col=7&amp;number=0.000324&amp;sourceID=14","0.000324")</f>
        <v>0.000324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HYPERLINK("http://141.218.60.56/~jnz1568/getInfo.php?workbook=14_04.xlsx&amp;sheet=U0&amp;row=1419&amp;col=6&amp;number=4.5&amp;sourceID=14","4.5")</f>
        <v>4.5</v>
      </c>
      <c r="G1419" s="4" t="str">
        <f>HYPERLINK("http://141.218.60.56/~jnz1568/getInfo.php?workbook=14_04.xlsx&amp;sheet=U0&amp;row=1419&amp;col=7&amp;number=0.000324&amp;sourceID=14","0.000324")</f>
        <v>0.000324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HYPERLINK("http://141.218.60.56/~jnz1568/getInfo.php?workbook=14_04.xlsx&amp;sheet=U0&amp;row=1420&amp;col=6&amp;number=4.6&amp;sourceID=14","4.6")</f>
        <v>4.6</v>
      </c>
      <c r="G1420" s="4" t="str">
        <f>HYPERLINK("http://141.218.60.56/~jnz1568/getInfo.php?workbook=14_04.xlsx&amp;sheet=U0&amp;row=1420&amp;col=7&amp;number=0.000323&amp;sourceID=14","0.000323")</f>
        <v>0.000323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HYPERLINK("http://141.218.60.56/~jnz1568/getInfo.php?workbook=14_04.xlsx&amp;sheet=U0&amp;row=1421&amp;col=6&amp;number=4.7&amp;sourceID=14","4.7")</f>
        <v>4.7</v>
      </c>
      <c r="G1421" s="4" t="str">
        <f>HYPERLINK("http://141.218.60.56/~jnz1568/getInfo.php?workbook=14_04.xlsx&amp;sheet=U0&amp;row=1421&amp;col=7&amp;number=0.000323&amp;sourceID=14","0.000323")</f>
        <v>0.000323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HYPERLINK("http://141.218.60.56/~jnz1568/getInfo.php?workbook=14_04.xlsx&amp;sheet=U0&amp;row=1422&amp;col=6&amp;number=4.8&amp;sourceID=14","4.8")</f>
        <v>4.8</v>
      </c>
      <c r="G1422" s="4" t="str">
        <f>HYPERLINK("http://141.218.60.56/~jnz1568/getInfo.php?workbook=14_04.xlsx&amp;sheet=U0&amp;row=1422&amp;col=7&amp;number=0.000322&amp;sourceID=14","0.000322")</f>
        <v>0.000322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HYPERLINK("http://141.218.60.56/~jnz1568/getInfo.php?workbook=14_04.xlsx&amp;sheet=U0&amp;row=1423&amp;col=6&amp;number=4.9&amp;sourceID=14","4.9")</f>
        <v>4.9</v>
      </c>
      <c r="G1423" s="4" t="str">
        <f>HYPERLINK("http://141.218.60.56/~jnz1568/getInfo.php?workbook=14_04.xlsx&amp;sheet=U0&amp;row=1423&amp;col=7&amp;number=0.000321&amp;sourceID=14","0.000321")</f>
        <v>0.000321</v>
      </c>
    </row>
    <row r="1424" spans="1:7">
      <c r="A1424" s="3">
        <v>14</v>
      </c>
      <c r="B1424" s="3">
        <v>4</v>
      </c>
      <c r="C1424" s="3">
        <v>1</v>
      </c>
      <c r="D1424" s="3">
        <v>37</v>
      </c>
      <c r="E1424" s="3">
        <v>1</v>
      </c>
      <c r="F1424" s="4" t="str">
        <f>HYPERLINK("http://141.218.60.56/~jnz1568/getInfo.php?workbook=14_04.xlsx&amp;sheet=U0&amp;row=1424&amp;col=6&amp;number=3&amp;sourceID=14","3")</f>
        <v>3</v>
      </c>
      <c r="G1424" s="4" t="str">
        <f>HYPERLINK("http://141.218.60.56/~jnz1568/getInfo.php?workbook=14_04.xlsx&amp;sheet=U0&amp;row=1424&amp;col=7&amp;number=0.000625&amp;sourceID=14","0.000625")</f>
        <v>0.000625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HYPERLINK("http://141.218.60.56/~jnz1568/getInfo.php?workbook=14_04.xlsx&amp;sheet=U0&amp;row=1425&amp;col=6&amp;number=3.1&amp;sourceID=14","3.1")</f>
        <v>3.1</v>
      </c>
      <c r="G1425" s="4" t="str">
        <f>HYPERLINK("http://141.218.60.56/~jnz1568/getInfo.php?workbook=14_04.xlsx&amp;sheet=U0&amp;row=1425&amp;col=7&amp;number=0.000625&amp;sourceID=14","0.000625")</f>
        <v>0.000625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HYPERLINK("http://141.218.60.56/~jnz1568/getInfo.php?workbook=14_04.xlsx&amp;sheet=U0&amp;row=1426&amp;col=6&amp;number=3.2&amp;sourceID=14","3.2")</f>
        <v>3.2</v>
      </c>
      <c r="G1426" s="4" t="str">
        <f>HYPERLINK("http://141.218.60.56/~jnz1568/getInfo.php?workbook=14_04.xlsx&amp;sheet=U0&amp;row=1426&amp;col=7&amp;number=0.000625&amp;sourceID=14","0.000625")</f>
        <v>0.000625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HYPERLINK("http://141.218.60.56/~jnz1568/getInfo.php?workbook=14_04.xlsx&amp;sheet=U0&amp;row=1427&amp;col=6&amp;number=3.3&amp;sourceID=14","3.3")</f>
        <v>3.3</v>
      </c>
      <c r="G1427" s="4" t="str">
        <f>HYPERLINK("http://141.218.60.56/~jnz1568/getInfo.php?workbook=14_04.xlsx&amp;sheet=U0&amp;row=1427&amp;col=7&amp;number=0.000625&amp;sourceID=14","0.000625")</f>
        <v>0.000625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HYPERLINK("http://141.218.60.56/~jnz1568/getInfo.php?workbook=14_04.xlsx&amp;sheet=U0&amp;row=1428&amp;col=6&amp;number=3.4&amp;sourceID=14","3.4")</f>
        <v>3.4</v>
      </c>
      <c r="G1428" s="4" t="str">
        <f>HYPERLINK("http://141.218.60.56/~jnz1568/getInfo.php?workbook=14_04.xlsx&amp;sheet=U0&amp;row=1428&amp;col=7&amp;number=0.000625&amp;sourceID=14","0.000625")</f>
        <v>0.000625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HYPERLINK("http://141.218.60.56/~jnz1568/getInfo.php?workbook=14_04.xlsx&amp;sheet=U0&amp;row=1429&amp;col=6&amp;number=3.5&amp;sourceID=14","3.5")</f>
        <v>3.5</v>
      </c>
      <c r="G1429" s="4" t="str">
        <f>HYPERLINK("http://141.218.60.56/~jnz1568/getInfo.php?workbook=14_04.xlsx&amp;sheet=U0&amp;row=1429&amp;col=7&amp;number=0.000625&amp;sourceID=14","0.000625")</f>
        <v>0.000625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HYPERLINK("http://141.218.60.56/~jnz1568/getInfo.php?workbook=14_04.xlsx&amp;sheet=U0&amp;row=1430&amp;col=6&amp;number=3.6&amp;sourceID=14","3.6")</f>
        <v>3.6</v>
      </c>
      <c r="G1430" s="4" t="str">
        <f>HYPERLINK("http://141.218.60.56/~jnz1568/getInfo.php?workbook=14_04.xlsx&amp;sheet=U0&amp;row=1430&amp;col=7&amp;number=0.000625&amp;sourceID=14","0.000625")</f>
        <v>0.000625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HYPERLINK("http://141.218.60.56/~jnz1568/getInfo.php?workbook=14_04.xlsx&amp;sheet=U0&amp;row=1431&amp;col=6&amp;number=3.7&amp;sourceID=14","3.7")</f>
        <v>3.7</v>
      </c>
      <c r="G1431" s="4" t="str">
        <f>HYPERLINK("http://141.218.60.56/~jnz1568/getInfo.php?workbook=14_04.xlsx&amp;sheet=U0&amp;row=1431&amp;col=7&amp;number=0.000625&amp;sourceID=14","0.000625")</f>
        <v>0.000625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HYPERLINK("http://141.218.60.56/~jnz1568/getInfo.php?workbook=14_04.xlsx&amp;sheet=U0&amp;row=1432&amp;col=6&amp;number=3.8&amp;sourceID=14","3.8")</f>
        <v>3.8</v>
      </c>
      <c r="G1432" s="4" t="str">
        <f>HYPERLINK("http://141.218.60.56/~jnz1568/getInfo.php?workbook=14_04.xlsx&amp;sheet=U0&amp;row=1432&amp;col=7&amp;number=0.000625&amp;sourceID=14","0.000625")</f>
        <v>0.000625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HYPERLINK("http://141.218.60.56/~jnz1568/getInfo.php?workbook=14_04.xlsx&amp;sheet=U0&amp;row=1433&amp;col=6&amp;number=3.9&amp;sourceID=14","3.9")</f>
        <v>3.9</v>
      </c>
      <c r="G1433" s="4" t="str">
        <f>HYPERLINK("http://141.218.60.56/~jnz1568/getInfo.php?workbook=14_04.xlsx&amp;sheet=U0&amp;row=1433&amp;col=7&amp;number=0.000625&amp;sourceID=14","0.000625")</f>
        <v>0.000625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HYPERLINK("http://141.218.60.56/~jnz1568/getInfo.php?workbook=14_04.xlsx&amp;sheet=U0&amp;row=1434&amp;col=6&amp;number=4&amp;sourceID=14","4")</f>
        <v>4</v>
      </c>
      <c r="G1434" s="4" t="str">
        <f>HYPERLINK("http://141.218.60.56/~jnz1568/getInfo.php?workbook=14_04.xlsx&amp;sheet=U0&amp;row=1434&amp;col=7&amp;number=0.000626&amp;sourceID=14","0.000626")</f>
        <v>0.000626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HYPERLINK("http://141.218.60.56/~jnz1568/getInfo.php?workbook=14_04.xlsx&amp;sheet=U0&amp;row=1435&amp;col=6&amp;number=4.1&amp;sourceID=14","4.1")</f>
        <v>4.1</v>
      </c>
      <c r="G1435" s="4" t="str">
        <f>HYPERLINK("http://141.218.60.56/~jnz1568/getInfo.php?workbook=14_04.xlsx&amp;sheet=U0&amp;row=1435&amp;col=7&amp;number=0.000626&amp;sourceID=14","0.000626")</f>
        <v>0.000626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HYPERLINK("http://141.218.60.56/~jnz1568/getInfo.php?workbook=14_04.xlsx&amp;sheet=U0&amp;row=1436&amp;col=6&amp;number=4.2&amp;sourceID=14","4.2")</f>
        <v>4.2</v>
      </c>
      <c r="G1436" s="4" t="str">
        <f>HYPERLINK("http://141.218.60.56/~jnz1568/getInfo.php?workbook=14_04.xlsx&amp;sheet=U0&amp;row=1436&amp;col=7&amp;number=0.000626&amp;sourceID=14","0.000626")</f>
        <v>0.000626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HYPERLINK("http://141.218.60.56/~jnz1568/getInfo.php?workbook=14_04.xlsx&amp;sheet=U0&amp;row=1437&amp;col=6&amp;number=4.3&amp;sourceID=14","4.3")</f>
        <v>4.3</v>
      </c>
      <c r="G1437" s="4" t="str">
        <f>HYPERLINK("http://141.218.60.56/~jnz1568/getInfo.php?workbook=14_04.xlsx&amp;sheet=U0&amp;row=1437&amp;col=7&amp;number=0.000626&amp;sourceID=14","0.000626")</f>
        <v>0.000626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HYPERLINK("http://141.218.60.56/~jnz1568/getInfo.php?workbook=14_04.xlsx&amp;sheet=U0&amp;row=1438&amp;col=6&amp;number=4.4&amp;sourceID=14","4.4")</f>
        <v>4.4</v>
      </c>
      <c r="G1438" s="4" t="str">
        <f>HYPERLINK("http://141.218.60.56/~jnz1568/getInfo.php?workbook=14_04.xlsx&amp;sheet=U0&amp;row=1438&amp;col=7&amp;number=0.000627&amp;sourceID=14","0.000627")</f>
        <v>0.000627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HYPERLINK("http://141.218.60.56/~jnz1568/getInfo.php?workbook=14_04.xlsx&amp;sheet=U0&amp;row=1439&amp;col=6&amp;number=4.5&amp;sourceID=14","4.5")</f>
        <v>4.5</v>
      </c>
      <c r="G1439" s="4" t="str">
        <f>HYPERLINK("http://141.218.60.56/~jnz1568/getInfo.php?workbook=14_04.xlsx&amp;sheet=U0&amp;row=1439&amp;col=7&amp;number=0.000627&amp;sourceID=14","0.000627")</f>
        <v>0.000627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HYPERLINK("http://141.218.60.56/~jnz1568/getInfo.php?workbook=14_04.xlsx&amp;sheet=U0&amp;row=1440&amp;col=6&amp;number=4.6&amp;sourceID=14","4.6")</f>
        <v>4.6</v>
      </c>
      <c r="G1440" s="4" t="str">
        <f>HYPERLINK("http://141.218.60.56/~jnz1568/getInfo.php?workbook=14_04.xlsx&amp;sheet=U0&amp;row=1440&amp;col=7&amp;number=0.000628&amp;sourceID=14","0.000628")</f>
        <v>0.000628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HYPERLINK("http://141.218.60.56/~jnz1568/getInfo.php?workbook=14_04.xlsx&amp;sheet=U0&amp;row=1441&amp;col=6&amp;number=4.7&amp;sourceID=14","4.7")</f>
        <v>4.7</v>
      </c>
      <c r="G1441" s="4" t="str">
        <f>HYPERLINK("http://141.218.60.56/~jnz1568/getInfo.php?workbook=14_04.xlsx&amp;sheet=U0&amp;row=1441&amp;col=7&amp;number=0.000629&amp;sourceID=14","0.000629")</f>
        <v>0.000629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HYPERLINK("http://141.218.60.56/~jnz1568/getInfo.php?workbook=14_04.xlsx&amp;sheet=U0&amp;row=1442&amp;col=6&amp;number=4.8&amp;sourceID=14","4.8")</f>
        <v>4.8</v>
      </c>
      <c r="G1442" s="4" t="str">
        <f>HYPERLINK("http://141.218.60.56/~jnz1568/getInfo.php?workbook=14_04.xlsx&amp;sheet=U0&amp;row=1442&amp;col=7&amp;number=0.00063&amp;sourceID=14","0.00063")</f>
        <v>0.00063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HYPERLINK("http://141.218.60.56/~jnz1568/getInfo.php?workbook=14_04.xlsx&amp;sheet=U0&amp;row=1443&amp;col=6&amp;number=4.9&amp;sourceID=14","4.9")</f>
        <v>4.9</v>
      </c>
      <c r="G1443" s="4" t="str">
        <f>HYPERLINK("http://141.218.60.56/~jnz1568/getInfo.php?workbook=14_04.xlsx&amp;sheet=U0&amp;row=1443&amp;col=7&amp;number=0.000632&amp;sourceID=14","0.000632")</f>
        <v>0.000632</v>
      </c>
    </row>
    <row r="1444" spans="1:7">
      <c r="A1444" s="3">
        <v>14</v>
      </c>
      <c r="B1444" s="3">
        <v>4</v>
      </c>
      <c r="C1444" s="3">
        <v>1</v>
      </c>
      <c r="D1444" s="3">
        <v>38</v>
      </c>
      <c r="E1444" s="3">
        <v>1</v>
      </c>
      <c r="F1444" s="4" t="str">
        <f>HYPERLINK("http://141.218.60.56/~jnz1568/getInfo.php?workbook=14_04.xlsx&amp;sheet=U0&amp;row=1444&amp;col=6&amp;number=3&amp;sourceID=14","3")</f>
        <v>3</v>
      </c>
      <c r="G1444" s="4" t="str">
        <f>HYPERLINK("http://141.218.60.56/~jnz1568/getInfo.php?workbook=14_04.xlsx&amp;sheet=U0&amp;row=1444&amp;col=7&amp;number=7.11e-05&amp;sourceID=14","7.11e-05")</f>
        <v>7.11e-05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HYPERLINK("http://141.218.60.56/~jnz1568/getInfo.php?workbook=14_04.xlsx&amp;sheet=U0&amp;row=1445&amp;col=6&amp;number=3.1&amp;sourceID=14","3.1")</f>
        <v>3.1</v>
      </c>
      <c r="G1445" s="4" t="str">
        <f>HYPERLINK("http://141.218.60.56/~jnz1568/getInfo.php?workbook=14_04.xlsx&amp;sheet=U0&amp;row=1445&amp;col=7&amp;number=7.11e-05&amp;sourceID=14","7.11e-05")</f>
        <v>7.11e-05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HYPERLINK("http://141.218.60.56/~jnz1568/getInfo.php?workbook=14_04.xlsx&amp;sheet=U0&amp;row=1446&amp;col=6&amp;number=3.2&amp;sourceID=14","3.2")</f>
        <v>3.2</v>
      </c>
      <c r="G1446" s="4" t="str">
        <f>HYPERLINK("http://141.218.60.56/~jnz1568/getInfo.php?workbook=14_04.xlsx&amp;sheet=U0&amp;row=1446&amp;col=7&amp;number=7.11e-05&amp;sourceID=14","7.11e-05")</f>
        <v>7.11e-05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HYPERLINK("http://141.218.60.56/~jnz1568/getInfo.php?workbook=14_04.xlsx&amp;sheet=U0&amp;row=1447&amp;col=6&amp;number=3.3&amp;sourceID=14","3.3")</f>
        <v>3.3</v>
      </c>
      <c r="G1447" s="4" t="str">
        <f>HYPERLINK("http://141.218.60.56/~jnz1568/getInfo.php?workbook=14_04.xlsx&amp;sheet=U0&amp;row=1447&amp;col=7&amp;number=7.11e-05&amp;sourceID=14","7.11e-05")</f>
        <v>7.11e-05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HYPERLINK("http://141.218.60.56/~jnz1568/getInfo.php?workbook=14_04.xlsx&amp;sheet=U0&amp;row=1448&amp;col=6&amp;number=3.4&amp;sourceID=14","3.4")</f>
        <v>3.4</v>
      </c>
      <c r="G1448" s="4" t="str">
        <f>HYPERLINK("http://141.218.60.56/~jnz1568/getInfo.php?workbook=14_04.xlsx&amp;sheet=U0&amp;row=1448&amp;col=7&amp;number=7.11e-05&amp;sourceID=14","7.11e-05")</f>
        <v>7.11e-05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HYPERLINK("http://141.218.60.56/~jnz1568/getInfo.php?workbook=14_04.xlsx&amp;sheet=U0&amp;row=1449&amp;col=6&amp;number=3.5&amp;sourceID=14","3.5")</f>
        <v>3.5</v>
      </c>
      <c r="G1449" s="4" t="str">
        <f>HYPERLINK("http://141.218.60.56/~jnz1568/getInfo.php?workbook=14_04.xlsx&amp;sheet=U0&amp;row=1449&amp;col=7&amp;number=7.11e-05&amp;sourceID=14","7.11e-05")</f>
        <v>7.11e-05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HYPERLINK("http://141.218.60.56/~jnz1568/getInfo.php?workbook=14_04.xlsx&amp;sheet=U0&amp;row=1450&amp;col=6&amp;number=3.6&amp;sourceID=14","3.6")</f>
        <v>3.6</v>
      </c>
      <c r="G1450" s="4" t="str">
        <f>HYPERLINK("http://141.218.60.56/~jnz1568/getInfo.php?workbook=14_04.xlsx&amp;sheet=U0&amp;row=1450&amp;col=7&amp;number=7.11e-05&amp;sourceID=14","7.11e-05")</f>
        <v>7.11e-05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HYPERLINK("http://141.218.60.56/~jnz1568/getInfo.php?workbook=14_04.xlsx&amp;sheet=U0&amp;row=1451&amp;col=6&amp;number=3.7&amp;sourceID=14","3.7")</f>
        <v>3.7</v>
      </c>
      <c r="G1451" s="4" t="str">
        <f>HYPERLINK("http://141.218.60.56/~jnz1568/getInfo.php?workbook=14_04.xlsx&amp;sheet=U0&amp;row=1451&amp;col=7&amp;number=7.11e-05&amp;sourceID=14","7.11e-05")</f>
        <v>7.11e-05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HYPERLINK("http://141.218.60.56/~jnz1568/getInfo.php?workbook=14_04.xlsx&amp;sheet=U0&amp;row=1452&amp;col=6&amp;number=3.8&amp;sourceID=14","3.8")</f>
        <v>3.8</v>
      </c>
      <c r="G1452" s="4" t="str">
        <f>HYPERLINK("http://141.218.60.56/~jnz1568/getInfo.php?workbook=14_04.xlsx&amp;sheet=U0&amp;row=1452&amp;col=7&amp;number=7.11e-05&amp;sourceID=14","7.11e-05")</f>
        <v>7.11e-05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HYPERLINK("http://141.218.60.56/~jnz1568/getInfo.php?workbook=14_04.xlsx&amp;sheet=U0&amp;row=1453&amp;col=6&amp;number=3.9&amp;sourceID=14","3.9")</f>
        <v>3.9</v>
      </c>
      <c r="G1453" s="4" t="str">
        <f>HYPERLINK("http://141.218.60.56/~jnz1568/getInfo.php?workbook=14_04.xlsx&amp;sheet=U0&amp;row=1453&amp;col=7&amp;number=7.11e-05&amp;sourceID=14","7.11e-05")</f>
        <v>7.11e-05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HYPERLINK("http://141.218.60.56/~jnz1568/getInfo.php?workbook=14_04.xlsx&amp;sheet=U0&amp;row=1454&amp;col=6&amp;number=4&amp;sourceID=14","4")</f>
        <v>4</v>
      </c>
      <c r="G1454" s="4" t="str">
        <f>HYPERLINK("http://141.218.60.56/~jnz1568/getInfo.php?workbook=14_04.xlsx&amp;sheet=U0&amp;row=1454&amp;col=7&amp;number=7.11e-05&amp;sourceID=14","7.11e-05")</f>
        <v>7.11e-05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HYPERLINK("http://141.218.60.56/~jnz1568/getInfo.php?workbook=14_04.xlsx&amp;sheet=U0&amp;row=1455&amp;col=6&amp;number=4.1&amp;sourceID=14","4.1")</f>
        <v>4.1</v>
      </c>
      <c r="G1455" s="4" t="str">
        <f>HYPERLINK("http://141.218.60.56/~jnz1568/getInfo.php?workbook=14_04.xlsx&amp;sheet=U0&amp;row=1455&amp;col=7&amp;number=7.11e-05&amp;sourceID=14","7.11e-05")</f>
        <v>7.11e-05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HYPERLINK("http://141.218.60.56/~jnz1568/getInfo.php?workbook=14_04.xlsx&amp;sheet=U0&amp;row=1456&amp;col=6&amp;number=4.2&amp;sourceID=14","4.2")</f>
        <v>4.2</v>
      </c>
      <c r="G1456" s="4" t="str">
        <f>HYPERLINK("http://141.218.60.56/~jnz1568/getInfo.php?workbook=14_04.xlsx&amp;sheet=U0&amp;row=1456&amp;col=7&amp;number=7.11e-05&amp;sourceID=14","7.11e-05")</f>
        <v>7.11e-05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HYPERLINK("http://141.218.60.56/~jnz1568/getInfo.php?workbook=14_04.xlsx&amp;sheet=U0&amp;row=1457&amp;col=6&amp;number=4.3&amp;sourceID=14","4.3")</f>
        <v>4.3</v>
      </c>
      <c r="G1457" s="4" t="str">
        <f>HYPERLINK("http://141.218.60.56/~jnz1568/getInfo.php?workbook=14_04.xlsx&amp;sheet=U0&amp;row=1457&amp;col=7&amp;number=7.11e-05&amp;sourceID=14","7.11e-05")</f>
        <v>7.11e-05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HYPERLINK("http://141.218.60.56/~jnz1568/getInfo.php?workbook=14_04.xlsx&amp;sheet=U0&amp;row=1458&amp;col=6&amp;number=4.4&amp;sourceID=14","4.4")</f>
        <v>4.4</v>
      </c>
      <c r="G1458" s="4" t="str">
        <f>HYPERLINK("http://141.218.60.56/~jnz1568/getInfo.php?workbook=14_04.xlsx&amp;sheet=U0&amp;row=1458&amp;col=7&amp;number=7.11e-05&amp;sourceID=14","7.11e-05")</f>
        <v>7.11e-05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HYPERLINK("http://141.218.60.56/~jnz1568/getInfo.php?workbook=14_04.xlsx&amp;sheet=U0&amp;row=1459&amp;col=6&amp;number=4.5&amp;sourceID=14","4.5")</f>
        <v>4.5</v>
      </c>
      <c r="G1459" s="4" t="str">
        <f>HYPERLINK("http://141.218.60.56/~jnz1568/getInfo.php?workbook=14_04.xlsx&amp;sheet=U0&amp;row=1459&amp;col=7&amp;number=7.11e-05&amp;sourceID=14","7.11e-05")</f>
        <v>7.11e-05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HYPERLINK("http://141.218.60.56/~jnz1568/getInfo.php?workbook=14_04.xlsx&amp;sheet=U0&amp;row=1460&amp;col=6&amp;number=4.6&amp;sourceID=14","4.6")</f>
        <v>4.6</v>
      </c>
      <c r="G1460" s="4" t="str">
        <f>HYPERLINK("http://141.218.60.56/~jnz1568/getInfo.php?workbook=14_04.xlsx&amp;sheet=U0&amp;row=1460&amp;col=7&amp;number=7.11e-05&amp;sourceID=14","7.11e-05")</f>
        <v>7.11e-05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HYPERLINK("http://141.218.60.56/~jnz1568/getInfo.php?workbook=14_04.xlsx&amp;sheet=U0&amp;row=1461&amp;col=6&amp;number=4.7&amp;sourceID=14","4.7")</f>
        <v>4.7</v>
      </c>
      <c r="G1461" s="4" t="str">
        <f>HYPERLINK("http://141.218.60.56/~jnz1568/getInfo.php?workbook=14_04.xlsx&amp;sheet=U0&amp;row=1461&amp;col=7&amp;number=7.11e-05&amp;sourceID=14","7.11e-05")</f>
        <v>7.11e-05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HYPERLINK("http://141.218.60.56/~jnz1568/getInfo.php?workbook=14_04.xlsx&amp;sheet=U0&amp;row=1462&amp;col=6&amp;number=4.8&amp;sourceID=14","4.8")</f>
        <v>4.8</v>
      </c>
      <c r="G1462" s="4" t="str">
        <f>HYPERLINK("http://141.218.60.56/~jnz1568/getInfo.php?workbook=14_04.xlsx&amp;sheet=U0&amp;row=1462&amp;col=7&amp;number=7.11e-05&amp;sourceID=14","7.11e-05")</f>
        <v>7.11e-05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HYPERLINK("http://141.218.60.56/~jnz1568/getInfo.php?workbook=14_04.xlsx&amp;sheet=U0&amp;row=1463&amp;col=6&amp;number=4.9&amp;sourceID=14","4.9")</f>
        <v>4.9</v>
      </c>
      <c r="G1463" s="4" t="str">
        <f>HYPERLINK("http://141.218.60.56/~jnz1568/getInfo.php?workbook=14_04.xlsx&amp;sheet=U0&amp;row=1463&amp;col=7&amp;number=7.11e-05&amp;sourceID=14","7.11e-05")</f>
        <v>7.11e-05</v>
      </c>
    </row>
    <row r="1464" spans="1:7">
      <c r="A1464" s="3">
        <v>14</v>
      </c>
      <c r="B1464" s="3">
        <v>4</v>
      </c>
      <c r="C1464" s="3">
        <v>1</v>
      </c>
      <c r="D1464" s="3">
        <v>39</v>
      </c>
      <c r="E1464" s="3">
        <v>1</v>
      </c>
      <c r="F1464" s="4" t="str">
        <f>HYPERLINK("http://141.218.60.56/~jnz1568/getInfo.php?workbook=14_04.xlsx&amp;sheet=U0&amp;row=1464&amp;col=6&amp;number=3&amp;sourceID=14","3")</f>
        <v>3</v>
      </c>
      <c r="G1464" s="4" t="str">
        <f>HYPERLINK("http://141.218.60.56/~jnz1568/getInfo.php?workbook=14_04.xlsx&amp;sheet=U0&amp;row=1464&amp;col=7&amp;number=9.33e-05&amp;sourceID=14","9.33e-05")</f>
        <v>9.33e-05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HYPERLINK("http://141.218.60.56/~jnz1568/getInfo.php?workbook=14_04.xlsx&amp;sheet=U0&amp;row=1465&amp;col=6&amp;number=3.1&amp;sourceID=14","3.1")</f>
        <v>3.1</v>
      </c>
      <c r="G1465" s="4" t="str">
        <f>HYPERLINK("http://141.218.60.56/~jnz1568/getInfo.php?workbook=14_04.xlsx&amp;sheet=U0&amp;row=1465&amp;col=7&amp;number=9.33e-05&amp;sourceID=14","9.33e-05")</f>
        <v>9.33e-05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HYPERLINK("http://141.218.60.56/~jnz1568/getInfo.php?workbook=14_04.xlsx&amp;sheet=U0&amp;row=1466&amp;col=6&amp;number=3.2&amp;sourceID=14","3.2")</f>
        <v>3.2</v>
      </c>
      <c r="G1466" s="4" t="str">
        <f>HYPERLINK("http://141.218.60.56/~jnz1568/getInfo.php?workbook=14_04.xlsx&amp;sheet=U0&amp;row=1466&amp;col=7&amp;number=9.33e-05&amp;sourceID=14","9.33e-05")</f>
        <v>9.33e-05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HYPERLINK("http://141.218.60.56/~jnz1568/getInfo.php?workbook=14_04.xlsx&amp;sheet=U0&amp;row=1467&amp;col=6&amp;number=3.3&amp;sourceID=14","3.3")</f>
        <v>3.3</v>
      </c>
      <c r="G1467" s="4" t="str">
        <f>HYPERLINK("http://141.218.60.56/~jnz1568/getInfo.php?workbook=14_04.xlsx&amp;sheet=U0&amp;row=1467&amp;col=7&amp;number=9.33e-05&amp;sourceID=14","9.33e-05")</f>
        <v>9.33e-05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HYPERLINK("http://141.218.60.56/~jnz1568/getInfo.php?workbook=14_04.xlsx&amp;sheet=U0&amp;row=1468&amp;col=6&amp;number=3.4&amp;sourceID=14","3.4")</f>
        <v>3.4</v>
      </c>
      <c r="G1468" s="4" t="str">
        <f>HYPERLINK("http://141.218.60.56/~jnz1568/getInfo.php?workbook=14_04.xlsx&amp;sheet=U0&amp;row=1468&amp;col=7&amp;number=9.33e-05&amp;sourceID=14","9.33e-05")</f>
        <v>9.33e-05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HYPERLINK("http://141.218.60.56/~jnz1568/getInfo.php?workbook=14_04.xlsx&amp;sheet=U0&amp;row=1469&amp;col=6&amp;number=3.5&amp;sourceID=14","3.5")</f>
        <v>3.5</v>
      </c>
      <c r="G1469" s="4" t="str">
        <f>HYPERLINK("http://141.218.60.56/~jnz1568/getInfo.php?workbook=14_04.xlsx&amp;sheet=U0&amp;row=1469&amp;col=7&amp;number=9.33e-05&amp;sourceID=14","9.33e-05")</f>
        <v>9.33e-05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HYPERLINK("http://141.218.60.56/~jnz1568/getInfo.php?workbook=14_04.xlsx&amp;sheet=U0&amp;row=1470&amp;col=6&amp;number=3.6&amp;sourceID=14","3.6")</f>
        <v>3.6</v>
      </c>
      <c r="G1470" s="4" t="str">
        <f>HYPERLINK("http://141.218.60.56/~jnz1568/getInfo.php?workbook=14_04.xlsx&amp;sheet=U0&amp;row=1470&amp;col=7&amp;number=9.33e-05&amp;sourceID=14","9.33e-05")</f>
        <v>9.33e-05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HYPERLINK("http://141.218.60.56/~jnz1568/getInfo.php?workbook=14_04.xlsx&amp;sheet=U0&amp;row=1471&amp;col=6&amp;number=3.7&amp;sourceID=14","3.7")</f>
        <v>3.7</v>
      </c>
      <c r="G1471" s="4" t="str">
        <f>HYPERLINK("http://141.218.60.56/~jnz1568/getInfo.php?workbook=14_04.xlsx&amp;sheet=U0&amp;row=1471&amp;col=7&amp;number=9.32e-05&amp;sourceID=14","9.32e-05")</f>
        <v>9.32e-05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HYPERLINK("http://141.218.60.56/~jnz1568/getInfo.php?workbook=14_04.xlsx&amp;sheet=U0&amp;row=1472&amp;col=6&amp;number=3.8&amp;sourceID=14","3.8")</f>
        <v>3.8</v>
      </c>
      <c r="G1472" s="4" t="str">
        <f>HYPERLINK("http://141.218.60.56/~jnz1568/getInfo.php?workbook=14_04.xlsx&amp;sheet=U0&amp;row=1472&amp;col=7&amp;number=9.32e-05&amp;sourceID=14","9.32e-05")</f>
        <v>9.32e-05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HYPERLINK("http://141.218.60.56/~jnz1568/getInfo.php?workbook=14_04.xlsx&amp;sheet=U0&amp;row=1473&amp;col=6&amp;number=3.9&amp;sourceID=14","3.9")</f>
        <v>3.9</v>
      </c>
      <c r="G1473" s="4" t="str">
        <f>HYPERLINK("http://141.218.60.56/~jnz1568/getInfo.php?workbook=14_04.xlsx&amp;sheet=U0&amp;row=1473&amp;col=7&amp;number=9.32e-05&amp;sourceID=14","9.32e-05")</f>
        <v>9.32e-05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HYPERLINK("http://141.218.60.56/~jnz1568/getInfo.php?workbook=14_04.xlsx&amp;sheet=U0&amp;row=1474&amp;col=6&amp;number=4&amp;sourceID=14","4")</f>
        <v>4</v>
      </c>
      <c r="G1474" s="4" t="str">
        <f>HYPERLINK("http://141.218.60.56/~jnz1568/getInfo.php?workbook=14_04.xlsx&amp;sheet=U0&amp;row=1474&amp;col=7&amp;number=9.32e-05&amp;sourceID=14","9.32e-05")</f>
        <v>9.32e-05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HYPERLINK("http://141.218.60.56/~jnz1568/getInfo.php?workbook=14_04.xlsx&amp;sheet=U0&amp;row=1475&amp;col=6&amp;number=4.1&amp;sourceID=14","4.1")</f>
        <v>4.1</v>
      </c>
      <c r="G1475" s="4" t="str">
        <f>HYPERLINK("http://141.218.60.56/~jnz1568/getInfo.php?workbook=14_04.xlsx&amp;sheet=U0&amp;row=1475&amp;col=7&amp;number=9.31e-05&amp;sourceID=14","9.31e-05")</f>
        <v>9.31e-05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HYPERLINK("http://141.218.60.56/~jnz1568/getInfo.php?workbook=14_04.xlsx&amp;sheet=U0&amp;row=1476&amp;col=6&amp;number=4.2&amp;sourceID=14","4.2")</f>
        <v>4.2</v>
      </c>
      <c r="G1476" s="4" t="str">
        <f>HYPERLINK("http://141.218.60.56/~jnz1568/getInfo.php?workbook=14_04.xlsx&amp;sheet=U0&amp;row=1476&amp;col=7&amp;number=9.31e-05&amp;sourceID=14","9.31e-05")</f>
        <v>9.31e-05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HYPERLINK("http://141.218.60.56/~jnz1568/getInfo.php?workbook=14_04.xlsx&amp;sheet=U0&amp;row=1477&amp;col=6&amp;number=4.3&amp;sourceID=14","4.3")</f>
        <v>4.3</v>
      </c>
      <c r="G1477" s="4" t="str">
        <f>HYPERLINK("http://141.218.60.56/~jnz1568/getInfo.php?workbook=14_04.xlsx&amp;sheet=U0&amp;row=1477&amp;col=7&amp;number=9.3e-05&amp;sourceID=14","9.3e-05")</f>
        <v>9.3e-05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HYPERLINK("http://141.218.60.56/~jnz1568/getInfo.php?workbook=14_04.xlsx&amp;sheet=U0&amp;row=1478&amp;col=6&amp;number=4.4&amp;sourceID=14","4.4")</f>
        <v>4.4</v>
      </c>
      <c r="G1478" s="4" t="str">
        <f>HYPERLINK("http://141.218.60.56/~jnz1568/getInfo.php?workbook=14_04.xlsx&amp;sheet=U0&amp;row=1478&amp;col=7&amp;number=9.29e-05&amp;sourceID=14","9.29e-05")</f>
        <v>9.29e-05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HYPERLINK("http://141.218.60.56/~jnz1568/getInfo.php?workbook=14_04.xlsx&amp;sheet=U0&amp;row=1479&amp;col=6&amp;number=4.5&amp;sourceID=14","4.5")</f>
        <v>4.5</v>
      </c>
      <c r="G1479" s="4" t="str">
        <f>HYPERLINK("http://141.218.60.56/~jnz1568/getInfo.php?workbook=14_04.xlsx&amp;sheet=U0&amp;row=1479&amp;col=7&amp;number=9.28e-05&amp;sourceID=14","9.28e-05")</f>
        <v>9.28e-05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HYPERLINK("http://141.218.60.56/~jnz1568/getInfo.php?workbook=14_04.xlsx&amp;sheet=U0&amp;row=1480&amp;col=6&amp;number=4.6&amp;sourceID=14","4.6")</f>
        <v>4.6</v>
      </c>
      <c r="G1480" s="4" t="str">
        <f>HYPERLINK("http://141.218.60.56/~jnz1568/getInfo.php?workbook=14_04.xlsx&amp;sheet=U0&amp;row=1480&amp;col=7&amp;number=9.27e-05&amp;sourceID=14","9.27e-05")</f>
        <v>9.27e-05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HYPERLINK("http://141.218.60.56/~jnz1568/getInfo.php?workbook=14_04.xlsx&amp;sheet=U0&amp;row=1481&amp;col=6&amp;number=4.7&amp;sourceID=14","4.7")</f>
        <v>4.7</v>
      </c>
      <c r="G1481" s="4" t="str">
        <f>HYPERLINK("http://141.218.60.56/~jnz1568/getInfo.php?workbook=14_04.xlsx&amp;sheet=U0&amp;row=1481&amp;col=7&amp;number=9.25e-05&amp;sourceID=14","9.25e-05")</f>
        <v>9.25e-05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HYPERLINK("http://141.218.60.56/~jnz1568/getInfo.php?workbook=14_04.xlsx&amp;sheet=U0&amp;row=1482&amp;col=6&amp;number=4.8&amp;sourceID=14","4.8")</f>
        <v>4.8</v>
      </c>
      <c r="G1482" s="4" t="str">
        <f>HYPERLINK("http://141.218.60.56/~jnz1568/getInfo.php?workbook=14_04.xlsx&amp;sheet=U0&amp;row=1482&amp;col=7&amp;number=9.23e-05&amp;sourceID=14","9.23e-05")</f>
        <v>9.23e-05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HYPERLINK("http://141.218.60.56/~jnz1568/getInfo.php?workbook=14_04.xlsx&amp;sheet=U0&amp;row=1483&amp;col=6&amp;number=4.9&amp;sourceID=14","4.9")</f>
        <v>4.9</v>
      </c>
      <c r="G1483" s="4" t="str">
        <f>HYPERLINK("http://141.218.60.56/~jnz1568/getInfo.php?workbook=14_04.xlsx&amp;sheet=U0&amp;row=1483&amp;col=7&amp;number=9.2e-05&amp;sourceID=14","9.2e-05")</f>
        <v>9.2e-05</v>
      </c>
    </row>
    <row r="1484" spans="1:7">
      <c r="A1484" s="3">
        <v>14</v>
      </c>
      <c r="B1484" s="3">
        <v>4</v>
      </c>
      <c r="C1484" s="3">
        <v>1</v>
      </c>
      <c r="D1484" s="3">
        <v>40</v>
      </c>
      <c r="E1484" s="3">
        <v>1</v>
      </c>
      <c r="F1484" s="4" t="str">
        <f>HYPERLINK("http://141.218.60.56/~jnz1568/getInfo.php?workbook=14_04.xlsx&amp;sheet=U0&amp;row=1484&amp;col=6&amp;number=3&amp;sourceID=14","3")</f>
        <v>3</v>
      </c>
      <c r="G1484" s="4" t="str">
        <f>HYPERLINK("http://141.218.60.56/~jnz1568/getInfo.php?workbook=14_04.xlsx&amp;sheet=U0&amp;row=1484&amp;col=7&amp;number=0.000103&amp;sourceID=14","0.000103")</f>
        <v>0.000103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HYPERLINK("http://141.218.60.56/~jnz1568/getInfo.php?workbook=14_04.xlsx&amp;sheet=U0&amp;row=1485&amp;col=6&amp;number=3.1&amp;sourceID=14","3.1")</f>
        <v>3.1</v>
      </c>
      <c r="G1485" s="4" t="str">
        <f>HYPERLINK("http://141.218.60.56/~jnz1568/getInfo.php?workbook=14_04.xlsx&amp;sheet=U0&amp;row=1485&amp;col=7&amp;number=0.000103&amp;sourceID=14","0.000103")</f>
        <v>0.000103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HYPERLINK("http://141.218.60.56/~jnz1568/getInfo.php?workbook=14_04.xlsx&amp;sheet=U0&amp;row=1486&amp;col=6&amp;number=3.2&amp;sourceID=14","3.2")</f>
        <v>3.2</v>
      </c>
      <c r="G1486" s="4" t="str">
        <f>HYPERLINK("http://141.218.60.56/~jnz1568/getInfo.php?workbook=14_04.xlsx&amp;sheet=U0&amp;row=1486&amp;col=7&amp;number=0.000103&amp;sourceID=14","0.000103")</f>
        <v>0.000103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HYPERLINK("http://141.218.60.56/~jnz1568/getInfo.php?workbook=14_04.xlsx&amp;sheet=U0&amp;row=1487&amp;col=6&amp;number=3.3&amp;sourceID=14","3.3")</f>
        <v>3.3</v>
      </c>
      <c r="G1487" s="4" t="str">
        <f>HYPERLINK("http://141.218.60.56/~jnz1568/getInfo.php?workbook=14_04.xlsx&amp;sheet=U0&amp;row=1487&amp;col=7&amp;number=0.000103&amp;sourceID=14","0.000103")</f>
        <v>0.000103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HYPERLINK("http://141.218.60.56/~jnz1568/getInfo.php?workbook=14_04.xlsx&amp;sheet=U0&amp;row=1488&amp;col=6&amp;number=3.4&amp;sourceID=14","3.4")</f>
        <v>3.4</v>
      </c>
      <c r="G1488" s="4" t="str">
        <f>HYPERLINK("http://141.218.60.56/~jnz1568/getInfo.php?workbook=14_04.xlsx&amp;sheet=U0&amp;row=1488&amp;col=7&amp;number=0.000103&amp;sourceID=14","0.000103")</f>
        <v>0.000103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HYPERLINK("http://141.218.60.56/~jnz1568/getInfo.php?workbook=14_04.xlsx&amp;sheet=U0&amp;row=1489&amp;col=6&amp;number=3.5&amp;sourceID=14","3.5")</f>
        <v>3.5</v>
      </c>
      <c r="G1489" s="4" t="str">
        <f>HYPERLINK("http://141.218.60.56/~jnz1568/getInfo.php?workbook=14_04.xlsx&amp;sheet=U0&amp;row=1489&amp;col=7&amp;number=0.000103&amp;sourceID=14","0.000103")</f>
        <v>0.000103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HYPERLINK("http://141.218.60.56/~jnz1568/getInfo.php?workbook=14_04.xlsx&amp;sheet=U0&amp;row=1490&amp;col=6&amp;number=3.6&amp;sourceID=14","3.6")</f>
        <v>3.6</v>
      </c>
      <c r="G1490" s="4" t="str">
        <f>HYPERLINK("http://141.218.60.56/~jnz1568/getInfo.php?workbook=14_04.xlsx&amp;sheet=U0&amp;row=1490&amp;col=7&amp;number=0.000103&amp;sourceID=14","0.000103")</f>
        <v>0.000103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HYPERLINK("http://141.218.60.56/~jnz1568/getInfo.php?workbook=14_04.xlsx&amp;sheet=U0&amp;row=1491&amp;col=6&amp;number=3.7&amp;sourceID=14","3.7")</f>
        <v>3.7</v>
      </c>
      <c r="G1491" s="4" t="str">
        <f>HYPERLINK("http://141.218.60.56/~jnz1568/getInfo.php?workbook=14_04.xlsx&amp;sheet=U0&amp;row=1491&amp;col=7&amp;number=0.000103&amp;sourceID=14","0.000103")</f>
        <v>0.000103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HYPERLINK("http://141.218.60.56/~jnz1568/getInfo.php?workbook=14_04.xlsx&amp;sheet=U0&amp;row=1492&amp;col=6&amp;number=3.8&amp;sourceID=14","3.8")</f>
        <v>3.8</v>
      </c>
      <c r="G1492" s="4" t="str">
        <f>HYPERLINK("http://141.218.60.56/~jnz1568/getInfo.php?workbook=14_04.xlsx&amp;sheet=U0&amp;row=1492&amp;col=7&amp;number=0.000103&amp;sourceID=14","0.000103")</f>
        <v>0.000103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HYPERLINK("http://141.218.60.56/~jnz1568/getInfo.php?workbook=14_04.xlsx&amp;sheet=U0&amp;row=1493&amp;col=6&amp;number=3.9&amp;sourceID=14","3.9")</f>
        <v>3.9</v>
      </c>
      <c r="G1493" s="4" t="str">
        <f>HYPERLINK("http://141.218.60.56/~jnz1568/getInfo.php?workbook=14_04.xlsx&amp;sheet=U0&amp;row=1493&amp;col=7&amp;number=0.000103&amp;sourceID=14","0.000103")</f>
        <v>0.000103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HYPERLINK("http://141.218.60.56/~jnz1568/getInfo.php?workbook=14_04.xlsx&amp;sheet=U0&amp;row=1494&amp;col=6&amp;number=4&amp;sourceID=14","4")</f>
        <v>4</v>
      </c>
      <c r="G1494" s="4" t="str">
        <f>HYPERLINK("http://141.218.60.56/~jnz1568/getInfo.php?workbook=14_04.xlsx&amp;sheet=U0&amp;row=1494&amp;col=7&amp;number=0.000103&amp;sourceID=14","0.000103")</f>
        <v>0.000103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HYPERLINK("http://141.218.60.56/~jnz1568/getInfo.php?workbook=14_04.xlsx&amp;sheet=U0&amp;row=1495&amp;col=6&amp;number=4.1&amp;sourceID=14","4.1")</f>
        <v>4.1</v>
      </c>
      <c r="G1495" s="4" t="str">
        <f>HYPERLINK("http://141.218.60.56/~jnz1568/getInfo.php?workbook=14_04.xlsx&amp;sheet=U0&amp;row=1495&amp;col=7&amp;number=0.000103&amp;sourceID=14","0.000103")</f>
        <v>0.000103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HYPERLINK("http://141.218.60.56/~jnz1568/getInfo.php?workbook=14_04.xlsx&amp;sheet=U0&amp;row=1496&amp;col=6&amp;number=4.2&amp;sourceID=14","4.2")</f>
        <v>4.2</v>
      </c>
      <c r="G1496" s="4" t="str">
        <f>HYPERLINK("http://141.218.60.56/~jnz1568/getInfo.php?workbook=14_04.xlsx&amp;sheet=U0&amp;row=1496&amp;col=7&amp;number=0.000103&amp;sourceID=14","0.000103")</f>
        <v>0.000103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HYPERLINK("http://141.218.60.56/~jnz1568/getInfo.php?workbook=14_04.xlsx&amp;sheet=U0&amp;row=1497&amp;col=6&amp;number=4.3&amp;sourceID=14","4.3")</f>
        <v>4.3</v>
      </c>
      <c r="G1497" s="4" t="str">
        <f>HYPERLINK("http://141.218.60.56/~jnz1568/getInfo.php?workbook=14_04.xlsx&amp;sheet=U0&amp;row=1497&amp;col=7&amp;number=0.000103&amp;sourceID=14","0.000103")</f>
        <v>0.000103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HYPERLINK("http://141.218.60.56/~jnz1568/getInfo.php?workbook=14_04.xlsx&amp;sheet=U0&amp;row=1498&amp;col=6&amp;number=4.4&amp;sourceID=14","4.4")</f>
        <v>4.4</v>
      </c>
      <c r="G1498" s="4" t="str">
        <f>HYPERLINK("http://141.218.60.56/~jnz1568/getInfo.php?workbook=14_04.xlsx&amp;sheet=U0&amp;row=1498&amp;col=7&amp;number=0.000102&amp;sourceID=14","0.000102")</f>
        <v>0.000102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HYPERLINK("http://141.218.60.56/~jnz1568/getInfo.php?workbook=14_04.xlsx&amp;sheet=U0&amp;row=1499&amp;col=6&amp;number=4.5&amp;sourceID=14","4.5")</f>
        <v>4.5</v>
      </c>
      <c r="G1499" s="4" t="str">
        <f>HYPERLINK("http://141.218.60.56/~jnz1568/getInfo.php?workbook=14_04.xlsx&amp;sheet=U0&amp;row=1499&amp;col=7&amp;number=0.000102&amp;sourceID=14","0.000102")</f>
        <v>0.000102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HYPERLINK("http://141.218.60.56/~jnz1568/getInfo.php?workbook=14_04.xlsx&amp;sheet=U0&amp;row=1500&amp;col=6&amp;number=4.6&amp;sourceID=14","4.6")</f>
        <v>4.6</v>
      </c>
      <c r="G1500" s="4" t="str">
        <f>HYPERLINK("http://141.218.60.56/~jnz1568/getInfo.php?workbook=14_04.xlsx&amp;sheet=U0&amp;row=1500&amp;col=7&amp;number=0.000102&amp;sourceID=14","0.000102")</f>
        <v>0.000102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HYPERLINK("http://141.218.60.56/~jnz1568/getInfo.php?workbook=14_04.xlsx&amp;sheet=U0&amp;row=1501&amp;col=6&amp;number=4.7&amp;sourceID=14","4.7")</f>
        <v>4.7</v>
      </c>
      <c r="G1501" s="4" t="str">
        <f>HYPERLINK("http://141.218.60.56/~jnz1568/getInfo.php?workbook=14_04.xlsx&amp;sheet=U0&amp;row=1501&amp;col=7&amp;number=0.000102&amp;sourceID=14","0.000102")</f>
        <v>0.000102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HYPERLINK("http://141.218.60.56/~jnz1568/getInfo.php?workbook=14_04.xlsx&amp;sheet=U0&amp;row=1502&amp;col=6&amp;number=4.8&amp;sourceID=14","4.8")</f>
        <v>4.8</v>
      </c>
      <c r="G1502" s="4" t="str">
        <f>HYPERLINK("http://141.218.60.56/~jnz1568/getInfo.php?workbook=14_04.xlsx&amp;sheet=U0&amp;row=1502&amp;col=7&amp;number=0.000102&amp;sourceID=14","0.000102")</f>
        <v>0.000102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HYPERLINK("http://141.218.60.56/~jnz1568/getInfo.php?workbook=14_04.xlsx&amp;sheet=U0&amp;row=1503&amp;col=6&amp;number=4.9&amp;sourceID=14","4.9")</f>
        <v>4.9</v>
      </c>
      <c r="G1503" s="4" t="str">
        <f>HYPERLINK("http://141.218.60.56/~jnz1568/getInfo.php?workbook=14_04.xlsx&amp;sheet=U0&amp;row=1503&amp;col=7&amp;number=0.000101&amp;sourceID=14","0.000101")</f>
        <v>0.000101</v>
      </c>
    </row>
    <row r="1504" spans="1:7">
      <c r="A1504" s="3">
        <v>14</v>
      </c>
      <c r="B1504" s="3">
        <v>4</v>
      </c>
      <c r="C1504" s="3">
        <v>1</v>
      </c>
      <c r="D1504" s="3">
        <v>41</v>
      </c>
      <c r="E1504" s="3">
        <v>1</v>
      </c>
      <c r="F1504" s="4" t="str">
        <f>HYPERLINK("http://141.218.60.56/~jnz1568/getInfo.php?workbook=14_04.xlsx&amp;sheet=U0&amp;row=1504&amp;col=6&amp;number=3&amp;sourceID=14","3")</f>
        <v>3</v>
      </c>
      <c r="G1504" s="4" t="str">
        <f>HYPERLINK("http://141.218.60.56/~jnz1568/getInfo.php?workbook=14_04.xlsx&amp;sheet=U0&amp;row=1504&amp;col=7&amp;number=0.000311&amp;sourceID=14","0.000311")</f>
        <v>0.000311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HYPERLINK("http://141.218.60.56/~jnz1568/getInfo.php?workbook=14_04.xlsx&amp;sheet=U0&amp;row=1505&amp;col=6&amp;number=3.1&amp;sourceID=14","3.1")</f>
        <v>3.1</v>
      </c>
      <c r="G1505" s="4" t="str">
        <f>HYPERLINK("http://141.218.60.56/~jnz1568/getInfo.php?workbook=14_04.xlsx&amp;sheet=U0&amp;row=1505&amp;col=7&amp;number=0.000311&amp;sourceID=14","0.000311")</f>
        <v>0.000311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HYPERLINK("http://141.218.60.56/~jnz1568/getInfo.php?workbook=14_04.xlsx&amp;sheet=U0&amp;row=1506&amp;col=6&amp;number=3.2&amp;sourceID=14","3.2")</f>
        <v>3.2</v>
      </c>
      <c r="G1506" s="4" t="str">
        <f>HYPERLINK("http://141.218.60.56/~jnz1568/getInfo.php?workbook=14_04.xlsx&amp;sheet=U0&amp;row=1506&amp;col=7&amp;number=0.000311&amp;sourceID=14","0.000311")</f>
        <v>0.000311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HYPERLINK("http://141.218.60.56/~jnz1568/getInfo.php?workbook=14_04.xlsx&amp;sheet=U0&amp;row=1507&amp;col=6&amp;number=3.3&amp;sourceID=14","3.3")</f>
        <v>3.3</v>
      </c>
      <c r="G1507" s="4" t="str">
        <f>HYPERLINK("http://141.218.60.56/~jnz1568/getInfo.php?workbook=14_04.xlsx&amp;sheet=U0&amp;row=1507&amp;col=7&amp;number=0.000311&amp;sourceID=14","0.000311")</f>
        <v>0.000311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HYPERLINK("http://141.218.60.56/~jnz1568/getInfo.php?workbook=14_04.xlsx&amp;sheet=U0&amp;row=1508&amp;col=6&amp;number=3.4&amp;sourceID=14","3.4")</f>
        <v>3.4</v>
      </c>
      <c r="G1508" s="4" t="str">
        <f>HYPERLINK("http://141.218.60.56/~jnz1568/getInfo.php?workbook=14_04.xlsx&amp;sheet=U0&amp;row=1508&amp;col=7&amp;number=0.000311&amp;sourceID=14","0.000311")</f>
        <v>0.000311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HYPERLINK("http://141.218.60.56/~jnz1568/getInfo.php?workbook=14_04.xlsx&amp;sheet=U0&amp;row=1509&amp;col=6&amp;number=3.5&amp;sourceID=14","3.5")</f>
        <v>3.5</v>
      </c>
      <c r="G1509" s="4" t="str">
        <f>HYPERLINK("http://141.218.60.56/~jnz1568/getInfo.php?workbook=14_04.xlsx&amp;sheet=U0&amp;row=1509&amp;col=7&amp;number=0.000311&amp;sourceID=14","0.000311")</f>
        <v>0.000311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HYPERLINK("http://141.218.60.56/~jnz1568/getInfo.php?workbook=14_04.xlsx&amp;sheet=U0&amp;row=1510&amp;col=6&amp;number=3.6&amp;sourceID=14","3.6")</f>
        <v>3.6</v>
      </c>
      <c r="G1510" s="4" t="str">
        <f>HYPERLINK("http://141.218.60.56/~jnz1568/getInfo.php?workbook=14_04.xlsx&amp;sheet=U0&amp;row=1510&amp;col=7&amp;number=0.000311&amp;sourceID=14","0.000311")</f>
        <v>0.000311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HYPERLINK("http://141.218.60.56/~jnz1568/getInfo.php?workbook=14_04.xlsx&amp;sheet=U0&amp;row=1511&amp;col=6&amp;number=3.7&amp;sourceID=14","3.7")</f>
        <v>3.7</v>
      </c>
      <c r="G1511" s="4" t="str">
        <f>HYPERLINK("http://141.218.60.56/~jnz1568/getInfo.php?workbook=14_04.xlsx&amp;sheet=U0&amp;row=1511&amp;col=7&amp;number=0.000311&amp;sourceID=14","0.000311")</f>
        <v>0.000311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HYPERLINK("http://141.218.60.56/~jnz1568/getInfo.php?workbook=14_04.xlsx&amp;sheet=U0&amp;row=1512&amp;col=6&amp;number=3.8&amp;sourceID=14","3.8")</f>
        <v>3.8</v>
      </c>
      <c r="G1512" s="4" t="str">
        <f>HYPERLINK("http://141.218.60.56/~jnz1568/getInfo.php?workbook=14_04.xlsx&amp;sheet=U0&amp;row=1512&amp;col=7&amp;number=0.00031&amp;sourceID=14","0.00031")</f>
        <v>0.00031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HYPERLINK("http://141.218.60.56/~jnz1568/getInfo.php?workbook=14_04.xlsx&amp;sheet=U0&amp;row=1513&amp;col=6&amp;number=3.9&amp;sourceID=14","3.9")</f>
        <v>3.9</v>
      </c>
      <c r="G1513" s="4" t="str">
        <f>HYPERLINK("http://141.218.60.56/~jnz1568/getInfo.php?workbook=14_04.xlsx&amp;sheet=U0&amp;row=1513&amp;col=7&amp;number=0.00031&amp;sourceID=14","0.00031")</f>
        <v>0.00031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HYPERLINK("http://141.218.60.56/~jnz1568/getInfo.php?workbook=14_04.xlsx&amp;sheet=U0&amp;row=1514&amp;col=6&amp;number=4&amp;sourceID=14","4")</f>
        <v>4</v>
      </c>
      <c r="G1514" s="4" t="str">
        <f>HYPERLINK("http://141.218.60.56/~jnz1568/getInfo.php?workbook=14_04.xlsx&amp;sheet=U0&amp;row=1514&amp;col=7&amp;number=0.00031&amp;sourceID=14","0.00031")</f>
        <v>0.00031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HYPERLINK("http://141.218.60.56/~jnz1568/getInfo.php?workbook=14_04.xlsx&amp;sheet=U0&amp;row=1515&amp;col=6&amp;number=4.1&amp;sourceID=14","4.1")</f>
        <v>4.1</v>
      </c>
      <c r="G1515" s="4" t="str">
        <f>HYPERLINK("http://141.218.60.56/~jnz1568/getInfo.php?workbook=14_04.xlsx&amp;sheet=U0&amp;row=1515&amp;col=7&amp;number=0.00031&amp;sourceID=14","0.00031")</f>
        <v>0.00031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HYPERLINK("http://141.218.60.56/~jnz1568/getInfo.php?workbook=14_04.xlsx&amp;sheet=U0&amp;row=1516&amp;col=6&amp;number=4.2&amp;sourceID=14","4.2")</f>
        <v>4.2</v>
      </c>
      <c r="G1516" s="4" t="str">
        <f>HYPERLINK("http://141.218.60.56/~jnz1568/getInfo.php?workbook=14_04.xlsx&amp;sheet=U0&amp;row=1516&amp;col=7&amp;number=0.00031&amp;sourceID=14","0.00031")</f>
        <v>0.00031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HYPERLINK("http://141.218.60.56/~jnz1568/getInfo.php?workbook=14_04.xlsx&amp;sheet=U0&amp;row=1517&amp;col=6&amp;number=4.3&amp;sourceID=14","4.3")</f>
        <v>4.3</v>
      </c>
      <c r="G1517" s="4" t="str">
        <f>HYPERLINK("http://141.218.60.56/~jnz1568/getInfo.php?workbook=14_04.xlsx&amp;sheet=U0&amp;row=1517&amp;col=7&amp;number=0.000309&amp;sourceID=14","0.000309")</f>
        <v>0.000309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HYPERLINK("http://141.218.60.56/~jnz1568/getInfo.php?workbook=14_04.xlsx&amp;sheet=U0&amp;row=1518&amp;col=6&amp;number=4.4&amp;sourceID=14","4.4")</f>
        <v>4.4</v>
      </c>
      <c r="G1518" s="4" t="str">
        <f>HYPERLINK("http://141.218.60.56/~jnz1568/getInfo.php?workbook=14_04.xlsx&amp;sheet=U0&amp;row=1518&amp;col=7&amp;number=0.000309&amp;sourceID=14","0.000309")</f>
        <v>0.000309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HYPERLINK("http://141.218.60.56/~jnz1568/getInfo.php?workbook=14_04.xlsx&amp;sheet=U0&amp;row=1519&amp;col=6&amp;number=4.5&amp;sourceID=14","4.5")</f>
        <v>4.5</v>
      </c>
      <c r="G1519" s="4" t="str">
        <f>HYPERLINK("http://141.218.60.56/~jnz1568/getInfo.php?workbook=14_04.xlsx&amp;sheet=U0&amp;row=1519&amp;col=7&amp;number=0.000308&amp;sourceID=14","0.000308")</f>
        <v>0.000308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HYPERLINK("http://141.218.60.56/~jnz1568/getInfo.php?workbook=14_04.xlsx&amp;sheet=U0&amp;row=1520&amp;col=6&amp;number=4.6&amp;sourceID=14","4.6")</f>
        <v>4.6</v>
      </c>
      <c r="G1520" s="4" t="str">
        <f>HYPERLINK("http://141.218.60.56/~jnz1568/getInfo.php?workbook=14_04.xlsx&amp;sheet=U0&amp;row=1520&amp;col=7&amp;number=0.000308&amp;sourceID=14","0.000308")</f>
        <v>0.000308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HYPERLINK("http://141.218.60.56/~jnz1568/getInfo.php?workbook=14_04.xlsx&amp;sheet=U0&amp;row=1521&amp;col=6&amp;number=4.7&amp;sourceID=14","4.7")</f>
        <v>4.7</v>
      </c>
      <c r="G1521" s="4" t="str">
        <f>HYPERLINK("http://141.218.60.56/~jnz1568/getInfo.php?workbook=14_04.xlsx&amp;sheet=U0&amp;row=1521&amp;col=7&amp;number=0.000307&amp;sourceID=14","0.000307")</f>
        <v>0.000307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HYPERLINK("http://141.218.60.56/~jnz1568/getInfo.php?workbook=14_04.xlsx&amp;sheet=U0&amp;row=1522&amp;col=6&amp;number=4.8&amp;sourceID=14","4.8")</f>
        <v>4.8</v>
      </c>
      <c r="G1522" s="4" t="str">
        <f>HYPERLINK("http://141.218.60.56/~jnz1568/getInfo.php?workbook=14_04.xlsx&amp;sheet=U0&amp;row=1522&amp;col=7&amp;number=0.000306&amp;sourceID=14","0.000306")</f>
        <v>0.000306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HYPERLINK("http://141.218.60.56/~jnz1568/getInfo.php?workbook=14_04.xlsx&amp;sheet=U0&amp;row=1523&amp;col=6&amp;number=4.9&amp;sourceID=14","4.9")</f>
        <v>4.9</v>
      </c>
      <c r="G1523" s="4" t="str">
        <f>HYPERLINK("http://141.218.60.56/~jnz1568/getInfo.php?workbook=14_04.xlsx&amp;sheet=U0&amp;row=1523&amp;col=7&amp;number=0.000305&amp;sourceID=14","0.000305")</f>
        <v>0.000305</v>
      </c>
    </row>
    <row r="1524" spans="1:7">
      <c r="A1524" s="3">
        <v>14</v>
      </c>
      <c r="B1524" s="3">
        <v>4</v>
      </c>
      <c r="C1524" s="3">
        <v>1</v>
      </c>
      <c r="D1524" s="3">
        <v>42</v>
      </c>
      <c r="E1524" s="3">
        <v>1</v>
      </c>
      <c r="F1524" s="4" t="str">
        <f>HYPERLINK("http://141.218.60.56/~jnz1568/getInfo.php?workbook=14_04.xlsx&amp;sheet=U0&amp;row=1524&amp;col=6&amp;number=3&amp;sourceID=14","3")</f>
        <v>3</v>
      </c>
      <c r="G1524" s="4" t="str">
        <f>HYPERLINK("http://141.218.60.56/~jnz1568/getInfo.php?workbook=14_04.xlsx&amp;sheet=U0&amp;row=1524&amp;col=7&amp;number=0.000162&amp;sourceID=14","0.000162")</f>
        <v>0.000162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HYPERLINK("http://141.218.60.56/~jnz1568/getInfo.php?workbook=14_04.xlsx&amp;sheet=U0&amp;row=1525&amp;col=6&amp;number=3.1&amp;sourceID=14","3.1")</f>
        <v>3.1</v>
      </c>
      <c r="G1525" s="4" t="str">
        <f>HYPERLINK("http://141.218.60.56/~jnz1568/getInfo.php?workbook=14_04.xlsx&amp;sheet=U0&amp;row=1525&amp;col=7&amp;number=0.000162&amp;sourceID=14","0.000162")</f>
        <v>0.000162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HYPERLINK("http://141.218.60.56/~jnz1568/getInfo.php?workbook=14_04.xlsx&amp;sheet=U0&amp;row=1526&amp;col=6&amp;number=3.2&amp;sourceID=14","3.2")</f>
        <v>3.2</v>
      </c>
      <c r="G1526" s="4" t="str">
        <f>HYPERLINK("http://141.218.60.56/~jnz1568/getInfo.php?workbook=14_04.xlsx&amp;sheet=U0&amp;row=1526&amp;col=7&amp;number=0.000162&amp;sourceID=14","0.000162")</f>
        <v>0.000162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HYPERLINK("http://141.218.60.56/~jnz1568/getInfo.php?workbook=14_04.xlsx&amp;sheet=U0&amp;row=1527&amp;col=6&amp;number=3.3&amp;sourceID=14","3.3")</f>
        <v>3.3</v>
      </c>
      <c r="G1527" s="4" t="str">
        <f>HYPERLINK("http://141.218.60.56/~jnz1568/getInfo.php?workbook=14_04.xlsx&amp;sheet=U0&amp;row=1527&amp;col=7&amp;number=0.000162&amp;sourceID=14","0.000162")</f>
        <v>0.000162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HYPERLINK("http://141.218.60.56/~jnz1568/getInfo.php?workbook=14_04.xlsx&amp;sheet=U0&amp;row=1528&amp;col=6&amp;number=3.4&amp;sourceID=14","3.4")</f>
        <v>3.4</v>
      </c>
      <c r="G1528" s="4" t="str">
        <f>HYPERLINK("http://141.218.60.56/~jnz1568/getInfo.php?workbook=14_04.xlsx&amp;sheet=U0&amp;row=1528&amp;col=7&amp;number=0.000162&amp;sourceID=14","0.000162")</f>
        <v>0.000162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HYPERLINK("http://141.218.60.56/~jnz1568/getInfo.php?workbook=14_04.xlsx&amp;sheet=U0&amp;row=1529&amp;col=6&amp;number=3.5&amp;sourceID=14","3.5")</f>
        <v>3.5</v>
      </c>
      <c r="G1529" s="4" t="str">
        <f>HYPERLINK("http://141.218.60.56/~jnz1568/getInfo.php?workbook=14_04.xlsx&amp;sheet=U0&amp;row=1529&amp;col=7&amp;number=0.000162&amp;sourceID=14","0.000162")</f>
        <v>0.000162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HYPERLINK("http://141.218.60.56/~jnz1568/getInfo.php?workbook=14_04.xlsx&amp;sheet=U0&amp;row=1530&amp;col=6&amp;number=3.6&amp;sourceID=14","3.6")</f>
        <v>3.6</v>
      </c>
      <c r="G1530" s="4" t="str">
        <f>HYPERLINK("http://141.218.60.56/~jnz1568/getInfo.php?workbook=14_04.xlsx&amp;sheet=U0&amp;row=1530&amp;col=7&amp;number=0.000162&amp;sourceID=14","0.000162")</f>
        <v>0.000162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HYPERLINK("http://141.218.60.56/~jnz1568/getInfo.php?workbook=14_04.xlsx&amp;sheet=U0&amp;row=1531&amp;col=6&amp;number=3.7&amp;sourceID=14","3.7")</f>
        <v>3.7</v>
      </c>
      <c r="G1531" s="4" t="str">
        <f>HYPERLINK("http://141.218.60.56/~jnz1568/getInfo.php?workbook=14_04.xlsx&amp;sheet=U0&amp;row=1531&amp;col=7&amp;number=0.000162&amp;sourceID=14","0.000162")</f>
        <v>0.000162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HYPERLINK("http://141.218.60.56/~jnz1568/getInfo.php?workbook=14_04.xlsx&amp;sheet=U0&amp;row=1532&amp;col=6&amp;number=3.8&amp;sourceID=14","3.8")</f>
        <v>3.8</v>
      </c>
      <c r="G1532" s="4" t="str">
        <f>HYPERLINK("http://141.218.60.56/~jnz1568/getInfo.php?workbook=14_04.xlsx&amp;sheet=U0&amp;row=1532&amp;col=7&amp;number=0.000162&amp;sourceID=14","0.000162")</f>
        <v>0.000162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HYPERLINK("http://141.218.60.56/~jnz1568/getInfo.php?workbook=14_04.xlsx&amp;sheet=U0&amp;row=1533&amp;col=6&amp;number=3.9&amp;sourceID=14","3.9")</f>
        <v>3.9</v>
      </c>
      <c r="G1533" s="4" t="str">
        <f>HYPERLINK("http://141.218.60.56/~jnz1568/getInfo.php?workbook=14_04.xlsx&amp;sheet=U0&amp;row=1533&amp;col=7&amp;number=0.000162&amp;sourceID=14","0.000162")</f>
        <v>0.000162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HYPERLINK("http://141.218.60.56/~jnz1568/getInfo.php?workbook=14_04.xlsx&amp;sheet=U0&amp;row=1534&amp;col=6&amp;number=4&amp;sourceID=14","4")</f>
        <v>4</v>
      </c>
      <c r="G1534" s="4" t="str">
        <f>HYPERLINK("http://141.218.60.56/~jnz1568/getInfo.php?workbook=14_04.xlsx&amp;sheet=U0&amp;row=1534&amp;col=7&amp;number=0.000162&amp;sourceID=14","0.000162")</f>
        <v>0.000162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HYPERLINK("http://141.218.60.56/~jnz1568/getInfo.php?workbook=14_04.xlsx&amp;sheet=U0&amp;row=1535&amp;col=6&amp;number=4.1&amp;sourceID=14","4.1")</f>
        <v>4.1</v>
      </c>
      <c r="G1535" s="4" t="str">
        <f>HYPERLINK("http://141.218.60.56/~jnz1568/getInfo.php?workbook=14_04.xlsx&amp;sheet=U0&amp;row=1535&amp;col=7&amp;number=0.000162&amp;sourceID=14","0.000162")</f>
        <v>0.000162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HYPERLINK("http://141.218.60.56/~jnz1568/getInfo.php?workbook=14_04.xlsx&amp;sheet=U0&amp;row=1536&amp;col=6&amp;number=4.2&amp;sourceID=14","4.2")</f>
        <v>4.2</v>
      </c>
      <c r="G1536" s="4" t="str">
        <f>HYPERLINK("http://141.218.60.56/~jnz1568/getInfo.php?workbook=14_04.xlsx&amp;sheet=U0&amp;row=1536&amp;col=7&amp;number=0.000162&amp;sourceID=14","0.000162")</f>
        <v>0.000162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HYPERLINK("http://141.218.60.56/~jnz1568/getInfo.php?workbook=14_04.xlsx&amp;sheet=U0&amp;row=1537&amp;col=6&amp;number=4.3&amp;sourceID=14","4.3")</f>
        <v>4.3</v>
      </c>
      <c r="G1537" s="4" t="str">
        <f>HYPERLINK("http://141.218.60.56/~jnz1568/getInfo.php?workbook=14_04.xlsx&amp;sheet=U0&amp;row=1537&amp;col=7&amp;number=0.000162&amp;sourceID=14","0.000162")</f>
        <v>0.000162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HYPERLINK("http://141.218.60.56/~jnz1568/getInfo.php?workbook=14_04.xlsx&amp;sheet=U0&amp;row=1538&amp;col=6&amp;number=4.4&amp;sourceID=14","4.4")</f>
        <v>4.4</v>
      </c>
      <c r="G1538" s="4" t="str">
        <f>HYPERLINK("http://141.218.60.56/~jnz1568/getInfo.php?workbook=14_04.xlsx&amp;sheet=U0&amp;row=1538&amp;col=7&amp;number=0.000162&amp;sourceID=14","0.000162")</f>
        <v>0.000162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HYPERLINK("http://141.218.60.56/~jnz1568/getInfo.php?workbook=14_04.xlsx&amp;sheet=U0&amp;row=1539&amp;col=6&amp;number=4.5&amp;sourceID=14","4.5")</f>
        <v>4.5</v>
      </c>
      <c r="G1539" s="4" t="str">
        <f>HYPERLINK("http://141.218.60.56/~jnz1568/getInfo.php?workbook=14_04.xlsx&amp;sheet=U0&amp;row=1539&amp;col=7&amp;number=0.000161&amp;sourceID=14","0.000161")</f>
        <v>0.000161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HYPERLINK("http://141.218.60.56/~jnz1568/getInfo.php?workbook=14_04.xlsx&amp;sheet=U0&amp;row=1540&amp;col=6&amp;number=4.6&amp;sourceID=14","4.6")</f>
        <v>4.6</v>
      </c>
      <c r="G1540" s="4" t="str">
        <f>HYPERLINK("http://141.218.60.56/~jnz1568/getInfo.php?workbook=14_04.xlsx&amp;sheet=U0&amp;row=1540&amp;col=7&amp;number=0.000161&amp;sourceID=14","0.000161")</f>
        <v>0.000161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HYPERLINK("http://141.218.60.56/~jnz1568/getInfo.php?workbook=14_04.xlsx&amp;sheet=U0&amp;row=1541&amp;col=6&amp;number=4.7&amp;sourceID=14","4.7")</f>
        <v>4.7</v>
      </c>
      <c r="G1541" s="4" t="str">
        <f>HYPERLINK("http://141.218.60.56/~jnz1568/getInfo.php?workbook=14_04.xlsx&amp;sheet=U0&amp;row=1541&amp;col=7&amp;number=0.000161&amp;sourceID=14","0.000161")</f>
        <v>0.000161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HYPERLINK("http://141.218.60.56/~jnz1568/getInfo.php?workbook=14_04.xlsx&amp;sheet=U0&amp;row=1542&amp;col=6&amp;number=4.8&amp;sourceID=14","4.8")</f>
        <v>4.8</v>
      </c>
      <c r="G1542" s="4" t="str">
        <f>HYPERLINK("http://141.218.60.56/~jnz1568/getInfo.php?workbook=14_04.xlsx&amp;sheet=U0&amp;row=1542&amp;col=7&amp;number=0.000161&amp;sourceID=14","0.000161")</f>
        <v>0.000161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HYPERLINK("http://141.218.60.56/~jnz1568/getInfo.php?workbook=14_04.xlsx&amp;sheet=U0&amp;row=1543&amp;col=6&amp;number=4.9&amp;sourceID=14","4.9")</f>
        <v>4.9</v>
      </c>
      <c r="G1543" s="4" t="str">
        <f>HYPERLINK("http://141.218.60.56/~jnz1568/getInfo.php?workbook=14_04.xlsx&amp;sheet=U0&amp;row=1543&amp;col=7&amp;number=0.00016&amp;sourceID=14","0.00016")</f>
        <v>0.00016</v>
      </c>
    </row>
    <row r="1544" spans="1:7">
      <c r="A1544" s="3">
        <v>14</v>
      </c>
      <c r="B1544" s="3">
        <v>4</v>
      </c>
      <c r="C1544" s="3">
        <v>1</v>
      </c>
      <c r="D1544" s="3">
        <v>43</v>
      </c>
      <c r="E1544" s="3">
        <v>1</v>
      </c>
      <c r="F1544" s="4" t="str">
        <f>HYPERLINK("http://141.218.60.56/~jnz1568/getInfo.php?workbook=14_04.xlsx&amp;sheet=U0&amp;row=1544&amp;col=6&amp;number=3&amp;sourceID=14","3")</f>
        <v>3</v>
      </c>
      <c r="G1544" s="4" t="str">
        <f>HYPERLINK("http://141.218.60.56/~jnz1568/getInfo.php?workbook=14_04.xlsx&amp;sheet=U0&amp;row=1544&amp;col=7&amp;number=5.34e-05&amp;sourceID=14","5.34e-05")</f>
        <v>5.34e-05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HYPERLINK("http://141.218.60.56/~jnz1568/getInfo.php?workbook=14_04.xlsx&amp;sheet=U0&amp;row=1545&amp;col=6&amp;number=3.1&amp;sourceID=14","3.1")</f>
        <v>3.1</v>
      </c>
      <c r="G1545" s="4" t="str">
        <f>HYPERLINK("http://141.218.60.56/~jnz1568/getInfo.php?workbook=14_04.xlsx&amp;sheet=U0&amp;row=1545&amp;col=7&amp;number=5.33e-05&amp;sourceID=14","5.33e-05")</f>
        <v>5.33e-05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HYPERLINK("http://141.218.60.56/~jnz1568/getInfo.php?workbook=14_04.xlsx&amp;sheet=U0&amp;row=1546&amp;col=6&amp;number=3.2&amp;sourceID=14","3.2")</f>
        <v>3.2</v>
      </c>
      <c r="G1546" s="4" t="str">
        <f>HYPERLINK("http://141.218.60.56/~jnz1568/getInfo.php?workbook=14_04.xlsx&amp;sheet=U0&amp;row=1546&amp;col=7&amp;number=5.33e-05&amp;sourceID=14","5.33e-05")</f>
        <v>5.33e-05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HYPERLINK("http://141.218.60.56/~jnz1568/getInfo.php?workbook=14_04.xlsx&amp;sheet=U0&amp;row=1547&amp;col=6&amp;number=3.3&amp;sourceID=14","3.3")</f>
        <v>3.3</v>
      </c>
      <c r="G1547" s="4" t="str">
        <f>HYPERLINK("http://141.218.60.56/~jnz1568/getInfo.php?workbook=14_04.xlsx&amp;sheet=U0&amp;row=1547&amp;col=7&amp;number=5.33e-05&amp;sourceID=14","5.33e-05")</f>
        <v>5.33e-05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HYPERLINK("http://141.218.60.56/~jnz1568/getInfo.php?workbook=14_04.xlsx&amp;sheet=U0&amp;row=1548&amp;col=6&amp;number=3.4&amp;sourceID=14","3.4")</f>
        <v>3.4</v>
      </c>
      <c r="G1548" s="4" t="str">
        <f>HYPERLINK("http://141.218.60.56/~jnz1568/getInfo.php?workbook=14_04.xlsx&amp;sheet=U0&amp;row=1548&amp;col=7&amp;number=5.33e-05&amp;sourceID=14","5.33e-05")</f>
        <v>5.33e-05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HYPERLINK("http://141.218.60.56/~jnz1568/getInfo.php?workbook=14_04.xlsx&amp;sheet=U0&amp;row=1549&amp;col=6&amp;number=3.5&amp;sourceID=14","3.5")</f>
        <v>3.5</v>
      </c>
      <c r="G1549" s="4" t="str">
        <f>HYPERLINK("http://141.218.60.56/~jnz1568/getInfo.php?workbook=14_04.xlsx&amp;sheet=U0&amp;row=1549&amp;col=7&amp;number=5.33e-05&amp;sourceID=14","5.33e-05")</f>
        <v>5.33e-05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HYPERLINK("http://141.218.60.56/~jnz1568/getInfo.php?workbook=14_04.xlsx&amp;sheet=U0&amp;row=1550&amp;col=6&amp;number=3.6&amp;sourceID=14","3.6")</f>
        <v>3.6</v>
      </c>
      <c r="G1550" s="4" t="str">
        <f>HYPERLINK("http://141.218.60.56/~jnz1568/getInfo.php?workbook=14_04.xlsx&amp;sheet=U0&amp;row=1550&amp;col=7&amp;number=5.33e-05&amp;sourceID=14","5.33e-05")</f>
        <v>5.33e-05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HYPERLINK("http://141.218.60.56/~jnz1568/getInfo.php?workbook=14_04.xlsx&amp;sheet=U0&amp;row=1551&amp;col=6&amp;number=3.7&amp;sourceID=14","3.7")</f>
        <v>3.7</v>
      </c>
      <c r="G1551" s="4" t="str">
        <f>HYPERLINK("http://141.218.60.56/~jnz1568/getInfo.php?workbook=14_04.xlsx&amp;sheet=U0&amp;row=1551&amp;col=7&amp;number=5.33e-05&amp;sourceID=14","5.33e-05")</f>
        <v>5.33e-05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HYPERLINK("http://141.218.60.56/~jnz1568/getInfo.php?workbook=14_04.xlsx&amp;sheet=U0&amp;row=1552&amp;col=6&amp;number=3.8&amp;sourceID=14","3.8")</f>
        <v>3.8</v>
      </c>
      <c r="G1552" s="4" t="str">
        <f>HYPERLINK("http://141.218.60.56/~jnz1568/getInfo.php?workbook=14_04.xlsx&amp;sheet=U0&amp;row=1552&amp;col=7&amp;number=5.33e-05&amp;sourceID=14","5.33e-05")</f>
        <v>5.33e-05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HYPERLINK("http://141.218.60.56/~jnz1568/getInfo.php?workbook=14_04.xlsx&amp;sheet=U0&amp;row=1553&amp;col=6&amp;number=3.9&amp;sourceID=14","3.9")</f>
        <v>3.9</v>
      </c>
      <c r="G1553" s="4" t="str">
        <f>HYPERLINK("http://141.218.60.56/~jnz1568/getInfo.php?workbook=14_04.xlsx&amp;sheet=U0&amp;row=1553&amp;col=7&amp;number=5.33e-05&amp;sourceID=14","5.33e-05")</f>
        <v>5.33e-05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HYPERLINK("http://141.218.60.56/~jnz1568/getInfo.php?workbook=14_04.xlsx&amp;sheet=U0&amp;row=1554&amp;col=6&amp;number=4&amp;sourceID=14","4")</f>
        <v>4</v>
      </c>
      <c r="G1554" s="4" t="str">
        <f>HYPERLINK("http://141.218.60.56/~jnz1568/getInfo.php?workbook=14_04.xlsx&amp;sheet=U0&amp;row=1554&amp;col=7&amp;number=5.33e-05&amp;sourceID=14","5.33e-05")</f>
        <v>5.33e-05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HYPERLINK("http://141.218.60.56/~jnz1568/getInfo.php?workbook=14_04.xlsx&amp;sheet=U0&amp;row=1555&amp;col=6&amp;number=4.1&amp;sourceID=14","4.1")</f>
        <v>4.1</v>
      </c>
      <c r="G1555" s="4" t="str">
        <f>HYPERLINK("http://141.218.60.56/~jnz1568/getInfo.php?workbook=14_04.xlsx&amp;sheet=U0&amp;row=1555&amp;col=7&amp;number=5.33e-05&amp;sourceID=14","5.33e-05")</f>
        <v>5.33e-05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HYPERLINK("http://141.218.60.56/~jnz1568/getInfo.php?workbook=14_04.xlsx&amp;sheet=U0&amp;row=1556&amp;col=6&amp;number=4.2&amp;sourceID=14","4.2")</f>
        <v>4.2</v>
      </c>
      <c r="G1556" s="4" t="str">
        <f>HYPERLINK("http://141.218.60.56/~jnz1568/getInfo.php?workbook=14_04.xlsx&amp;sheet=U0&amp;row=1556&amp;col=7&amp;number=5.32e-05&amp;sourceID=14","5.32e-05")</f>
        <v>5.32e-05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HYPERLINK("http://141.218.60.56/~jnz1568/getInfo.php?workbook=14_04.xlsx&amp;sheet=U0&amp;row=1557&amp;col=6&amp;number=4.3&amp;sourceID=14","4.3")</f>
        <v>4.3</v>
      </c>
      <c r="G1557" s="4" t="str">
        <f>HYPERLINK("http://141.218.60.56/~jnz1568/getInfo.php?workbook=14_04.xlsx&amp;sheet=U0&amp;row=1557&amp;col=7&amp;number=5.32e-05&amp;sourceID=14","5.32e-05")</f>
        <v>5.32e-05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HYPERLINK("http://141.218.60.56/~jnz1568/getInfo.php?workbook=14_04.xlsx&amp;sheet=U0&amp;row=1558&amp;col=6&amp;number=4.4&amp;sourceID=14","4.4")</f>
        <v>4.4</v>
      </c>
      <c r="G1558" s="4" t="str">
        <f>HYPERLINK("http://141.218.60.56/~jnz1568/getInfo.php?workbook=14_04.xlsx&amp;sheet=U0&amp;row=1558&amp;col=7&amp;number=5.32e-05&amp;sourceID=14","5.32e-05")</f>
        <v>5.32e-05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HYPERLINK("http://141.218.60.56/~jnz1568/getInfo.php?workbook=14_04.xlsx&amp;sheet=U0&amp;row=1559&amp;col=6&amp;number=4.5&amp;sourceID=14","4.5")</f>
        <v>4.5</v>
      </c>
      <c r="G1559" s="4" t="str">
        <f>HYPERLINK("http://141.218.60.56/~jnz1568/getInfo.php?workbook=14_04.xlsx&amp;sheet=U0&amp;row=1559&amp;col=7&amp;number=5.31e-05&amp;sourceID=14","5.31e-05")</f>
        <v>5.31e-05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HYPERLINK("http://141.218.60.56/~jnz1568/getInfo.php?workbook=14_04.xlsx&amp;sheet=U0&amp;row=1560&amp;col=6&amp;number=4.6&amp;sourceID=14","4.6")</f>
        <v>4.6</v>
      </c>
      <c r="G1560" s="4" t="str">
        <f>HYPERLINK("http://141.218.60.56/~jnz1568/getInfo.php?workbook=14_04.xlsx&amp;sheet=U0&amp;row=1560&amp;col=7&amp;number=5.3e-05&amp;sourceID=14","5.3e-05")</f>
        <v>5.3e-05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HYPERLINK("http://141.218.60.56/~jnz1568/getInfo.php?workbook=14_04.xlsx&amp;sheet=U0&amp;row=1561&amp;col=6&amp;number=4.7&amp;sourceID=14","4.7")</f>
        <v>4.7</v>
      </c>
      <c r="G1561" s="4" t="str">
        <f>HYPERLINK("http://141.218.60.56/~jnz1568/getInfo.php?workbook=14_04.xlsx&amp;sheet=U0&amp;row=1561&amp;col=7&amp;number=5.29e-05&amp;sourceID=14","5.29e-05")</f>
        <v>5.29e-05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HYPERLINK("http://141.218.60.56/~jnz1568/getInfo.php?workbook=14_04.xlsx&amp;sheet=U0&amp;row=1562&amp;col=6&amp;number=4.8&amp;sourceID=14","4.8")</f>
        <v>4.8</v>
      </c>
      <c r="G1562" s="4" t="str">
        <f>HYPERLINK("http://141.218.60.56/~jnz1568/getInfo.php?workbook=14_04.xlsx&amp;sheet=U0&amp;row=1562&amp;col=7&amp;number=5.28e-05&amp;sourceID=14","5.28e-05")</f>
        <v>5.28e-05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HYPERLINK("http://141.218.60.56/~jnz1568/getInfo.php?workbook=14_04.xlsx&amp;sheet=U0&amp;row=1563&amp;col=6&amp;number=4.9&amp;sourceID=14","4.9")</f>
        <v>4.9</v>
      </c>
      <c r="G1563" s="4" t="str">
        <f>HYPERLINK("http://141.218.60.56/~jnz1568/getInfo.php?workbook=14_04.xlsx&amp;sheet=U0&amp;row=1563&amp;col=7&amp;number=5.27e-05&amp;sourceID=14","5.27e-05")</f>
        <v>5.27e-05</v>
      </c>
    </row>
    <row r="1564" spans="1:7">
      <c r="A1564" s="3">
        <v>14</v>
      </c>
      <c r="B1564" s="3">
        <v>4</v>
      </c>
      <c r="C1564" s="3">
        <v>1</v>
      </c>
      <c r="D1564" s="3">
        <v>44</v>
      </c>
      <c r="E1564" s="3">
        <v>1</v>
      </c>
      <c r="F1564" s="4" t="str">
        <f>HYPERLINK("http://141.218.60.56/~jnz1568/getInfo.php?workbook=14_04.xlsx&amp;sheet=U0&amp;row=1564&amp;col=6&amp;number=3&amp;sourceID=14","3")</f>
        <v>3</v>
      </c>
      <c r="G1564" s="4" t="str">
        <f>HYPERLINK("http://141.218.60.56/~jnz1568/getInfo.php?workbook=14_04.xlsx&amp;sheet=U0&amp;row=1564&amp;col=7&amp;number=0.000502&amp;sourceID=14","0.000502")</f>
        <v>0.000502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HYPERLINK("http://141.218.60.56/~jnz1568/getInfo.php?workbook=14_04.xlsx&amp;sheet=U0&amp;row=1565&amp;col=6&amp;number=3.1&amp;sourceID=14","3.1")</f>
        <v>3.1</v>
      </c>
      <c r="G1565" s="4" t="str">
        <f>HYPERLINK("http://141.218.60.56/~jnz1568/getInfo.php?workbook=14_04.xlsx&amp;sheet=U0&amp;row=1565&amp;col=7&amp;number=0.000502&amp;sourceID=14","0.000502")</f>
        <v>0.000502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HYPERLINK("http://141.218.60.56/~jnz1568/getInfo.php?workbook=14_04.xlsx&amp;sheet=U0&amp;row=1566&amp;col=6&amp;number=3.2&amp;sourceID=14","3.2")</f>
        <v>3.2</v>
      </c>
      <c r="G1566" s="4" t="str">
        <f>HYPERLINK("http://141.218.60.56/~jnz1568/getInfo.php?workbook=14_04.xlsx&amp;sheet=U0&amp;row=1566&amp;col=7&amp;number=0.000502&amp;sourceID=14","0.000502")</f>
        <v>0.000502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HYPERLINK("http://141.218.60.56/~jnz1568/getInfo.php?workbook=14_04.xlsx&amp;sheet=U0&amp;row=1567&amp;col=6&amp;number=3.3&amp;sourceID=14","3.3")</f>
        <v>3.3</v>
      </c>
      <c r="G1567" s="4" t="str">
        <f>HYPERLINK("http://141.218.60.56/~jnz1568/getInfo.php?workbook=14_04.xlsx&amp;sheet=U0&amp;row=1567&amp;col=7&amp;number=0.000502&amp;sourceID=14","0.000502")</f>
        <v>0.000502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HYPERLINK("http://141.218.60.56/~jnz1568/getInfo.php?workbook=14_04.xlsx&amp;sheet=U0&amp;row=1568&amp;col=6&amp;number=3.4&amp;sourceID=14","3.4")</f>
        <v>3.4</v>
      </c>
      <c r="G1568" s="4" t="str">
        <f>HYPERLINK("http://141.218.60.56/~jnz1568/getInfo.php?workbook=14_04.xlsx&amp;sheet=U0&amp;row=1568&amp;col=7&amp;number=0.000502&amp;sourceID=14","0.000502")</f>
        <v>0.000502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HYPERLINK("http://141.218.60.56/~jnz1568/getInfo.php?workbook=14_04.xlsx&amp;sheet=U0&amp;row=1569&amp;col=6&amp;number=3.5&amp;sourceID=14","3.5")</f>
        <v>3.5</v>
      </c>
      <c r="G1569" s="4" t="str">
        <f>HYPERLINK("http://141.218.60.56/~jnz1568/getInfo.php?workbook=14_04.xlsx&amp;sheet=U0&amp;row=1569&amp;col=7&amp;number=0.000502&amp;sourceID=14","0.000502")</f>
        <v>0.000502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HYPERLINK("http://141.218.60.56/~jnz1568/getInfo.php?workbook=14_04.xlsx&amp;sheet=U0&amp;row=1570&amp;col=6&amp;number=3.6&amp;sourceID=14","3.6")</f>
        <v>3.6</v>
      </c>
      <c r="G1570" s="4" t="str">
        <f>HYPERLINK("http://141.218.60.56/~jnz1568/getInfo.php?workbook=14_04.xlsx&amp;sheet=U0&amp;row=1570&amp;col=7&amp;number=0.000502&amp;sourceID=14","0.000502")</f>
        <v>0.000502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HYPERLINK("http://141.218.60.56/~jnz1568/getInfo.php?workbook=14_04.xlsx&amp;sheet=U0&amp;row=1571&amp;col=6&amp;number=3.7&amp;sourceID=14","3.7")</f>
        <v>3.7</v>
      </c>
      <c r="G1571" s="4" t="str">
        <f>HYPERLINK("http://141.218.60.56/~jnz1568/getInfo.php?workbook=14_04.xlsx&amp;sheet=U0&amp;row=1571&amp;col=7&amp;number=0.000502&amp;sourceID=14","0.000502")</f>
        <v>0.000502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HYPERLINK("http://141.218.60.56/~jnz1568/getInfo.php?workbook=14_04.xlsx&amp;sheet=U0&amp;row=1572&amp;col=6&amp;number=3.8&amp;sourceID=14","3.8")</f>
        <v>3.8</v>
      </c>
      <c r="G1572" s="4" t="str">
        <f>HYPERLINK("http://141.218.60.56/~jnz1568/getInfo.php?workbook=14_04.xlsx&amp;sheet=U0&amp;row=1572&amp;col=7&amp;number=0.000502&amp;sourceID=14","0.000502")</f>
        <v>0.000502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HYPERLINK("http://141.218.60.56/~jnz1568/getInfo.php?workbook=14_04.xlsx&amp;sheet=U0&amp;row=1573&amp;col=6&amp;number=3.9&amp;sourceID=14","3.9")</f>
        <v>3.9</v>
      </c>
      <c r="G1573" s="4" t="str">
        <f>HYPERLINK("http://141.218.60.56/~jnz1568/getInfo.php?workbook=14_04.xlsx&amp;sheet=U0&amp;row=1573&amp;col=7&amp;number=0.000502&amp;sourceID=14","0.000502")</f>
        <v>0.000502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HYPERLINK("http://141.218.60.56/~jnz1568/getInfo.php?workbook=14_04.xlsx&amp;sheet=U0&amp;row=1574&amp;col=6&amp;number=4&amp;sourceID=14","4")</f>
        <v>4</v>
      </c>
      <c r="G1574" s="4" t="str">
        <f>HYPERLINK("http://141.218.60.56/~jnz1568/getInfo.php?workbook=14_04.xlsx&amp;sheet=U0&amp;row=1574&amp;col=7&amp;number=0.000502&amp;sourceID=14","0.000502")</f>
        <v>0.000502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HYPERLINK("http://141.218.60.56/~jnz1568/getInfo.php?workbook=14_04.xlsx&amp;sheet=U0&amp;row=1575&amp;col=6&amp;number=4.1&amp;sourceID=14","4.1")</f>
        <v>4.1</v>
      </c>
      <c r="G1575" s="4" t="str">
        <f>HYPERLINK("http://141.218.60.56/~jnz1568/getInfo.php?workbook=14_04.xlsx&amp;sheet=U0&amp;row=1575&amp;col=7&amp;number=0.000502&amp;sourceID=14","0.000502")</f>
        <v>0.000502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HYPERLINK("http://141.218.60.56/~jnz1568/getInfo.php?workbook=14_04.xlsx&amp;sheet=U0&amp;row=1576&amp;col=6&amp;number=4.2&amp;sourceID=14","4.2")</f>
        <v>4.2</v>
      </c>
      <c r="G1576" s="4" t="str">
        <f>HYPERLINK("http://141.218.60.56/~jnz1568/getInfo.php?workbook=14_04.xlsx&amp;sheet=U0&amp;row=1576&amp;col=7&amp;number=0.000502&amp;sourceID=14","0.000502")</f>
        <v>0.000502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HYPERLINK("http://141.218.60.56/~jnz1568/getInfo.php?workbook=14_04.xlsx&amp;sheet=U0&amp;row=1577&amp;col=6&amp;number=4.3&amp;sourceID=14","4.3")</f>
        <v>4.3</v>
      </c>
      <c r="G1577" s="4" t="str">
        <f>HYPERLINK("http://141.218.60.56/~jnz1568/getInfo.php?workbook=14_04.xlsx&amp;sheet=U0&amp;row=1577&amp;col=7&amp;number=0.000502&amp;sourceID=14","0.000502")</f>
        <v>0.000502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HYPERLINK("http://141.218.60.56/~jnz1568/getInfo.php?workbook=14_04.xlsx&amp;sheet=U0&amp;row=1578&amp;col=6&amp;number=4.4&amp;sourceID=14","4.4")</f>
        <v>4.4</v>
      </c>
      <c r="G1578" s="4" t="str">
        <f>HYPERLINK("http://141.218.60.56/~jnz1568/getInfo.php?workbook=14_04.xlsx&amp;sheet=U0&amp;row=1578&amp;col=7&amp;number=0.000502&amp;sourceID=14","0.000502")</f>
        <v>0.000502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HYPERLINK("http://141.218.60.56/~jnz1568/getInfo.php?workbook=14_04.xlsx&amp;sheet=U0&amp;row=1579&amp;col=6&amp;number=4.5&amp;sourceID=14","4.5")</f>
        <v>4.5</v>
      </c>
      <c r="G1579" s="4" t="str">
        <f>HYPERLINK("http://141.218.60.56/~jnz1568/getInfo.php?workbook=14_04.xlsx&amp;sheet=U0&amp;row=1579&amp;col=7&amp;number=0.000502&amp;sourceID=14","0.000502")</f>
        <v>0.000502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HYPERLINK("http://141.218.60.56/~jnz1568/getInfo.php?workbook=14_04.xlsx&amp;sheet=U0&amp;row=1580&amp;col=6&amp;number=4.6&amp;sourceID=14","4.6")</f>
        <v>4.6</v>
      </c>
      <c r="G1580" s="4" t="str">
        <f>HYPERLINK("http://141.218.60.56/~jnz1568/getInfo.php?workbook=14_04.xlsx&amp;sheet=U0&amp;row=1580&amp;col=7&amp;number=0.000502&amp;sourceID=14","0.000502")</f>
        <v>0.000502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HYPERLINK("http://141.218.60.56/~jnz1568/getInfo.php?workbook=14_04.xlsx&amp;sheet=U0&amp;row=1581&amp;col=6&amp;number=4.7&amp;sourceID=14","4.7")</f>
        <v>4.7</v>
      </c>
      <c r="G1581" s="4" t="str">
        <f>HYPERLINK("http://141.218.60.56/~jnz1568/getInfo.php?workbook=14_04.xlsx&amp;sheet=U0&amp;row=1581&amp;col=7&amp;number=0.000502&amp;sourceID=14","0.000502")</f>
        <v>0.000502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HYPERLINK("http://141.218.60.56/~jnz1568/getInfo.php?workbook=14_04.xlsx&amp;sheet=U0&amp;row=1582&amp;col=6&amp;number=4.8&amp;sourceID=14","4.8")</f>
        <v>4.8</v>
      </c>
      <c r="G1582" s="4" t="str">
        <f>HYPERLINK("http://141.218.60.56/~jnz1568/getInfo.php?workbook=14_04.xlsx&amp;sheet=U0&amp;row=1582&amp;col=7&amp;number=0.000502&amp;sourceID=14","0.000502")</f>
        <v>0.000502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HYPERLINK("http://141.218.60.56/~jnz1568/getInfo.php?workbook=14_04.xlsx&amp;sheet=U0&amp;row=1583&amp;col=6&amp;number=4.9&amp;sourceID=14","4.9")</f>
        <v>4.9</v>
      </c>
      <c r="G1583" s="4" t="str">
        <f>HYPERLINK("http://141.218.60.56/~jnz1568/getInfo.php?workbook=14_04.xlsx&amp;sheet=U0&amp;row=1583&amp;col=7&amp;number=0.000502&amp;sourceID=14","0.000502")</f>
        <v>0.000502</v>
      </c>
    </row>
    <row r="1584" spans="1:7">
      <c r="A1584" s="3">
        <v>14</v>
      </c>
      <c r="B1584" s="3">
        <v>4</v>
      </c>
      <c r="C1584" s="3">
        <v>1</v>
      </c>
      <c r="D1584" s="3">
        <v>45</v>
      </c>
      <c r="E1584" s="3">
        <v>1</v>
      </c>
      <c r="F1584" s="4" t="str">
        <f>HYPERLINK("http://141.218.60.56/~jnz1568/getInfo.php?workbook=14_04.xlsx&amp;sheet=U0&amp;row=1584&amp;col=6&amp;number=3&amp;sourceID=14","3")</f>
        <v>3</v>
      </c>
      <c r="G1584" s="4" t="str">
        <f>HYPERLINK("http://141.218.60.56/~jnz1568/getInfo.php?workbook=14_04.xlsx&amp;sheet=U0&amp;row=1584&amp;col=7&amp;number=0.000582&amp;sourceID=14","0.000582")</f>
        <v>0.000582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HYPERLINK("http://141.218.60.56/~jnz1568/getInfo.php?workbook=14_04.xlsx&amp;sheet=U0&amp;row=1585&amp;col=6&amp;number=3.1&amp;sourceID=14","3.1")</f>
        <v>3.1</v>
      </c>
      <c r="G1585" s="4" t="str">
        <f>HYPERLINK("http://141.218.60.56/~jnz1568/getInfo.php?workbook=14_04.xlsx&amp;sheet=U0&amp;row=1585&amp;col=7&amp;number=0.000582&amp;sourceID=14","0.000582")</f>
        <v>0.000582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HYPERLINK("http://141.218.60.56/~jnz1568/getInfo.php?workbook=14_04.xlsx&amp;sheet=U0&amp;row=1586&amp;col=6&amp;number=3.2&amp;sourceID=14","3.2")</f>
        <v>3.2</v>
      </c>
      <c r="G1586" s="4" t="str">
        <f>HYPERLINK("http://141.218.60.56/~jnz1568/getInfo.php?workbook=14_04.xlsx&amp;sheet=U0&amp;row=1586&amp;col=7&amp;number=0.000582&amp;sourceID=14","0.000582")</f>
        <v>0.000582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HYPERLINK("http://141.218.60.56/~jnz1568/getInfo.php?workbook=14_04.xlsx&amp;sheet=U0&amp;row=1587&amp;col=6&amp;number=3.3&amp;sourceID=14","3.3")</f>
        <v>3.3</v>
      </c>
      <c r="G1587" s="4" t="str">
        <f>HYPERLINK("http://141.218.60.56/~jnz1568/getInfo.php?workbook=14_04.xlsx&amp;sheet=U0&amp;row=1587&amp;col=7&amp;number=0.000582&amp;sourceID=14","0.000582")</f>
        <v>0.000582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HYPERLINK("http://141.218.60.56/~jnz1568/getInfo.php?workbook=14_04.xlsx&amp;sheet=U0&amp;row=1588&amp;col=6&amp;number=3.4&amp;sourceID=14","3.4")</f>
        <v>3.4</v>
      </c>
      <c r="G1588" s="4" t="str">
        <f>HYPERLINK("http://141.218.60.56/~jnz1568/getInfo.php?workbook=14_04.xlsx&amp;sheet=U0&amp;row=1588&amp;col=7&amp;number=0.000582&amp;sourceID=14","0.000582")</f>
        <v>0.000582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HYPERLINK("http://141.218.60.56/~jnz1568/getInfo.php?workbook=14_04.xlsx&amp;sheet=U0&amp;row=1589&amp;col=6&amp;number=3.5&amp;sourceID=14","3.5")</f>
        <v>3.5</v>
      </c>
      <c r="G1589" s="4" t="str">
        <f>HYPERLINK("http://141.218.60.56/~jnz1568/getInfo.php?workbook=14_04.xlsx&amp;sheet=U0&amp;row=1589&amp;col=7&amp;number=0.000582&amp;sourceID=14","0.000582")</f>
        <v>0.000582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HYPERLINK("http://141.218.60.56/~jnz1568/getInfo.php?workbook=14_04.xlsx&amp;sheet=U0&amp;row=1590&amp;col=6&amp;number=3.6&amp;sourceID=14","3.6")</f>
        <v>3.6</v>
      </c>
      <c r="G1590" s="4" t="str">
        <f>HYPERLINK("http://141.218.60.56/~jnz1568/getInfo.php?workbook=14_04.xlsx&amp;sheet=U0&amp;row=1590&amp;col=7&amp;number=0.000582&amp;sourceID=14","0.000582")</f>
        <v>0.000582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HYPERLINK("http://141.218.60.56/~jnz1568/getInfo.php?workbook=14_04.xlsx&amp;sheet=U0&amp;row=1591&amp;col=6&amp;number=3.7&amp;sourceID=14","3.7")</f>
        <v>3.7</v>
      </c>
      <c r="G1591" s="4" t="str">
        <f>HYPERLINK("http://141.218.60.56/~jnz1568/getInfo.php?workbook=14_04.xlsx&amp;sheet=U0&amp;row=1591&amp;col=7&amp;number=0.000582&amp;sourceID=14","0.000582")</f>
        <v>0.000582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HYPERLINK("http://141.218.60.56/~jnz1568/getInfo.php?workbook=14_04.xlsx&amp;sheet=U0&amp;row=1592&amp;col=6&amp;number=3.8&amp;sourceID=14","3.8")</f>
        <v>3.8</v>
      </c>
      <c r="G1592" s="4" t="str">
        <f>HYPERLINK("http://141.218.60.56/~jnz1568/getInfo.php?workbook=14_04.xlsx&amp;sheet=U0&amp;row=1592&amp;col=7&amp;number=0.000582&amp;sourceID=14","0.000582")</f>
        <v>0.000582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HYPERLINK("http://141.218.60.56/~jnz1568/getInfo.php?workbook=14_04.xlsx&amp;sheet=U0&amp;row=1593&amp;col=6&amp;number=3.9&amp;sourceID=14","3.9")</f>
        <v>3.9</v>
      </c>
      <c r="G1593" s="4" t="str">
        <f>HYPERLINK("http://141.218.60.56/~jnz1568/getInfo.php?workbook=14_04.xlsx&amp;sheet=U0&amp;row=1593&amp;col=7&amp;number=0.000582&amp;sourceID=14","0.000582")</f>
        <v>0.000582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HYPERLINK("http://141.218.60.56/~jnz1568/getInfo.php?workbook=14_04.xlsx&amp;sheet=U0&amp;row=1594&amp;col=6&amp;number=4&amp;sourceID=14","4")</f>
        <v>4</v>
      </c>
      <c r="G1594" s="4" t="str">
        <f>HYPERLINK("http://141.218.60.56/~jnz1568/getInfo.php?workbook=14_04.xlsx&amp;sheet=U0&amp;row=1594&amp;col=7&amp;number=0.000582&amp;sourceID=14","0.000582")</f>
        <v>0.000582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HYPERLINK("http://141.218.60.56/~jnz1568/getInfo.php?workbook=14_04.xlsx&amp;sheet=U0&amp;row=1595&amp;col=6&amp;number=4.1&amp;sourceID=14","4.1")</f>
        <v>4.1</v>
      </c>
      <c r="G1595" s="4" t="str">
        <f>HYPERLINK("http://141.218.60.56/~jnz1568/getInfo.php?workbook=14_04.xlsx&amp;sheet=U0&amp;row=1595&amp;col=7&amp;number=0.000582&amp;sourceID=14","0.000582")</f>
        <v>0.000582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HYPERLINK("http://141.218.60.56/~jnz1568/getInfo.php?workbook=14_04.xlsx&amp;sheet=U0&amp;row=1596&amp;col=6&amp;number=4.2&amp;sourceID=14","4.2")</f>
        <v>4.2</v>
      </c>
      <c r="G1596" s="4" t="str">
        <f>HYPERLINK("http://141.218.60.56/~jnz1568/getInfo.php?workbook=14_04.xlsx&amp;sheet=U0&amp;row=1596&amp;col=7&amp;number=0.000582&amp;sourceID=14","0.000582")</f>
        <v>0.000582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HYPERLINK("http://141.218.60.56/~jnz1568/getInfo.php?workbook=14_04.xlsx&amp;sheet=U0&amp;row=1597&amp;col=6&amp;number=4.3&amp;sourceID=14","4.3")</f>
        <v>4.3</v>
      </c>
      <c r="G1597" s="4" t="str">
        <f>HYPERLINK("http://141.218.60.56/~jnz1568/getInfo.php?workbook=14_04.xlsx&amp;sheet=U0&amp;row=1597&amp;col=7&amp;number=0.000582&amp;sourceID=14","0.000582")</f>
        <v>0.000582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HYPERLINK("http://141.218.60.56/~jnz1568/getInfo.php?workbook=14_04.xlsx&amp;sheet=U0&amp;row=1598&amp;col=6&amp;number=4.4&amp;sourceID=14","4.4")</f>
        <v>4.4</v>
      </c>
      <c r="G1598" s="4" t="str">
        <f>HYPERLINK("http://141.218.60.56/~jnz1568/getInfo.php?workbook=14_04.xlsx&amp;sheet=U0&amp;row=1598&amp;col=7&amp;number=0.000582&amp;sourceID=14","0.000582")</f>
        <v>0.000582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HYPERLINK("http://141.218.60.56/~jnz1568/getInfo.php?workbook=14_04.xlsx&amp;sheet=U0&amp;row=1599&amp;col=6&amp;number=4.5&amp;sourceID=14","4.5")</f>
        <v>4.5</v>
      </c>
      <c r="G1599" s="4" t="str">
        <f>HYPERLINK("http://141.218.60.56/~jnz1568/getInfo.php?workbook=14_04.xlsx&amp;sheet=U0&amp;row=1599&amp;col=7&amp;number=0.000583&amp;sourceID=14","0.000583")</f>
        <v>0.000583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HYPERLINK("http://141.218.60.56/~jnz1568/getInfo.php?workbook=14_04.xlsx&amp;sheet=U0&amp;row=1600&amp;col=6&amp;number=4.6&amp;sourceID=14","4.6")</f>
        <v>4.6</v>
      </c>
      <c r="G1600" s="4" t="str">
        <f>HYPERLINK("http://141.218.60.56/~jnz1568/getInfo.php?workbook=14_04.xlsx&amp;sheet=U0&amp;row=1600&amp;col=7&amp;number=0.000583&amp;sourceID=14","0.000583")</f>
        <v>0.000583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HYPERLINK("http://141.218.60.56/~jnz1568/getInfo.php?workbook=14_04.xlsx&amp;sheet=U0&amp;row=1601&amp;col=6&amp;number=4.7&amp;sourceID=14","4.7")</f>
        <v>4.7</v>
      </c>
      <c r="G1601" s="4" t="str">
        <f>HYPERLINK("http://141.218.60.56/~jnz1568/getInfo.php?workbook=14_04.xlsx&amp;sheet=U0&amp;row=1601&amp;col=7&amp;number=0.000583&amp;sourceID=14","0.000583")</f>
        <v>0.000583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HYPERLINK("http://141.218.60.56/~jnz1568/getInfo.php?workbook=14_04.xlsx&amp;sheet=U0&amp;row=1602&amp;col=6&amp;number=4.8&amp;sourceID=14","4.8")</f>
        <v>4.8</v>
      </c>
      <c r="G1602" s="4" t="str">
        <f>HYPERLINK("http://141.218.60.56/~jnz1568/getInfo.php?workbook=14_04.xlsx&amp;sheet=U0&amp;row=1602&amp;col=7&amp;number=0.000584&amp;sourceID=14","0.000584")</f>
        <v>0.000584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HYPERLINK("http://141.218.60.56/~jnz1568/getInfo.php?workbook=14_04.xlsx&amp;sheet=U0&amp;row=1603&amp;col=6&amp;number=4.9&amp;sourceID=14","4.9")</f>
        <v>4.9</v>
      </c>
      <c r="G1603" s="4" t="str">
        <f>HYPERLINK("http://141.218.60.56/~jnz1568/getInfo.php?workbook=14_04.xlsx&amp;sheet=U0&amp;row=1603&amp;col=7&amp;number=0.000584&amp;sourceID=14","0.000584")</f>
        <v>0.000584</v>
      </c>
    </row>
    <row r="1604" spans="1:7">
      <c r="A1604" s="3">
        <v>14</v>
      </c>
      <c r="B1604" s="3">
        <v>4</v>
      </c>
      <c r="C1604" s="3">
        <v>1</v>
      </c>
      <c r="D1604" s="3">
        <v>46</v>
      </c>
      <c r="E1604" s="3">
        <v>1</v>
      </c>
      <c r="F1604" s="4" t="str">
        <f>HYPERLINK("http://141.218.60.56/~jnz1568/getInfo.php?workbook=14_04.xlsx&amp;sheet=U0&amp;row=1604&amp;col=6&amp;number=3&amp;sourceID=14","3")</f>
        <v>3</v>
      </c>
      <c r="G1604" s="4" t="str">
        <f>HYPERLINK("http://141.218.60.56/~jnz1568/getInfo.php?workbook=14_04.xlsx&amp;sheet=U0&amp;row=1604&amp;col=7&amp;number=0.00221&amp;sourceID=14","0.00221")</f>
        <v>0.00221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HYPERLINK("http://141.218.60.56/~jnz1568/getInfo.php?workbook=14_04.xlsx&amp;sheet=U0&amp;row=1605&amp;col=6&amp;number=3.1&amp;sourceID=14","3.1")</f>
        <v>3.1</v>
      </c>
      <c r="G1605" s="4" t="str">
        <f>HYPERLINK("http://141.218.60.56/~jnz1568/getInfo.php?workbook=14_04.xlsx&amp;sheet=U0&amp;row=1605&amp;col=7&amp;number=0.00221&amp;sourceID=14","0.00221")</f>
        <v>0.00221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HYPERLINK("http://141.218.60.56/~jnz1568/getInfo.php?workbook=14_04.xlsx&amp;sheet=U0&amp;row=1606&amp;col=6&amp;number=3.2&amp;sourceID=14","3.2")</f>
        <v>3.2</v>
      </c>
      <c r="G1606" s="4" t="str">
        <f>HYPERLINK("http://141.218.60.56/~jnz1568/getInfo.php?workbook=14_04.xlsx&amp;sheet=U0&amp;row=1606&amp;col=7&amp;number=0.00221&amp;sourceID=14","0.00221")</f>
        <v>0.00221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HYPERLINK("http://141.218.60.56/~jnz1568/getInfo.php?workbook=14_04.xlsx&amp;sheet=U0&amp;row=1607&amp;col=6&amp;number=3.3&amp;sourceID=14","3.3")</f>
        <v>3.3</v>
      </c>
      <c r="G1607" s="4" t="str">
        <f>HYPERLINK("http://141.218.60.56/~jnz1568/getInfo.php?workbook=14_04.xlsx&amp;sheet=U0&amp;row=1607&amp;col=7&amp;number=0.00221&amp;sourceID=14","0.00221")</f>
        <v>0.00221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HYPERLINK("http://141.218.60.56/~jnz1568/getInfo.php?workbook=14_04.xlsx&amp;sheet=U0&amp;row=1608&amp;col=6&amp;number=3.4&amp;sourceID=14","3.4")</f>
        <v>3.4</v>
      </c>
      <c r="G1608" s="4" t="str">
        <f>HYPERLINK("http://141.218.60.56/~jnz1568/getInfo.php?workbook=14_04.xlsx&amp;sheet=U0&amp;row=1608&amp;col=7&amp;number=0.00221&amp;sourceID=14","0.00221")</f>
        <v>0.00221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HYPERLINK("http://141.218.60.56/~jnz1568/getInfo.php?workbook=14_04.xlsx&amp;sheet=U0&amp;row=1609&amp;col=6&amp;number=3.5&amp;sourceID=14","3.5")</f>
        <v>3.5</v>
      </c>
      <c r="G1609" s="4" t="str">
        <f>HYPERLINK("http://141.218.60.56/~jnz1568/getInfo.php?workbook=14_04.xlsx&amp;sheet=U0&amp;row=1609&amp;col=7&amp;number=0.00221&amp;sourceID=14","0.00221")</f>
        <v>0.00221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HYPERLINK("http://141.218.60.56/~jnz1568/getInfo.php?workbook=14_04.xlsx&amp;sheet=U0&amp;row=1610&amp;col=6&amp;number=3.6&amp;sourceID=14","3.6")</f>
        <v>3.6</v>
      </c>
      <c r="G1610" s="4" t="str">
        <f>HYPERLINK("http://141.218.60.56/~jnz1568/getInfo.php?workbook=14_04.xlsx&amp;sheet=U0&amp;row=1610&amp;col=7&amp;number=0.00221&amp;sourceID=14","0.00221")</f>
        <v>0.00221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HYPERLINK("http://141.218.60.56/~jnz1568/getInfo.php?workbook=14_04.xlsx&amp;sheet=U0&amp;row=1611&amp;col=6&amp;number=3.7&amp;sourceID=14","3.7")</f>
        <v>3.7</v>
      </c>
      <c r="G1611" s="4" t="str">
        <f>HYPERLINK("http://141.218.60.56/~jnz1568/getInfo.php?workbook=14_04.xlsx&amp;sheet=U0&amp;row=1611&amp;col=7&amp;number=0.00221&amp;sourceID=14","0.00221")</f>
        <v>0.00221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HYPERLINK("http://141.218.60.56/~jnz1568/getInfo.php?workbook=14_04.xlsx&amp;sheet=U0&amp;row=1612&amp;col=6&amp;number=3.8&amp;sourceID=14","3.8")</f>
        <v>3.8</v>
      </c>
      <c r="G1612" s="4" t="str">
        <f>HYPERLINK("http://141.218.60.56/~jnz1568/getInfo.php?workbook=14_04.xlsx&amp;sheet=U0&amp;row=1612&amp;col=7&amp;number=0.00221&amp;sourceID=14","0.00221")</f>
        <v>0.00221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HYPERLINK("http://141.218.60.56/~jnz1568/getInfo.php?workbook=14_04.xlsx&amp;sheet=U0&amp;row=1613&amp;col=6&amp;number=3.9&amp;sourceID=14","3.9")</f>
        <v>3.9</v>
      </c>
      <c r="G1613" s="4" t="str">
        <f>HYPERLINK("http://141.218.60.56/~jnz1568/getInfo.php?workbook=14_04.xlsx&amp;sheet=U0&amp;row=1613&amp;col=7&amp;number=0.00221&amp;sourceID=14","0.00221")</f>
        <v>0.00221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HYPERLINK("http://141.218.60.56/~jnz1568/getInfo.php?workbook=14_04.xlsx&amp;sheet=U0&amp;row=1614&amp;col=6&amp;number=4&amp;sourceID=14","4")</f>
        <v>4</v>
      </c>
      <c r="G1614" s="4" t="str">
        <f>HYPERLINK("http://141.218.60.56/~jnz1568/getInfo.php?workbook=14_04.xlsx&amp;sheet=U0&amp;row=1614&amp;col=7&amp;number=0.00221&amp;sourceID=14","0.00221")</f>
        <v>0.00221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HYPERLINK("http://141.218.60.56/~jnz1568/getInfo.php?workbook=14_04.xlsx&amp;sheet=U0&amp;row=1615&amp;col=6&amp;number=4.1&amp;sourceID=14","4.1")</f>
        <v>4.1</v>
      </c>
      <c r="G1615" s="4" t="str">
        <f>HYPERLINK("http://141.218.60.56/~jnz1568/getInfo.php?workbook=14_04.xlsx&amp;sheet=U0&amp;row=1615&amp;col=7&amp;number=0.00222&amp;sourceID=14","0.00222")</f>
        <v>0.00222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HYPERLINK("http://141.218.60.56/~jnz1568/getInfo.php?workbook=14_04.xlsx&amp;sheet=U0&amp;row=1616&amp;col=6&amp;number=4.2&amp;sourceID=14","4.2")</f>
        <v>4.2</v>
      </c>
      <c r="G1616" s="4" t="str">
        <f>HYPERLINK("http://141.218.60.56/~jnz1568/getInfo.php?workbook=14_04.xlsx&amp;sheet=U0&amp;row=1616&amp;col=7&amp;number=0.00222&amp;sourceID=14","0.00222")</f>
        <v>0.00222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HYPERLINK("http://141.218.60.56/~jnz1568/getInfo.php?workbook=14_04.xlsx&amp;sheet=U0&amp;row=1617&amp;col=6&amp;number=4.3&amp;sourceID=14","4.3")</f>
        <v>4.3</v>
      </c>
      <c r="G1617" s="4" t="str">
        <f>HYPERLINK("http://141.218.60.56/~jnz1568/getInfo.php?workbook=14_04.xlsx&amp;sheet=U0&amp;row=1617&amp;col=7&amp;number=0.00222&amp;sourceID=14","0.00222")</f>
        <v>0.00222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HYPERLINK("http://141.218.60.56/~jnz1568/getInfo.php?workbook=14_04.xlsx&amp;sheet=U0&amp;row=1618&amp;col=6&amp;number=4.4&amp;sourceID=14","4.4")</f>
        <v>4.4</v>
      </c>
      <c r="G1618" s="4" t="str">
        <f>HYPERLINK("http://141.218.60.56/~jnz1568/getInfo.php?workbook=14_04.xlsx&amp;sheet=U0&amp;row=1618&amp;col=7&amp;number=0.00222&amp;sourceID=14","0.00222")</f>
        <v>0.00222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HYPERLINK("http://141.218.60.56/~jnz1568/getInfo.php?workbook=14_04.xlsx&amp;sheet=U0&amp;row=1619&amp;col=6&amp;number=4.5&amp;sourceID=14","4.5")</f>
        <v>4.5</v>
      </c>
      <c r="G1619" s="4" t="str">
        <f>HYPERLINK("http://141.218.60.56/~jnz1568/getInfo.php?workbook=14_04.xlsx&amp;sheet=U0&amp;row=1619&amp;col=7&amp;number=0.00223&amp;sourceID=14","0.00223")</f>
        <v>0.00223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HYPERLINK("http://141.218.60.56/~jnz1568/getInfo.php?workbook=14_04.xlsx&amp;sheet=U0&amp;row=1620&amp;col=6&amp;number=4.6&amp;sourceID=14","4.6")</f>
        <v>4.6</v>
      </c>
      <c r="G1620" s="4" t="str">
        <f>HYPERLINK("http://141.218.60.56/~jnz1568/getInfo.php?workbook=14_04.xlsx&amp;sheet=U0&amp;row=1620&amp;col=7&amp;number=0.00224&amp;sourceID=14","0.00224")</f>
        <v>0.00224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HYPERLINK("http://141.218.60.56/~jnz1568/getInfo.php?workbook=14_04.xlsx&amp;sheet=U0&amp;row=1621&amp;col=6&amp;number=4.7&amp;sourceID=14","4.7")</f>
        <v>4.7</v>
      </c>
      <c r="G1621" s="4" t="str">
        <f>HYPERLINK("http://141.218.60.56/~jnz1568/getInfo.php?workbook=14_04.xlsx&amp;sheet=U0&amp;row=1621&amp;col=7&amp;number=0.00224&amp;sourceID=14","0.00224")</f>
        <v>0.00224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HYPERLINK("http://141.218.60.56/~jnz1568/getInfo.php?workbook=14_04.xlsx&amp;sheet=U0&amp;row=1622&amp;col=6&amp;number=4.8&amp;sourceID=14","4.8")</f>
        <v>4.8</v>
      </c>
      <c r="G1622" s="4" t="str">
        <f>HYPERLINK("http://141.218.60.56/~jnz1568/getInfo.php?workbook=14_04.xlsx&amp;sheet=U0&amp;row=1622&amp;col=7&amp;number=0.00225&amp;sourceID=14","0.00225")</f>
        <v>0.00225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HYPERLINK("http://141.218.60.56/~jnz1568/getInfo.php?workbook=14_04.xlsx&amp;sheet=U0&amp;row=1623&amp;col=6&amp;number=4.9&amp;sourceID=14","4.9")</f>
        <v>4.9</v>
      </c>
      <c r="G1623" s="4" t="str">
        <f>HYPERLINK("http://141.218.60.56/~jnz1568/getInfo.php?workbook=14_04.xlsx&amp;sheet=U0&amp;row=1623&amp;col=7&amp;number=0.00226&amp;sourceID=14","0.00226")</f>
        <v>0.00226</v>
      </c>
    </row>
    <row r="1624" spans="1:7">
      <c r="A1624" s="3">
        <v>14</v>
      </c>
      <c r="B1624" s="3">
        <v>4</v>
      </c>
      <c r="C1624" s="3">
        <v>1</v>
      </c>
      <c r="D1624" s="3">
        <v>47</v>
      </c>
      <c r="E1624" s="3">
        <v>1</v>
      </c>
      <c r="F1624" s="4" t="str">
        <f>HYPERLINK("http://141.218.60.56/~jnz1568/getInfo.php?workbook=14_04.xlsx&amp;sheet=U0&amp;row=1624&amp;col=6&amp;number=3&amp;sourceID=14","3")</f>
        <v>3</v>
      </c>
      <c r="G1624" s="4" t="str">
        <f>HYPERLINK("http://141.218.60.56/~jnz1568/getInfo.php?workbook=14_04.xlsx&amp;sheet=U0&amp;row=1624&amp;col=7&amp;number=0.00134&amp;sourceID=14","0.00134")</f>
        <v>0.00134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HYPERLINK("http://141.218.60.56/~jnz1568/getInfo.php?workbook=14_04.xlsx&amp;sheet=U0&amp;row=1625&amp;col=6&amp;number=3.1&amp;sourceID=14","3.1")</f>
        <v>3.1</v>
      </c>
      <c r="G1625" s="4" t="str">
        <f>HYPERLINK("http://141.218.60.56/~jnz1568/getInfo.php?workbook=14_04.xlsx&amp;sheet=U0&amp;row=1625&amp;col=7&amp;number=0.00134&amp;sourceID=14","0.00134")</f>
        <v>0.00134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HYPERLINK("http://141.218.60.56/~jnz1568/getInfo.php?workbook=14_04.xlsx&amp;sheet=U0&amp;row=1626&amp;col=6&amp;number=3.2&amp;sourceID=14","3.2")</f>
        <v>3.2</v>
      </c>
      <c r="G1626" s="4" t="str">
        <f>HYPERLINK("http://141.218.60.56/~jnz1568/getInfo.php?workbook=14_04.xlsx&amp;sheet=U0&amp;row=1626&amp;col=7&amp;number=0.00134&amp;sourceID=14","0.00134")</f>
        <v>0.00134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HYPERLINK("http://141.218.60.56/~jnz1568/getInfo.php?workbook=14_04.xlsx&amp;sheet=U0&amp;row=1627&amp;col=6&amp;number=3.3&amp;sourceID=14","3.3")</f>
        <v>3.3</v>
      </c>
      <c r="G1627" s="4" t="str">
        <f>HYPERLINK("http://141.218.60.56/~jnz1568/getInfo.php?workbook=14_04.xlsx&amp;sheet=U0&amp;row=1627&amp;col=7&amp;number=0.00134&amp;sourceID=14","0.00134")</f>
        <v>0.00134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HYPERLINK("http://141.218.60.56/~jnz1568/getInfo.php?workbook=14_04.xlsx&amp;sheet=U0&amp;row=1628&amp;col=6&amp;number=3.4&amp;sourceID=14","3.4")</f>
        <v>3.4</v>
      </c>
      <c r="G1628" s="4" t="str">
        <f>HYPERLINK("http://141.218.60.56/~jnz1568/getInfo.php?workbook=14_04.xlsx&amp;sheet=U0&amp;row=1628&amp;col=7&amp;number=0.00134&amp;sourceID=14","0.00134")</f>
        <v>0.00134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HYPERLINK("http://141.218.60.56/~jnz1568/getInfo.php?workbook=14_04.xlsx&amp;sheet=U0&amp;row=1629&amp;col=6&amp;number=3.5&amp;sourceID=14","3.5")</f>
        <v>3.5</v>
      </c>
      <c r="G1629" s="4" t="str">
        <f>HYPERLINK("http://141.218.60.56/~jnz1568/getInfo.php?workbook=14_04.xlsx&amp;sheet=U0&amp;row=1629&amp;col=7&amp;number=0.00134&amp;sourceID=14","0.00134")</f>
        <v>0.00134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HYPERLINK("http://141.218.60.56/~jnz1568/getInfo.php?workbook=14_04.xlsx&amp;sheet=U0&amp;row=1630&amp;col=6&amp;number=3.6&amp;sourceID=14","3.6")</f>
        <v>3.6</v>
      </c>
      <c r="G1630" s="4" t="str">
        <f>HYPERLINK("http://141.218.60.56/~jnz1568/getInfo.php?workbook=14_04.xlsx&amp;sheet=U0&amp;row=1630&amp;col=7&amp;number=0.00134&amp;sourceID=14","0.00134")</f>
        <v>0.00134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HYPERLINK("http://141.218.60.56/~jnz1568/getInfo.php?workbook=14_04.xlsx&amp;sheet=U0&amp;row=1631&amp;col=6&amp;number=3.7&amp;sourceID=14","3.7")</f>
        <v>3.7</v>
      </c>
      <c r="G1631" s="4" t="str">
        <f>HYPERLINK("http://141.218.60.56/~jnz1568/getInfo.php?workbook=14_04.xlsx&amp;sheet=U0&amp;row=1631&amp;col=7&amp;number=0.00134&amp;sourceID=14","0.00134")</f>
        <v>0.00134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HYPERLINK("http://141.218.60.56/~jnz1568/getInfo.php?workbook=14_04.xlsx&amp;sheet=U0&amp;row=1632&amp;col=6&amp;number=3.8&amp;sourceID=14","3.8")</f>
        <v>3.8</v>
      </c>
      <c r="G1632" s="4" t="str">
        <f>HYPERLINK("http://141.218.60.56/~jnz1568/getInfo.php?workbook=14_04.xlsx&amp;sheet=U0&amp;row=1632&amp;col=7&amp;number=0.00134&amp;sourceID=14","0.00134")</f>
        <v>0.00134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HYPERLINK("http://141.218.60.56/~jnz1568/getInfo.php?workbook=14_04.xlsx&amp;sheet=U0&amp;row=1633&amp;col=6&amp;number=3.9&amp;sourceID=14","3.9")</f>
        <v>3.9</v>
      </c>
      <c r="G1633" s="4" t="str">
        <f>HYPERLINK("http://141.218.60.56/~jnz1568/getInfo.php?workbook=14_04.xlsx&amp;sheet=U0&amp;row=1633&amp;col=7&amp;number=0.00134&amp;sourceID=14","0.00134")</f>
        <v>0.00134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HYPERLINK("http://141.218.60.56/~jnz1568/getInfo.php?workbook=14_04.xlsx&amp;sheet=U0&amp;row=1634&amp;col=6&amp;number=4&amp;sourceID=14","4")</f>
        <v>4</v>
      </c>
      <c r="G1634" s="4" t="str">
        <f>HYPERLINK("http://141.218.60.56/~jnz1568/getInfo.php?workbook=14_04.xlsx&amp;sheet=U0&amp;row=1634&amp;col=7&amp;number=0.00134&amp;sourceID=14","0.00134")</f>
        <v>0.00134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HYPERLINK("http://141.218.60.56/~jnz1568/getInfo.php?workbook=14_04.xlsx&amp;sheet=U0&amp;row=1635&amp;col=6&amp;number=4.1&amp;sourceID=14","4.1")</f>
        <v>4.1</v>
      </c>
      <c r="G1635" s="4" t="str">
        <f>HYPERLINK("http://141.218.60.56/~jnz1568/getInfo.php?workbook=14_04.xlsx&amp;sheet=U0&amp;row=1635&amp;col=7&amp;number=0.00134&amp;sourceID=14","0.00134")</f>
        <v>0.00134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HYPERLINK("http://141.218.60.56/~jnz1568/getInfo.php?workbook=14_04.xlsx&amp;sheet=U0&amp;row=1636&amp;col=6&amp;number=4.2&amp;sourceID=14","4.2")</f>
        <v>4.2</v>
      </c>
      <c r="G1636" s="4" t="str">
        <f>HYPERLINK("http://141.218.60.56/~jnz1568/getInfo.php?workbook=14_04.xlsx&amp;sheet=U0&amp;row=1636&amp;col=7&amp;number=0.00134&amp;sourceID=14","0.00134")</f>
        <v>0.00134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HYPERLINK("http://141.218.60.56/~jnz1568/getInfo.php?workbook=14_04.xlsx&amp;sheet=U0&amp;row=1637&amp;col=6&amp;number=4.3&amp;sourceID=14","4.3")</f>
        <v>4.3</v>
      </c>
      <c r="G1637" s="4" t="str">
        <f>HYPERLINK("http://141.218.60.56/~jnz1568/getInfo.php?workbook=14_04.xlsx&amp;sheet=U0&amp;row=1637&amp;col=7&amp;number=0.00133&amp;sourceID=14","0.00133")</f>
        <v>0.00133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HYPERLINK("http://141.218.60.56/~jnz1568/getInfo.php?workbook=14_04.xlsx&amp;sheet=U0&amp;row=1638&amp;col=6&amp;number=4.4&amp;sourceID=14","4.4")</f>
        <v>4.4</v>
      </c>
      <c r="G1638" s="4" t="str">
        <f>HYPERLINK("http://141.218.60.56/~jnz1568/getInfo.php?workbook=14_04.xlsx&amp;sheet=U0&amp;row=1638&amp;col=7&amp;number=0.00133&amp;sourceID=14","0.00133")</f>
        <v>0.00133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HYPERLINK("http://141.218.60.56/~jnz1568/getInfo.php?workbook=14_04.xlsx&amp;sheet=U0&amp;row=1639&amp;col=6&amp;number=4.5&amp;sourceID=14","4.5")</f>
        <v>4.5</v>
      </c>
      <c r="G1639" s="4" t="str">
        <f>HYPERLINK("http://141.218.60.56/~jnz1568/getInfo.php?workbook=14_04.xlsx&amp;sheet=U0&amp;row=1639&amp;col=7&amp;number=0.00133&amp;sourceID=14","0.00133")</f>
        <v>0.00133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HYPERLINK("http://141.218.60.56/~jnz1568/getInfo.php?workbook=14_04.xlsx&amp;sheet=U0&amp;row=1640&amp;col=6&amp;number=4.6&amp;sourceID=14","4.6")</f>
        <v>4.6</v>
      </c>
      <c r="G1640" s="4" t="str">
        <f>HYPERLINK("http://141.218.60.56/~jnz1568/getInfo.php?workbook=14_04.xlsx&amp;sheet=U0&amp;row=1640&amp;col=7&amp;number=0.00133&amp;sourceID=14","0.00133")</f>
        <v>0.00133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HYPERLINK("http://141.218.60.56/~jnz1568/getInfo.php?workbook=14_04.xlsx&amp;sheet=U0&amp;row=1641&amp;col=6&amp;number=4.7&amp;sourceID=14","4.7")</f>
        <v>4.7</v>
      </c>
      <c r="G1641" s="4" t="str">
        <f>HYPERLINK("http://141.218.60.56/~jnz1568/getInfo.php?workbook=14_04.xlsx&amp;sheet=U0&amp;row=1641&amp;col=7&amp;number=0.00132&amp;sourceID=14","0.00132")</f>
        <v>0.00132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HYPERLINK("http://141.218.60.56/~jnz1568/getInfo.php?workbook=14_04.xlsx&amp;sheet=U0&amp;row=1642&amp;col=6&amp;number=4.8&amp;sourceID=14","4.8")</f>
        <v>4.8</v>
      </c>
      <c r="G1642" s="4" t="str">
        <f>HYPERLINK("http://141.218.60.56/~jnz1568/getInfo.php?workbook=14_04.xlsx&amp;sheet=U0&amp;row=1642&amp;col=7&amp;number=0.00132&amp;sourceID=14","0.00132")</f>
        <v>0.00132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HYPERLINK("http://141.218.60.56/~jnz1568/getInfo.php?workbook=14_04.xlsx&amp;sheet=U0&amp;row=1643&amp;col=6&amp;number=4.9&amp;sourceID=14","4.9")</f>
        <v>4.9</v>
      </c>
      <c r="G1643" s="4" t="str">
        <f>HYPERLINK("http://141.218.60.56/~jnz1568/getInfo.php?workbook=14_04.xlsx&amp;sheet=U0&amp;row=1643&amp;col=7&amp;number=0.00131&amp;sourceID=14","0.00131")</f>
        <v>0.00131</v>
      </c>
    </row>
    <row r="1644" spans="1:7">
      <c r="A1644" s="3">
        <v>14</v>
      </c>
      <c r="B1644" s="3">
        <v>4</v>
      </c>
      <c r="C1644" s="3">
        <v>1</v>
      </c>
      <c r="D1644" s="3">
        <v>48</v>
      </c>
      <c r="E1644" s="3">
        <v>1</v>
      </c>
      <c r="F1644" s="4" t="str">
        <f>HYPERLINK("http://141.218.60.56/~jnz1568/getInfo.php?workbook=14_04.xlsx&amp;sheet=U0&amp;row=1644&amp;col=6&amp;number=3&amp;sourceID=14","3")</f>
        <v>3</v>
      </c>
      <c r="G1644" s="4" t="str">
        <f>HYPERLINK("http://141.218.60.56/~jnz1568/getInfo.php?workbook=14_04.xlsx&amp;sheet=U0&amp;row=1644&amp;col=7&amp;number=0.0081&amp;sourceID=14","0.0081")</f>
        <v>0.0081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HYPERLINK("http://141.218.60.56/~jnz1568/getInfo.php?workbook=14_04.xlsx&amp;sheet=U0&amp;row=1645&amp;col=6&amp;number=3.1&amp;sourceID=14","3.1")</f>
        <v>3.1</v>
      </c>
      <c r="G1645" s="4" t="str">
        <f>HYPERLINK("http://141.218.60.56/~jnz1568/getInfo.php?workbook=14_04.xlsx&amp;sheet=U0&amp;row=1645&amp;col=7&amp;number=0.0081&amp;sourceID=14","0.0081")</f>
        <v>0.0081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HYPERLINK("http://141.218.60.56/~jnz1568/getInfo.php?workbook=14_04.xlsx&amp;sheet=U0&amp;row=1646&amp;col=6&amp;number=3.2&amp;sourceID=14","3.2")</f>
        <v>3.2</v>
      </c>
      <c r="G1646" s="4" t="str">
        <f>HYPERLINK("http://141.218.60.56/~jnz1568/getInfo.php?workbook=14_04.xlsx&amp;sheet=U0&amp;row=1646&amp;col=7&amp;number=0.0081&amp;sourceID=14","0.0081")</f>
        <v>0.0081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HYPERLINK("http://141.218.60.56/~jnz1568/getInfo.php?workbook=14_04.xlsx&amp;sheet=U0&amp;row=1647&amp;col=6&amp;number=3.3&amp;sourceID=14","3.3")</f>
        <v>3.3</v>
      </c>
      <c r="G1647" s="4" t="str">
        <f>HYPERLINK("http://141.218.60.56/~jnz1568/getInfo.php?workbook=14_04.xlsx&amp;sheet=U0&amp;row=1647&amp;col=7&amp;number=0.0081&amp;sourceID=14","0.0081")</f>
        <v>0.0081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HYPERLINK("http://141.218.60.56/~jnz1568/getInfo.php?workbook=14_04.xlsx&amp;sheet=U0&amp;row=1648&amp;col=6&amp;number=3.4&amp;sourceID=14","3.4")</f>
        <v>3.4</v>
      </c>
      <c r="G1648" s="4" t="str">
        <f>HYPERLINK("http://141.218.60.56/~jnz1568/getInfo.php?workbook=14_04.xlsx&amp;sheet=U0&amp;row=1648&amp;col=7&amp;number=0.0081&amp;sourceID=14","0.0081")</f>
        <v>0.0081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HYPERLINK("http://141.218.60.56/~jnz1568/getInfo.php?workbook=14_04.xlsx&amp;sheet=U0&amp;row=1649&amp;col=6&amp;number=3.5&amp;sourceID=14","3.5")</f>
        <v>3.5</v>
      </c>
      <c r="G1649" s="4" t="str">
        <f>HYPERLINK("http://141.218.60.56/~jnz1568/getInfo.php?workbook=14_04.xlsx&amp;sheet=U0&amp;row=1649&amp;col=7&amp;number=0.0081&amp;sourceID=14","0.0081")</f>
        <v>0.0081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HYPERLINK("http://141.218.60.56/~jnz1568/getInfo.php?workbook=14_04.xlsx&amp;sheet=U0&amp;row=1650&amp;col=6&amp;number=3.6&amp;sourceID=14","3.6")</f>
        <v>3.6</v>
      </c>
      <c r="G1650" s="4" t="str">
        <f>HYPERLINK("http://141.218.60.56/~jnz1568/getInfo.php?workbook=14_04.xlsx&amp;sheet=U0&amp;row=1650&amp;col=7&amp;number=0.0081&amp;sourceID=14","0.0081")</f>
        <v>0.0081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HYPERLINK("http://141.218.60.56/~jnz1568/getInfo.php?workbook=14_04.xlsx&amp;sheet=U0&amp;row=1651&amp;col=6&amp;number=3.7&amp;sourceID=14","3.7")</f>
        <v>3.7</v>
      </c>
      <c r="G1651" s="4" t="str">
        <f>HYPERLINK("http://141.218.60.56/~jnz1568/getInfo.php?workbook=14_04.xlsx&amp;sheet=U0&amp;row=1651&amp;col=7&amp;number=0.0081&amp;sourceID=14","0.0081")</f>
        <v>0.0081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HYPERLINK("http://141.218.60.56/~jnz1568/getInfo.php?workbook=14_04.xlsx&amp;sheet=U0&amp;row=1652&amp;col=6&amp;number=3.8&amp;sourceID=14","3.8")</f>
        <v>3.8</v>
      </c>
      <c r="G1652" s="4" t="str">
        <f>HYPERLINK("http://141.218.60.56/~jnz1568/getInfo.php?workbook=14_04.xlsx&amp;sheet=U0&amp;row=1652&amp;col=7&amp;number=0.0081&amp;sourceID=14","0.0081")</f>
        <v>0.0081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HYPERLINK("http://141.218.60.56/~jnz1568/getInfo.php?workbook=14_04.xlsx&amp;sheet=U0&amp;row=1653&amp;col=6&amp;number=3.9&amp;sourceID=14","3.9")</f>
        <v>3.9</v>
      </c>
      <c r="G1653" s="4" t="str">
        <f>HYPERLINK("http://141.218.60.56/~jnz1568/getInfo.php?workbook=14_04.xlsx&amp;sheet=U0&amp;row=1653&amp;col=7&amp;number=0.0081&amp;sourceID=14","0.0081")</f>
        <v>0.0081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HYPERLINK("http://141.218.60.56/~jnz1568/getInfo.php?workbook=14_04.xlsx&amp;sheet=U0&amp;row=1654&amp;col=6&amp;number=4&amp;sourceID=14","4")</f>
        <v>4</v>
      </c>
      <c r="G1654" s="4" t="str">
        <f>HYPERLINK("http://141.218.60.56/~jnz1568/getInfo.php?workbook=14_04.xlsx&amp;sheet=U0&amp;row=1654&amp;col=7&amp;number=0.00811&amp;sourceID=14","0.00811")</f>
        <v>0.00811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HYPERLINK("http://141.218.60.56/~jnz1568/getInfo.php?workbook=14_04.xlsx&amp;sheet=U0&amp;row=1655&amp;col=6&amp;number=4.1&amp;sourceID=14","4.1")</f>
        <v>4.1</v>
      </c>
      <c r="G1655" s="4" t="str">
        <f>HYPERLINK("http://141.218.60.56/~jnz1568/getInfo.php?workbook=14_04.xlsx&amp;sheet=U0&amp;row=1655&amp;col=7&amp;number=0.00811&amp;sourceID=14","0.00811")</f>
        <v>0.00811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HYPERLINK("http://141.218.60.56/~jnz1568/getInfo.php?workbook=14_04.xlsx&amp;sheet=U0&amp;row=1656&amp;col=6&amp;number=4.2&amp;sourceID=14","4.2")</f>
        <v>4.2</v>
      </c>
      <c r="G1656" s="4" t="str">
        <f>HYPERLINK("http://141.218.60.56/~jnz1568/getInfo.php?workbook=14_04.xlsx&amp;sheet=U0&amp;row=1656&amp;col=7&amp;number=0.00811&amp;sourceID=14","0.00811")</f>
        <v>0.00811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HYPERLINK("http://141.218.60.56/~jnz1568/getInfo.php?workbook=14_04.xlsx&amp;sheet=U0&amp;row=1657&amp;col=6&amp;number=4.3&amp;sourceID=14","4.3")</f>
        <v>4.3</v>
      </c>
      <c r="G1657" s="4" t="str">
        <f>HYPERLINK("http://141.218.60.56/~jnz1568/getInfo.php?workbook=14_04.xlsx&amp;sheet=U0&amp;row=1657&amp;col=7&amp;number=0.00811&amp;sourceID=14","0.00811")</f>
        <v>0.00811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HYPERLINK("http://141.218.60.56/~jnz1568/getInfo.php?workbook=14_04.xlsx&amp;sheet=U0&amp;row=1658&amp;col=6&amp;number=4.4&amp;sourceID=14","4.4")</f>
        <v>4.4</v>
      </c>
      <c r="G1658" s="4" t="str">
        <f>HYPERLINK("http://141.218.60.56/~jnz1568/getInfo.php?workbook=14_04.xlsx&amp;sheet=U0&amp;row=1658&amp;col=7&amp;number=0.00812&amp;sourceID=14","0.00812")</f>
        <v>0.00812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HYPERLINK("http://141.218.60.56/~jnz1568/getInfo.php?workbook=14_04.xlsx&amp;sheet=U0&amp;row=1659&amp;col=6&amp;number=4.5&amp;sourceID=14","4.5")</f>
        <v>4.5</v>
      </c>
      <c r="G1659" s="4" t="str">
        <f>HYPERLINK("http://141.218.60.56/~jnz1568/getInfo.php?workbook=14_04.xlsx&amp;sheet=U0&amp;row=1659&amp;col=7&amp;number=0.00812&amp;sourceID=14","0.00812")</f>
        <v>0.00812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HYPERLINK("http://141.218.60.56/~jnz1568/getInfo.php?workbook=14_04.xlsx&amp;sheet=U0&amp;row=1660&amp;col=6&amp;number=4.6&amp;sourceID=14","4.6")</f>
        <v>4.6</v>
      </c>
      <c r="G1660" s="4" t="str">
        <f>HYPERLINK("http://141.218.60.56/~jnz1568/getInfo.php?workbook=14_04.xlsx&amp;sheet=U0&amp;row=1660&amp;col=7&amp;number=0.00813&amp;sourceID=14","0.00813")</f>
        <v>0.00813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HYPERLINK("http://141.218.60.56/~jnz1568/getInfo.php?workbook=14_04.xlsx&amp;sheet=U0&amp;row=1661&amp;col=6&amp;number=4.7&amp;sourceID=14","4.7")</f>
        <v>4.7</v>
      </c>
      <c r="G1661" s="4" t="str">
        <f>HYPERLINK("http://141.218.60.56/~jnz1568/getInfo.php?workbook=14_04.xlsx&amp;sheet=U0&amp;row=1661&amp;col=7&amp;number=0.00813&amp;sourceID=14","0.00813")</f>
        <v>0.00813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HYPERLINK("http://141.218.60.56/~jnz1568/getInfo.php?workbook=14_04.xlsx&amp;sheet=U0&amp;row=1662&amp;col=6&amp;number=4.8&amp;sourceID=14","4.8")</f>
        <v>4.8</v>
      </c>
      <c r="G1662" s="4" t="str">
        <f>HYPERLINK("http://141.218.60.56/~jnz1568/getInfo.php?workbook=14_04.xlsx&amp;sheet=U0&amp;row=1662&amp;col=7&amp;number=0.00814&amp;sourceID=14","0.00814")</f>
        <v>0.00814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HYPERLINK("http://141.218.60.56/~jnz1568/getInfo.php?workbook=14_04.xlsx&amp;sheet=U0&amp;row=1663&amp;col=6&amp;number=4.9&amp;sourceID=14","4.9")</f>
        <v>4.9</v>
      </c>
      <c r="G1663" s="4" t="str">
        <f>HYPERLINK("http://141.218.60.56/~jnz1568/getInfo.php?workbook=14_04.xlsx&amp;sheet=U0&amp;row=1663&amp;col=7&amp;number=0.00816&amp;sourceID=14","0.00816")</f>
        <v>0.00816</v>
      </c>
    </row>
    <row r="1664" spans="1:7">
      <c r="A1664" s="3">
        <v>14</v>
      </c>
      <c r="B1664" s="3">
        <v>4</v>
      </c>
      <c r="C1664" s="3">
        <v>1</v>
      </c>
      <c r="D1664" s="3">
        <v>49</v>
      </c>
      <c r="E1664" s="3">
        <v>1</v>
      </c>
      <c r="F1664" s="4" t="str">
        <f>HYPERLINK("http://141.218.60.56/~jnz1568/getInfo.php?workbook=14_04.xlsx&amp;sheet=U0&amp;row=1664&amp;col=6&amp;number=3&amp;sourceID=14","3")</f>
        <v>3</v>
      </c>
      <c r="G1664" s="4" t="str">
        <f>HYPERLINK("http://141.218.60.56/~jnz1568/getInfo.php?workbook=14_04.xlsx&amp;sheet=U0&amp;row=1664&amp;col=7&amp;number=0.000412&amp;sourceID=14","0.000412")</f>
        <v>0.000412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HYPERLINK("http://141.218.60.56/~jnz1568/getInfo.php?workbook=14_04.xlsx&amp;sheet=U0&amp;row=1665&amp;col=6&amp;number=3.1&amp;sourceID=14","3.1")</f>
        <v>3.1</v>
      </c>
      <c r="G1665" s="4" t="str">
        <f>HYPERLINK("http://141.218.60.56/~jnz1568/getInfo.php?workbook=14_04.xlsx&amp;sheet=U0&amp;row=1665&amp;col=7&amp;number=0.000412&amp;sourceID=14","0.000412")</f>
        <v>0.000412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HYPERLINK("http://141.218.60.56/~jnz1568/getInfo.php?workbook=14_04.xlsx&amp;sheet=U0&amp;row=1666&amp;col=6&amp;number=3.2&amp;sourceID=14","3.2")</f>
        <v>3.2</v>
      </c>
      <c r="G1666" s="4" t="str">
        <f>HYPERLINK("http://141.218.60.56/~jnz1568/getInfo.php?workbook=14_04.xlsx&amp;sheet=U0&amp;row=1666&amp;col=7&amp;number=0.000412&amp;sourceID=14","0.000412")</f>
        <v>0.000412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HYPERLINK("http://141.218.60.56/~jnz1568/getInfo.php?workbook=14_04.xlsx&amp;sheet=U0&amp;row=1667&amp;col=6&amp;number=3.3&amp;sourceID=14","3.3")</f>
        <v>3.3</v>
      </c>
      <c r="G1667" s="4" t="str">
        <f>HYPERLINK("http://141.218.60.56/~jnz1568/getInfo.php?workbook=14_04.xlsx&amp;sheet=U0&amp;row=1667&amp;col=7&amp;number=0.000412&amp;sourceID=14","0.000412")</f>
        <v>0.000412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HYPERLINK("http://141.218.60.56/~jnz1568/getInfo.php?workbook=14_04.xlsx&amp;sheet=U0&amp;row=1668&amp;col=6&amp;number=3.4&amp;sourceID=14","3.4")</f>
        <v>3.4</v>
      </c>
      <c r="G1668" s="4" t="str">
        <f>HYPERLINK("http://141.218.60.56/~jnz1568/getInfo.php?workbook=14_04.xlsx&amp;sheet=U0&amp;row=1668&amp;col=7&amp;number=0.000412&amp;sourceID=14","0.000412")</f>
        <v>0.000412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HYPERLINK("http://141.218.60.56/~jnz1568/getInfo.php?workbook=14_04.xlsx&amp;sheet=U0&amp;row=1669&amp;col=6&amp;number=3.5&amp;sourceID=14","3.5")</f>
        <v>3.5</v>
      </c>
      <c r="G1669" s="4" t="str">
        <f>HYPERLINK("http://141.218.60.56/~jnz1568/getInfo.php?workbook=14_04.xlsx&amp;sheet=U0&amp;row=1669&amp;col=7&amp;number=0.000412&amp;sourceID=14","0.000412")</f>
        <v>0.000412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HYPERLINK("http://141.218.60.56/~jnz1568/getInfo.php?workbook=14_04.xlsx&amp;sheet=U0&amp;row=1670&amp;col=6&amp;number=3.6&amp;sourceID=14","3.6")</f>
        <v>3.6</v>
      </c>
      <c r="G1670" s="4" t="str">
        <f>HYPERLINK("http://141.218.60.56/~jnz1568/getInfo.php?workbook=14_04.xlsx&amp;sheet=U0&amp;row=1670&amp;col=7&amp;number=0.000412&amp;sourceID=14","0.000412")</f>
        <v>0.000412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HYPERLINK("http://141.218.60.56/~jnz1568/getInfo.php?workbook=14_04.xlsx&amp;sheet=U0&amp;row=1671&amp;col=6&amp;number=3.7&amp;sourceID=14","3.7")</f>
        <v>3.7</v>
      </c>
      <c r="G1671" s="4" t="str">
        <f>HYPERLINK("http://141.218.60.56/~jnz1568/getInfo.php?workbook=14_04.xlsx&amp;sheet=U0&amp;row=1671&amp;col=7&amp;number=0.000412&amp;sourceID=14","0.000412")</f>
        <v>0.000412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HYPERLINK("http://141.218.60.56/~jnz1568/getInfo.php?workbook=14_04.xlsx&amp;sheet=U0&amp;row=1672&amp;col=6&amp;number=3.8&amp;sourceID=14","3.8")</f>
        <v>3.8</v>
      </c>
      <c r="G1672" s="4" t="str">
        <f>HYPERLINK("http://141.218.60.56/~jnz1568/getInfo.php?workbook=14_04.xlsx&amp;sheet=U0&amp;row=1672&amp;col=7&amp;number=0.000412&amp;sourceID=14","0.000412")</f>
        <v>0.000412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HYPERLINK("http://141.218.60.56/~jnz1568/getInfo.php?workbook=14_04.xlsx&amp;sheet=U0&amp;row=1673&amp;col=6&amp;number=3.9&amp;sourceID=14","3.9")</f>
        <v>3.9</v>
      </c>
      <c r="G1673" s="4" t="str">
        <f>HYPERLINK("http://141.218.60.56/~jnz1568/getInfo.php?workbook=14_04.xlsx&amp;sheet=U0&amp;row=1673&amp;col=7&amp;number=0.000412&amp;sourceID=14","0.000412")</f>
        <v>0.000412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HYPERLINK("http://141.218.60.56/~jnz1568/getInfo.php?workbook=14_04.xlsx&amp;sheet=U0&amp;row=1674&amp;col=6&amp;number=4&amp;sourceID=14","4")</f>
        <v>4</v>
      </c>
      <c r="G1674" s="4" t="str">
        <f>HYPERLINK("http://141.218.60.56/~jnz1568/getInfo.php?workbook=14_04.xlsx&amp;sheet=U0&amp;row=1674&amp;col=7&amp;number=0.000411&amp;sourceID=14","0.000411")</f>
        <v>0.000411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HYPERLINK("http://141.218.60.56/~jnz1568/getInfo.php?workbook=14_04.xlsx&amp;sheet=U0&amp;row=1675&amp;col=6&amp;number=4.1&amp;sourceID=14","4.1")</f>
        <v>4.1</v>
      </c>
      <c r="G1675" s="4" t="str">
        <f>HYPERLINK("http://141.218.60.56/~jnz1568/getInfo.php?workbook=14_04.xlsx&amp;sheet=U0&amp;row=1675&amp;col=7&amp;number=0.000411&amp;sourceID=14","0.000411")</f>
        <v>0.000411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HYPERLINK("http://141.218.60.56/~jnz1568/getInfo.php?workbook=14_04.xlsx&amp;sheet=U0&amp;row=1676&amp;col=6&amp;number=4.2&amp;sourceID=14","4.2")</f>
        <v>4.2</v>
      </c>
      <c r="G1676" s="4" t="str">
        <f>HYPERLINK("http://141.218.60.56/~jnz1568/getInfo.php?workbook=14_04.xlsx&amp;sheet=U0&amp;row=1676&amp;col=7&amp;number=0.000411&amp;sourceID=14","0.000411")</f>
        <v>0.000411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HYPERLINK("http://141.218.60.56/~jnz1568/getInfo.php?workbook=14_04.xlsx&amp;sheet=U0&amp;row=1677&amp;col=6&amp;number=4.3&amp;sourceID=14","4.3")</f>
        <v>4.3</v>
      </c>
      <c r="G1677" s="4" t="str">
        <f>HYPERLINK("http://141.218.60.56/~jnz1568/getInfo.php?workbook=14_04.xlsx&amp;sheet=U0&amp;row=1677&amp;col=7&amp;number=0.000411&amp;sourceID=14","0.000411")</f>
        <v>0.000411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HYPERLINK("http://141.218.60.56/~jnz1568/getInfo.php?workbook=14_04.xlsx&amp;sheet=U0&amp;row=1678&amp;col=6&amp;number=4.4&amp;sourceID=14","4.4")</f>
        <v>4.4</v>
      </c>
      <c r="G1678" s="4" t="str">
        <f>HYPERLINK("http://141.218.60.56/~jnz1568/getInfo.php?workbook=14_04.xlsx&amp;sheet=U0&amp;row=1678&amp;col=7&amp;number=0.00041&amp;sourceID=14","0.00041")</f>
        <v>0.00041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HYPERLINK("http://141.218.60.56/~jnz1568/getInfo.php?workbook=14_04.xlsx&amp;sheet=U0&amp;row=1679&amp;col=6&amp;number=4.5&amp;sourceID=14","4.5")</f>
        <v>4.5</v>
      </c>
      <c r="G1679" s="4" t="str">
        <f>HYPERLINK("http://141.218.60.56/~jnz1568/getInfo.php?workbook=14_04.xlsx&amp;sheet=U0&amp;row=1679&amp;col=7&amp;number=0.00041&amp;sourceID=14","0.00041")</f>
        <v>0.00041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HYPERLINK("http://141.218.60.56/~jnz1568/getInfo.php?workbook=14_04.xlsx&amp;sheet=U0&amp;row=1680&amp;col=6&amp;number=4.6&amp;sourceID=14","4.6")</f>
        <v>4.6</v>
      </c>
      <c r="G1680" s="4" t="str">
        <f>HYPERLINK("http://141.218.60.56/~jnz1568/getInfo.php?workbook=14_04.xlsx&amp;sheet=U0&amp;row=1680&amp;col=7&amp;number=0.000409&amp;sourceID=14","0.000409")</f>
        <v>0.000409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HYPERLINK("http://141.218.60.56/~jnz1568/getInfo.php?workbook=14_04.xlsx&amp;sheet=U0&amp;row=1681&amp;col=6&amp;number=4.7&amp;sourceID=14","4.7")</f>
        <v>4.7</v>
      </c>
      <c r="G1681" s="4" t="str">
        <f>HYPERLINK("http://141.218.60.56/~jnz1568/getInfo.php?workbook=14_04.xlsx&amp;sheet=U0&amp;row=1681&amp;col=7&amp;number=0.000408&amp;sourceID=14","0.000408")</f>
        <v>0.000408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HYPERLINK("http://141.218.60.56/~jnz1568/getInfo.php?workbook=14_04.xlsx&amp;sheet=U0&amp;row=1682&amp;col=6&amp;number=4.8&amp;sourceID=14","4.8")</f>
        <v>4.8</v>
      </c>
      <c r="G1682" s="4" t="str">
        <f>HYPERLINK("http://141.218.60.56/~jnz1568/getInfo.php?workbook=14_04.xlsx&amp;sheet=U0&amp;row=1682&amp;col=7&amp;number=0.000407&amp;sourceID=14","0.000407")</f>
        <v>0.000407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HYPERLINK("http://141.218.60.56/~jnz1568/getInfo.php?workbook=14_04.xlsx&amp;sheet=U0&amp;row=1683&amp;col=6&amp;number=4.9&amp;sourceID=14","4.9")</f>
        <v>4.9</v>
      </c>
      <c r="G1683" s="4" t="str">
        <f>HYPERLINK("http://141.218.60.56/~jnz1568/getInfo.php?workbook=14_04.xlsx&amp;sheet=U0&amp;row=1683&amp;col=7&amp;number=0.000406&amp;sourceID=14","0.000406")</f>
        <v>0.000406</v>
      </c>
    </row>
    <row r="1684" spans="1:7">
      <c r="A1684" s="3">
        <v>14</v>
      </c>
      <c r="B1684" s="3">
        <v>4</v>
      </c>
      <c r="C1684" s="3">
        <v>1</v>
      </c>
      <c r="D1684" s="3">
        <v>50</v>
      </c>
      <c r="E1684" s="3">
        <v>1</v>
      </c>
      <c r="F1684" s="4" t="str">
        <f>HYPERLINK("http://141.218.60.56/~jnz1568/getInfo.php?workbook=14_04.xlsx&amp;sheet=U0&amp;row=1684&amp;col=6&amp;number=3&amp;sourceID=14","3")</f>
        <v>3</v>
      </c>
      <c r="G1684" s="4" t="str">
        <f>HYPERLINK("http://141.218.60.56/~jnz1568/getInfo.php?workbook=14_04.xlsx&amp;sheet=U0&amp;row=1684&amp;col=7&amp;number=0.00126&amp;sourceID=14","0.00126")</f>
        <v>0.00126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HYPERLINK("http://141.218.60.56/~jnz1568/getInfo.php?workbook=14_04.xlsx&amp;sheet=U0&amp;row=1685&amp;col=6&amp;number=3.1&amp;sourceID=14","3.1")</f>
        <v>3.1</v>
      </c>
      <c r="G1685" s="4" t="str">
        <f>HYPERLINK("http://141.218.60.56/~jnz1568/getInfo.php?workbook=14_04.xlsx&amp;sheet=U0&amp;row=1685&amp;col=7&amp;number=0.00126&amp;sourceID=14","0.00126")</f>
        <v>0.00126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HYPERLINK("http://141.218.60.56/~jnz1568/getInfo.php?workbook=14_04.xlsx&amp;sheet=U0&amp;row=1686&amp;col=6&amp;number=3.2&amp;sourceID=14","3.2")</f>
        <v>3.2</v>
      </c>
      <c r="G1686" s="4" t="str">
        <f>HYPERLINK("http://141.218.60.56/~jnz1568/getInfo.php?workbook=14_04.xlsx&amp;sheet=U0&amp;row=1686&amp;col=7&amp;number=0.00126&amp;sourceID=14","0.00126")</f>
        <v>0.00126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HYPERLINK("http://141.218.60.56/~jnz1568/getInfo.php?workbook=14_04.xlsx&amp;sheet=U0&amp;row=1687&amp;col=6&amp;number=3.3&amp;sourceID=14","3.3")</f>
        <v>3.3</v>
      </c>
      <c r="G1687" s="4" t="str">
        <f>HYPERLINK("http://141.218.60.56/~jnz1568/getInfo.php?workbook=14_04.xlsx&amp;sheet=U0&amp;row=1687&amp;col=7&amp;number=0.00126&amp;sourceID=14","0.00126")</f>
        <v>0.00126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HYPERLINK("http://141.218.60.56/~jnz1568/getInfo.php?workbook=14_04.xlsx&amp;sheet=U0&amp;row=1688&amp;col=6&amp;number=3.4&amp;sourceID=14","3.4")</f>
        <v>3.4</v>
      </c>
      <c r="G1688" s="4" t="str">
        <f>HYPERLINK("http://141.218.60.56/~jnz1568/getInfo.php?workbook=14_04.xlsx&amp;sheet=U0&amp;row=1688&amp;col=7&amp;number=0.00126&amp;sourceID=14","0.00126")</f>
        <v>0.00126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HYPERLINK("http://141.218.60.56/~jnz1568/getInfo.php?workbook=14_04.xlsx&amp;sheet=U0&amp;row=1689&amp;col=6&amp;number=3.5&amp;sourceID=14","3.5")</f>
        <v>3.5</v>
      </c>
      <c r="G1689" s="4" t="str">
        <f>HYPERLINK("http://141.218.60.56/~jnz1568/getInfo.php?workbook=14_04.xlsx&amp;sheet=U0&amp;row=1689&amp;col=7&amp;number=0.00126&amp;sourceID=14","0.00126")</f>
        <v>0.00126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HYPERLINK("http://141.218.60.56/~jnz1568/getInfo.php?workbook=14_04.xlsx&amp;sheet=U0&amp;row=1690&amp;col=6&amp;number=3.6&amp;sourceID=14","3.6")</f>
        <v>3.6</v>
      </c>
      <c r="G1690" s="4" t="str">
        <f>HYPERLINK("http://141.218.60.56/~jnz1568/getInfo.php?workbook=14_04.xlsx&amp;sheet=U0&amp;row=1690&amp;col=7&amp;number=0.00126&amp;sourceID=14","0.00126")</f>
        <v>0.00126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HYPERLINK("http://141.218.60.56/~jnz1568/getInfo.php?workbook=14_04.xlsx&amp;sheet=U0&amp;row=1691&amp;col=6&amp;number=3.7&amp;sourceID=14","3.7")</f>
        <v>3.7</v>
      </c>
      <c r="G1691" s="4" t="str">
        <f>HYPERLINK("http://141.218.60.56/~jnz1568/getInfo.php?workbook=14_04.xlsx&amp;sheet=U0&amp;row=1691&amp;col=7&amp;number=0.00126&amp;sourceID=14","0.00126")</f>
        <v>0.00126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HYPERLINK("http://141.218.60.56/~jnz1568/getInfo.php?workbook=14_04.xlsx&amp;sheet=U0&amp;row=1692&amp;col=6&amp;number=3.8&amp;sourceID=14","3.8")</f>
        <v>3.8</v>
      </c>
      <c r="G1692" s="4" t="str">
        <f>HYPERLINK("http://141.218.60.56/~jnz1568/getInfo.php?workbook=14_04.xlsx&amp;sheet=U0&amp;row=1692&amp;col=7&amp;number=0.00125&amp;sourceID=14","0.00125")</f>
        <v>0.00125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HYPERLINK("http://141.218.60.56/~jnz1568/getInfo.php?workbook=14_04.xlsx&amp;sheet=U0&amp;row=1693&amp;col=6&amp;number=3.9&amp;sourceID=14","3.9")</f>
        <v>3.9</v>
      </c>
      <c r="G1693" s="4" t="str">
        <f>HYPERLINK("http://141.218.60.56/~jnz1568/getInfo.php?workbook=14_04.xlsx&amp;sheet=U0&amp;row=1693&amp;col=7&amp;number=0.00125&amp;sourceID=14","0.00125")</f>
        <v>0.00125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HYPERLINK("http://141.218.60.56/~jnz1568/getInfo.php?workbook=14_04.xlsx&amp;sheet=U0&amp;row=1694&amp;col=6&amp;number=4&amp;sourceID=14","4")</f>
        <v>4</v>
      </c>
      <c r="G1694" s="4" t="str">
        <f>HYPERLINK("http://141.218.60.56/~jnz1568/getInfo.php?workbook=14_04.xlsx&amp;sheet=U0&amp;row=1694&amp;col=7&amp;number=0.00125&amp;sourceID=14","0.00125")</f>
        <v>0.00125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HYPERLINK("http://141.218.60.56/~jnz1568/getInfo.php?workbook=14_04.xlsx&amp;sheet=U0&amp;row=1695&amp;col=6&amp;number=4.1&amp;sourceID=14","4.1")</f>
        <v>4.1</v>
      </c>
      <c r="G1695" s="4" t="str">
        <f>HYPERLINK("http://141.218.60.56/~jnz1568/getInfo.php?workbook=14_04.xlsx&amp;sheet=U0&amp;row=1695&amp;col=7&amp;number=0.00125&amp;sourceID=14","0.00125")</f>
        <v>0.00125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HYPERLINK("http://141.218.60.56/~jnz1568/getInfo.php?workbook=14_04.xlsx&amp;sheet=U0&amp;row=1696&amp;col=6&amp;number=4.2&amp;sourceID=14","4.2")</f>
        <v>4.2</v>
      </c>
      <c r="G1696" s="4" t="str">
        <f>HYPERLINK("http://141.218.60.56/~jnz1568/getInfo.php?workbook=14_04.xlsx&amp;sheet=U0&amp;row=1696&amp;col=7&amp;number=0.00125&amp;sourceID=14","0.00125")</f>
        <v>0.00125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HYPERLINK("http://141.218.60.56/~jnz1568/getInfo.php?workbook=14_04.xlsx&amp;sheet=U0&amp;row=1697&amp;col=6&amp;number=4.3&amp;sourceID=14","4.3")</f>
        <v>4.3</v>
      </c>
      <c r="G1697" s="4" t="str">
        <f>HYPERLINK("http://141.218.60.56/~jnz1568/getInfo.php?workbook=14_04.xlsx&amp;sheet=U0&amp;row=1697&amp;col=7&amp;number=0.00125&amp;sourceID=14","0.00125")</f>
        <v>0.00125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HYPERLINK("http://141.218.60.56/~jnz1568/getInfo.php?workbook=14_04.xlsx&amp;sheet=U0&amp;row=1698&amp;col=6&amp;number=4.4&amp;sourceID=14","4.4")</f>
        <v>4.4</v>
      </c>
      <c r="G1698" s="4" t="str">
        <f>HYPERLINK("http://141.218.60.56/~jnz1568/getInfo.php?workbook=14_04.xlsx&amp;sheet=U0&amp;row=1698&amp;col=7&amp;number=0.00125&amp;sourceID=14","0.00125")</f>
        <v>0.00125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HYPERLINK("http://141.218.60.56/~jnz1568/getInfo.php?workbook=14_04.xlsx&amp;sheet=U0&amp;row=1699&amp;col=6&amp;number=4.5&amp;sourceID=14","4.5")</f>
        <v>4.5</v>
      </c>
      <c r="G1699" s="4" t="str">
        <f>HYPERLINK("http://141.218.60.56/~jnz1568/getInfo.php?workbook=14_04.xlsx&amp;sheet=U0&amp;row=1699&amp;col=7&amp;number=0.00125&amp;sourceID=14","0.00125")</f>
        <v>0.00125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HYPERLINK("http://141.218.60.56/~jnz1568/getInfo.php?workbook=14_04.xlsx&amp;sheet=U0&amp;row=1700&amp;col=6&amp;number=4.6&amp;sourceID=14","4.6")</f>
        <v>4.6</v>
      </c>
      <c r="G1700" s="4" t="str">
        <f>HYPERLINK("http://141.218.60.56/~jnz1568/getInfo.php?workbook=14_04.xlsx&amp;sheet=U0&amp;row=1700&amp;col=7&amp;number=0.00125&amp;sourceID=14","0.00125")</f>
        <v>0.00125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HYPERLINK("http://141.218.60.56/~jnz1568/getInfo.php?workbook=14_04.xlsx&amp;sheet=U0&amp;row=1701&amp;col=6&amp;number=4.7&amp;sourceID=14","4.7")</f>
        <v>4.7</v>
      </c>
      <c r="G1701" s="4" t="str">
        <f>HYPERLINK("http://141.218.60.56/~jnz1568/getInfo.php?workbook=14_04.xlsx&amp;sheet=U0&amp;row=1701&amp;col=7&amp;number=0.00125&amp;sourceID=14","0.00125")</f>
        <v>0.00125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HYPERLINK("http://141.218.60.56/~jnz1568/getInfo.php?workbook=14_04.xlsx&amp;sheet=U0&amp;row=1702&amp;col=6&amp;number=4.8&amp;sourceID=14","4.8")</f>
        <v>4.8</v>
      </c>
      <c r="G1702" s="4" t="str">
        <f>HYPERLINK("http://141.218.60.56/~jnz1568/getInfo.php?workbook=14_04.xlsx&amp;sheet=U0&amp;row=1702&amp;col=7&amp;number=0.00125&amp;sourceID=14","0.00125")</f>
        <v>0.00125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HYPERLINK("http://141.218.60.56/~jnz1568/getInfo.php?workbook=14_04.xlsx&amp;sheet=U0&amp;row=1703&amp;col=6&amp;number=4.9&amp;sourceID=14","4.9")</f>
        <v>4.9</v>
      </c>
      <c r="G1703" s="4" t="str">
        <f>HYPERLINK("http://141.218.60.56/~jnz1568/getInfo.php?workbook=14_04.xlsx&amp;sheet=U0&amp;row=1703&amp;col=7&amp;number=0.00124&amp;sourceID=14","0.00124")</f>
        <v>0.00124</v>
      </c>
    </row>
    <row r="1704" spans="1:7">
      <c r="A1704" s="3">
        <v>14</v>
      </c>
      <c r="B1704" s="3">
        <v>4</v>
      </c>
      <c r="C1704" s="3">
        <v>1</v>
      </c>
      <c r="D1704" s="3">
        <v>51</v>
      </c>
      <c r="E1704" s="3">
        <v>1</v>
      </c>
      <c r="F1704" s="4" t="str">
        <f>HYPERLINK("http://141.218.60.56/~jnz1568/getInfo.php?workbook=14_04.xlsx&amp;sheet=U0&amp;row=1704&amp;col=6&amp;number=3&amp;sourceID=14","3")</f>
        <v>3</v>
      </c>
      <c r="G1704" s="4" t="str">
        <f>HYPERLINK("http://141.218.60.56/~jnz1568/getInfo.php?workbook=14_04.xlsx&amp;sheet=U0&amp;row=1704&amp;col=7&amp;number=0.0025&amp;sourceID=14","0.0025")</f>
        <v>0.0025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HYPERLINK("http://141.218.60.56/~jnz1568/getInfo.php?workbook=14_04.xlsx&amp;sheet=U0&amp;row=1705&amp;col=6&amp;number=3.1&amp;sourceID=14","3.1")</f>
        <v>3.1</v>
      </c>
      <c r="G1705" s="4" t="str">
        <f>HYPERLINK("http://141.218.60.56/~jnz1568/getInfo.php?workbook=14_04.xlsx&amp;sheet=U0&amp;row=1705&amp;col=7&amp;number=0.0025&amp;sourceID=14","0.0025")</f>
        <v>0.0025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HYPERLINK("http://141.218.60.56/~jnz1568/getInfo.php?workbook=14_04.xlsx&amp;sheet=U0&amp;row=1706&amp;col=6&amp;number=3.2&amp;sourceID=14","3.2")</f>
        <v>3.2</v>
      </c>
      <c r="G1706" s="4" t="str">
        <f>HYPERLINK("http://141.218.60.56/~jnz1568/getInfo.php?workbook=14_04.xlsx&amp;sheet=U0&amp;row=1706&amp;col=7&amp;number=0.0025&amp;sourceID=14","0.0025")</f>
        <v>0.0025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HYPERLINK("http://141.218.60.56/~jnz1568/getInfo.php?workbook=14_04.xlsx&amp;sheet=U0&amp;row=1707&amp;col=6&amp;number=3.3&amp;sourceID=14","3.3")</f>
        <v>3.3</v>
      </c>
      <c r="G1707" s="4" t="str">
        <f>HYPERLINK("http://141.218.60.56/~jnz1568/getInfo.php?workbook=14_04.xlsx&amp;sheet=U0&amp;row=1707&amp;col=7&amp;number=0.0025&amp;sourceID=14","0.0025")</f>
        <v>0.0025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HYPERLINK("http://141.218.60.56/~jnz1568/getInfo.php?workbook=14_04.xlsx&amp;sheet=U0&amp;row=1708&amp;col=6&amp;number=3.4&amp;sourceID=14","3.4")</f>
        <v>3.4</v>
      </c>
      <c r="G1708" s="4" t="str">
        <f>HYPERLINK("http://141.218.60.56/~jnz1568/getInfo.php?workbook=14_04.xlsx&amp;sheet=U0&amp;row=1708&amp;col=7&amp;number=0.00249&amp;sourceID=14","0.00249")</f>
        <v>0.00249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HYPERLINK("http://141.218.60.56/~jnz1568/getInfo.php?workbook=14_04.xlsx&amp;sheet=U0&amp;row=1709&amp;col=6&amp;number=3.5&amp;sourceID=14","3.5")</f>
        <v>3.5</v>
      </c>
      <c r="G1709" s="4" t="str">
        <f>HYPERLINK("http://141.218.60.56/~jnz1568/getInfo.php?workbook=14_04.xlsx&amp;sheet=U0&amp;row=1709&amp;col=7&amp;number=0.00249&amp;sourceID=14","0.00249")</f>
        <v>0.00249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HYPERLINK("http://141.218.60.56/~jnz1568/getInfo.php?workbook=14_04.xlsx&amp;sheet=U0&amp;row=1710&amp;col=6&amp;number=3.6&amp;sourceID=14","3.6")</f>
        <v>3.6</v>
      </c>
      <c r="G1710" s="4" t="str">
        <f>HYPERLINK("http://141.218.60.56/~jnz1568/getInfo.php?workbook=14_04.xlsx&amp;sheet=U0&amp;row=1710&amp;col=7&amp;number=0.00249&amp;sourceID=14","0.00249")</f>
        <v>0.00249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HYPERLINK("http://141.218.60.56/~jnz1568/getInfo.php?workbook=14_04.xlsx&amp;sheet=U0&amp;row=1711&amp;col=6&amp;number=3.7&amp;sourceID=14","3.7")</f>
        <v>3.7</v>
      </c>
      <c r="G1711" s="4" t="str">
        <f>HYPERLINK("http://141.218.60.56/~jnz1568/getInfo.php?workbook=14_04.xlsx&amp;sheet=U0&amp;row=1711&amp;col=7&amp;number=0.00249&amp;sourceID=14","0.00249")</f>
        <v>0.00249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HYPERLINK("http://141.218.60.56/~jnz1568/getInfo.php?workbook=14_04.xlsx&amp;sheet=U0&amp;row=1712&amp;col=6&amp;number=3.8&amp;sourceID=14","3.8")</f>
        <v>3.8</v>
      </c>
      <c r="G1712" s="4" t="str">
        <f>HYPERLINK("http://141.218.60.56/~jnz1568/getInfo.php?workbook=14_04.xlsx&amp;sheet=U0&amp;row=1712&amp;col=7&amp;number=0.00249&amp;sourceID=14","0.00249")</f>
        <v>0.00249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HYPERLINK("http://141.218.60.56/~jnz1568/getInfo.php?workbook=14_04.xlsx&amp;sheet=U0&amp;row=1713&amp;col=6&amp;number=3.9&amp;sourceID=14","3.9")</f>
        <v>3.9</v>
      </c>
      <c r="G1713" s="4" t="str">
        <f>HYPERLINK("http://141.218.60.56/~jnz1568/getInfo.php?workbook=14_04.xlsx&amp;sheet=U0&amp;row=1713&amp;col=7&amp;number=0.00249&amp;sourceID=14","0.00249")</f>
        <v>0.00249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HYPERLINK("http://141.218.60.56/~jnz1568/getInfo.php?workbook=14_04.xlsx&amp;sheet=U0&amp;row=1714&amp;col=6&amp;number=4&amp;sourceID=14","4")</f>
        <v>4</v>
      </c>
      <c r="G1714" s="4" t="str">
        <f>HYPERLINK("http://141.218.60.56/~jnz1568/getInfo.php?workbook=14_04.xlsx&amp;sheet=U0&amp;row=1714&amp;col=7&amp;number=0.00249&amp;sourceID=14","0.00249")</f>
        <v>0.00249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HYPERLINK("http://141.218.60.56/~jnz1568/getInfo.php?workbook=14_04.xlsx&amp;sheet=U0&amp;row=1715&amp;col=6&amp;number=4.1&amp;sourceID=14","4.1")</f>
        <v>4.1</v>
      </c>
      <c r="G1715" s="4" t="str">
        <f>HYPERLINK("http://141.218.60.56/~jnz1568/getInfo.php?workbook=14_04.xlsx&amp;sheet=U0&amp;row=1715&amp;col=7&amp;number=0.00249&amp;sourceID=14","0.00249")</f>
        <v>0.00249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HYPERLINK("http://141.218.60.56/~jnz1568/getInfo.php?workbook=14_04.xlsx&amp;sheet=U0&amp;row=1716&amp;col=6&amp;number=4.2&amp;sourceID=14","4.2")</f>
        <v>4.2</v>
      </c>
      <c r="G1716" s="4" t="str">
        <f>HYPERLINK("http://141.218.60.56/~jnz1568/getInfo.php?workbook=14_04.xlsx&amp;sheet=U0&amp;row=1716&amp;col=7&amp;number=0.00248&amp;sourceID=14","0.00248")</f>
        <v>0.00248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HYPERLINK("http://141.218.60.56/~jnz1568/getInfo.php?workbook=14_04.xlsx&amp;sheet=U0&amp;row=1717&amp;col=6&amp;number=4.3&amp;sourceID=14","4.3")</f>
        <v>4.3</v>
      </c>
      <c r="G1717" s="4" t="str">
        <f>HYPERLINK("http://141.218.60.56/~jnz1568/getInfo.php?workbook=14_04.xlsx&amp;sheet=U0&amp;row=1717&amp;col=7&amp;number=0.00248&amp;sourceID=14","0.00248")</f>
        <v>0.00248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HYPERLINK("http://141.218.60.56/~jnz1568/getInfo.php?workbook=14_04.xlsx&amp;sheet=U0&amp;row=1718&amp;col=6&amp;number=4.4&amp;sourceID=14","4.4")</f>
        <v>4.4</v>
      </c>
      <c r="G1718" s="4" t="str">
        <f>HYPERLINK("http://141.218.60.56/~jnz1568/getInfo.php?workbook=14_04.xlsx&amp;sheet=U0&amp;row=1718&amp;col=7&amp;number=0.00248&amp;sourceID=14","0.00248")</f>
        <v>0.00248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HYPERLINK("http://141.218.60.56/~jnz1568/getInfo.php?workbook=14_04.xlsx&amp;sheet=U0&amp;row=1719&amp;col=6&amp;number=4.5&amp;sourceID=14","4.5")</f>
        <v>4.5</v>
      </c>
      <c r="G1719" s="4" t="str">
        <f>HYPERLINK("http://141.218.60.56/~jnz1568/getInfo.php?workbook=14_04.xlsx&amp;sheet=U0&amp;row=1719&amp;col=7&amp;number=0.00247&amp;sourceID=14","0.00247")</f>
        <v>0.00247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HYPERLINK("http://141.218.60.56/~jnz1568/getInfo.php?workbook=14_04.xlsx&amp;sheet=U0&amp;row=1720&amp;col=6&amp;number=4.6&amp;sourceID=14","4.6")</f>
        <v>4.6</v>
      </c>
      <c r="G1720" s="4" t="str">
        <f>HYPERLINK("http://141.218.60.56/~jnz1568/getInfo.php?workbook=14_04.xlsx&amp;sheet=U0&amp;row=1720&amp;col=7&amp;number=0.00246&amp;sourceID=14","0.00246")</f>
        <v>0.00246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HYPERLINK("http://141.218.60.56/~jnz1568/getInfo.php?workbook=14_04.xlsx&amp;sheet=U0&amp;row=1721&amp;col=6&amp;number=4.7&amp;sourceID=14","4.7")</f>
        <v>4.7</v>
      </c>
      <c r="G1721" s="4" t="str">
        <f>HYPERLINK("http://141.218.60.56/~jnz1568/getInfo.php?workbook=14_04.xlsx&amp;sheet=U0&amp;row=1721&amp;col=7&amp;number=0.00246&amp;sourceID=14","0.00246")</f>
        <v>0.00246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HYPERLINK("http://141.218.60.56/~jnz1568/getInfo.php?workbook=14_04.xlsx&amp;sheet=U0&amp;row=1722&amp;col=6&amp;number=4.8&amp;sourceID=14","4.8")</f>
        <v>4.8</v>
      </c>
      <c r="G1722" s="4" t="str">
        <f>HYPERLINK("http://141.218.60.56/~jnz1568/getInfo.php?workbook=14_04.xlsx&amp;sheet=U0&amp;row=1722&amp;col=7&amp;number=0.00245&amp;sourceID=14","0.00245")</f>
        <v>0.00245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HYPERLINK("http://141.218.60.56/~jnz1568/getInfo.php?workbook=14_04.xlsx&amp;sheet=U0&amp;row=1723&amp;col=6&amp;number=4.9&amp;sourceID=14","4.9")</f>
        <v>4.9</v>
      </c>
      <c r="G1723" s="4" t="str">
        <f>HYPERLINK("http://141.218.60.56/~jnz1568/getInfo.php?workbook=14_04.xlsx&amp;sheet=U0&amp;row=1723&amp;col=7&amp;number=0.00243&amp;sourceID=14","0.00243")</f>
        <v>0.00243</v>
      </c>
    </row>
    <row r="1724" spans="1:7">
      <c r="A1724" s="3">
        <v>14</v>
      </c>
      <c r="B1724" s="3">
        <v>4</v>
      </c>
      <c r="C1724" s="3">
        <v>1</v>
      </c>
      <c r="D1724" s="3">
        <v>52</v>
      </c>
      <c r="E1724" s="3">
        <v>1</v>
      </c>
      <c r="F1724" s="4" t="str">
        <f>HYPERLINK("http://141.218.60.56/~jnz1568/getInfo.php?workbook=14_04.xlsx&amp;sheet=U0&amp;row=1724&amp;col=6&amp;number=3&amp;sourceID=14","3")</f>
        <v>3</v>
      </c>
      <c r="G1724" s="4" t="str">
        <f>HYPERLINK("http://141.218.60.56/~jnz1568/getInfo.php?workbook=14_04.xlsx&amp;sheet=U0&amp;row=1724&amp;col=7&amp;number=0.00332&amp;sourceID=14","0.00332")</f>
        <v>0.00332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HYPERLINK("http://141.218.60.56/~jnz1568/getInfo.php?workbook=14_04.xlsx&amp;sheet=U0&amp;row=1725&amp;col=6&amp;number=3.1&amp;sourceID=14","3.1")</f>
        <v>3.1</v>
      </c>
      <c r="G1725" s="4" t="str">
        <f>HYPERLINK("http://141.218.60.56/~jnz1568/getInfo.php?workbook=14_04.xlsx&amp;sheet=U0&amp;row=1725&amp;col=7&amp;number=0.00332&amp;sourceID=14","0.00332")</f>
        <v>0.00332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HYPERLINK("http://141.218.60.56/~jnz1568/getInfo.php?workbook=14_04.xlsx&amp;sheet=U0&amp;row=1726&amp;col=6&amp;number=3.2&amp;sourceID=14","3.2")</f>
        <v>3.2</v>
      </c>
      <c r="G1726" s="4" t="str">
        <f>HYPERLINK("http://141.218.60.56/~jnz1568/getInfo.php?workbook=14_04.xlsx&amp;sheet=U0&amp;row=1726&amp;col=7&amp;number=0.00332&amp;sourceID=14","0.00332")</f>
        <v>0.00332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HYPERLINK("http://141.218.60.56/~jnz1568/getInfo.php?workbook=14_04.xlsx&amp;sheet=U0&amp;row=1727&amp;col=6&amp;number=3.3&amp;sourceID=14","3.3")</f>
        <v>3.3</v>
      </c>
      <c r="G1727" s="4" t="str">
        <f>HYPERLINK("http://141.218.60.56/~jnz1568/getInfo.php?workbook=14_04.xlsx&amp;sheet=U0&amp;row=1727&amp;col=7&amp;number=0.00332&amp;sourceID=14","0.00332")</f>
        <v>0.00332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HYPERLINK("http://141.218.60.56/~jnz1568/getInfo.php?workbook=14_04.xlsx&amp;sheet=U0&amp;row=1728&amp;col=6&amp;number=3.4&amp;sourceID=14","3.4")</f>
        <v>3.4</v>
      </c>
      <c r="G1728" s="4" t="str">
        <f>HYPERLINK("http://141.218.60.56/~jnz1568/getInfo.php?workbook=14_04.xlsx&amp;sheet=U0&amp;row=1728&amp;col=7&amp;number=0.00332&amp;sourceID=14","0.00332")</f>
        <v>0.00332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HYPERLINK("http://141.218.60.56/~jnz1568/getInfo.php?workbook=14_04.xlsx&amp;sheet=U0&amp;row=1729&amp;col=6&amp;number=3.5&amp;sourceID=14","3.5")</f>
        <v>3.5</v>
      </c>
      <c r="G1729" s="4" t="str">
        <f>HYPERLINK("http://141.218.60.56/~jnz1568/getInfo.php?workbook=14_04.xlsx&amp;sheet=U0&amp;row=1729&amp;col=7&amp;number=0.00332&amp;sourceID=14","0.00332")</f>
        <v>0.00332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HYPERLINK("http://141.218.60.56/~jnz1568/getInfo.php?workbook=14_04.xlsx&amp;sheet=U0&amp;row=1730&amp;col=6&amp;number=3.6&amp;sourceID=14","3.6")</f>
        <v>3.6</v>
      </c>
      <c r="G1730" s="4" t="str">
        <f>HYPERLINK("http://141.218.60.56/~jnz1568/getInfo.php?workbook=14_04.xlsx&amp;sheet=U0&amp;row=1730&amp;col=7&amp;number=0.00332&amp;sourceID=14","0.00332")</f>
        <v>0.00332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HYPERLINK("http://141.218.60.56/~jnz1568/getInfo.php?workbook=14_04.xlsx&amp;sheet=U0&amp;row=1731&amp;col=6&amp;number=3.7&amp;sourceID=14","3.7")</f>
        <v>3.7</v>
      </c>
      <c r="G1731" s="4" t="str">
        <f>HYPERLINK("http://141.218.60.56/~jnz1568/getInfo.php?workbook=14_04.xlsx&amp;sheet=U0&amp;row=1731&amp;col=7&amp;number=0.00333&amp;sourceID=14","0.00333")</f>
        <v>0.00333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HYPERLINK("http://141.218.60.56/~jnz1568/getInfo.php?workbook=14_04.xlsx&amp;sheet=U0&amp;row=1732&amp;col=6&amp;number=3.8&amp;sourceID=14","3.8")</f>
        <v>3.8</v>
      </c>
      <c r="G1732" s="4" t="str">
        <f>HYPERLINK("http://141.218.60.56/~jnz1568/getInfo.php?workbook=14_04.xlsx&amp;sheet=U0&amp;row=1732&amp;col=7&amp;number=0.00333&amp;sourceID=14","0.00333")</f>
        <v>0.00333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HYPERLINK("http://141.218.60.56/~jnz1568/getInfo.php?workbook=14_04.xlsx&amp;sheet=U0&amp;row=1733&amp;col=6&amp;number=3.9&amp;sourceID=14","3.9")</f>
        <v>3.9</v>
      </c>
      <c r="G1733" s="4" t="str">
        <f>HYPERLINK("http://141.218.60.56/~jnz1568/getInfo.php?workbook=14_04.xlsx&amp;sheet=U0&amp;row=1733&amp;col=7&amp;number=0.00333&amp;sourceID=14","0.00333")</f>
        <v>0.00333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HYPERLINK("http://141.218.60.56/~jnz1568/getInfo.php?workbook=14_04.xlsx&amp;sheet=U0&amp;row=1734&amp;col=6&amp;number=4&amp;sourceID=14","4")</f>
        <v>4</v>
      </c>
      <c r="G1734" s="4" t="str">
        <f>HYPERLINK("http://141.218.60.56/~jnz1568/getInfo.php?workbook=14_04.xlsx&amp;sheet=U0&amp;row=1734&amp;col=7&amp;number=0.00334&amp;sourceID=14","0.00334")</f>
        <v>0.00334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HYPERLINK("http://141.218.60.56/~jnz1568/getInfo.php?workbook=14_04.xlsx&amp;sheet=U0&amp;row=1735&amp;col=6&amp;number=4.1&amp;sourceID=14","4.1")</f>
        <v>4.1</v>
      </c>
      <c r="G1735" s="4" t="str">
        <f>HYPERLINK("http://141.218.60.56/~jnz1568/getInfo.php?workbook=14_04.xlsx&amp;sheet=U0&amp;row=1735&amp;col=7&amp;number=0.00335&amp;sourceID=14","0.00335")</f>
        <v>0.00335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HYPERLINK("http://141.218.60.56/~jnz1568/getInfo.php?workbook=14_04.xlsx&amp;sheet=U0&amp;row=1736&amp;col=6&amp;number=4.2&amp;sourceID=14","4.2")</f>
        <v>4.2</v>
      </c>
      <c r="G1736" s="4" t="str">
        <f>HYPERLINK("http://141.218.60.56/~jnz1568/getInfo.php?workbook=14_04.xlsx&amp;sheet=U0&amp;row=1736&amp;col=7&amp;number=0.00335&amp;sourceID=14","0.00335")</f>
        <v>0.00335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HYPERLINK("http://141.218.60.56/~jnz1568/getInfo.php?workbook=14_04.xlsx&amp;sheet=U0&amp;row=1737&amp;col=6&amp;number=4.3&amp;sourceID=14","4.3")</f>
        <v>4.3</v>
      </c>
      <c r="G1737" s="4" t="str">
        <f>HYPERLINK("http://141.218.60.56/~jnz1568/getInfo.php?workbook=14_04.xlsx&amp;sheet=U0&amp;row=1737&amp;col=7&amp;number=0.00336&amp;sourceID=14","0.00336")</f>
        <v>0.00336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HYPERLINK("http://141.218.60.56/~jnz1568/getInfo.php?workbook=14_04.xlsx&amp;sheet=U0&amp;row=1738&amp;col=6&amp;number=4.4&amp;sourceID=14","4.4")</f>
        <v>4.4</v>
      </c>
      <c r="G1738" s="4" t="str">
        <f>HYPERLINK("http://141.218.60.56/~jnz1568/getInfo.php?workbook=14_04.xlsx&amp;sheet=U0&amp;row=1738&amp;col=7&amp;number=0.00338&amp;sourceID=14","0.00338")</f>
        <v>0.00338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HYPERLINK("http://141.218.60.56/~jnz1568/getInfo.php?workbook=14_04.xlsx&amp;sheet=U0&amp;row=1739&amp;col=6&amp;number=4.5&amp;sourceID=14","4.5")</f>
        <v>4.5</v>
      </c>
      <c r="G1739" s="4" t="str">
        <f>HYPERLINK("http://141.218.60.56/~jnz1568/getInfo.php?workbook=14_04.xlsx&amp;sheet=U0&amp;row=1739&amp;col=7&amp;number=0.00339&amp;sourceID=14","0.00339")</f>
        <v>0.00339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HYPERLINK("http://141.218.60.56/~jnz1568/getInfo.php?workbook=14_04.xlsx&amp;sheet=U0&amp;row=1740&amp;col=6&amp;number=4.6&amp;sourceID=14","4.6")</f>
        <v>4.6</v>
      </c>
      <c r="G1740" s="4" t="str">
        <f>HYPERLINK("http://141.218.60.56/~jnz1568/getInfo.php?workbook=14_04.xlsx&amp;sheet=U0&amp;row=1740&amp;col=7&amp;number=0.00341&amp;sourceID=14","0.00341")</f>
        <v>0.00341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HYPERLINK("http://141.218.60.56/~jnz1568/getInfo.php?workbook=14_04.xlsx&amp;sheet=U0&amp;row=1741&amp;col=6&amp;number=4.7&amp;sourceID=14","4.7")</f>
        <v>4.7</v>
      </c>
      <c r="G1741" s="4" t="str">
        <f>HYPERLINK("http://141.218.60.56/~jnz1568/getInfo.php?workbook=14_04.xlsx&amp;sheet=U0&amp;row=1741&amp;col=7&amp;number=0.00344&amp;sourceID=14","0.00344")</f>
        <v>0.00344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HYPERLINK("http://141.218.60.56/~jnz1568/getInfo.php?workbook=14_04.xlsx&amp;sheet=U0&amp;row=1742&amp;col=6&amp;number=4.8&amp;sourceID=14","4.8")</f>
        <v>4.8</v>
      </c>
      <c r="G1742" s="4" t="str">
        <f>HYPERLINK("http://141.218.60.56/~jnz1568/getInfo.php?workbook=14_04.xlsx&amp;sheet=U0&amp;row=1742&amp;col=7&amp;number=0.00347&amp;sourceID=14","0.00347")</f>
        <v>0.00347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HYPERLINK("http://141.218.60.56/~jnz1568/getInfo.php?workbook=14_04.xlsx&amp;sheet=U0&amp;row=1743&amp;col=6&amp;number=4.9&amp;sourceID=14","4.9")</f>
        <v>4.9</v>
      </c>
      <c r="G1743" s="4" t="str">
        <f>HYPERLINK("http://141.218.60.56/~jnz1568/getInfo.php?workbook=14_04.xlsx&amp;sheet=U0&amp;row=1743&amp;col=7&amp;number=0.00351&amp;sourceID=14","0.00351")</f>
        <v>0.00351</v>
      </c>
    </row>
    <row r="1744" spans="1:7">
      <c r="A1744" s="3">
        <v>14</v>
      </c>
      <c r="B1744" s="3">
        <v>4</v>
      </c>
      <c r="C1744" s="3">
        <v>1</v>
      </c>
      <c r="D1744" s="3">
        <v>53</v>
      </c>
      <c r="E1744" s="3">
        <v>1</v>
      </c>
      <c r="F1744" s="4" t="str">
        <f>HYPERLINK("http://141.218.60.56/~jnz1568/getInfo.php?workbook=14_04.xlsx&amp;sheet=U0&amp;row=1744&amp;col=6&amp;number=3&amp;sourceID=14","3")</f>
        <v>3</v>
      </c>
      <c r="G1744" s="4" t="str">
        <f>HYPERLINK("http://141.218.60.56/~jnz1568/getInfo.php?workbook=14_04.xlsx&amp;sheet=U0&amp;row=1744&amp;col=7&amp;number=0.00173&amp;sourceID=14","0.00173")</f>
        <v>0.00173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HYPERLINK("http://141.218.60.56/~jnz1568/getInfo.php?workbook=14_04.xlsx&amp;sheet=U0&amp;row=1745&amp;col=6&amp;number=3.1&amp;sourceID=14","3.1")</f>
        <v>3.1</v>
      </c>
      <c r="G1745" s="4" t="str">
        <f>HYPERLINK("http://141.218.60.56/~jnz1568/getInfo.php?workbook=14_04.xlsx&amp;sheet=U0&amp;row=1745&amp;col=7&amp;number=0.00173&amp;sourceID=14","0.00173")</f>
        <v>0.00173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HYPERLINK("http://141.218.60.56/~jnz1568/getInfo.php?workbook=14_04.xlsx&amp;sheet=U0&amp;row=1746&amp;col=6&amp;number=3.2&amp;sourceID=14","3.2")</f>
        <v>3.2</v>
      </c>
      <c r="G1746" s="4" t="str">
        <f>HYPERLINK("http://141.218.60.56/~jnz1568/getInfo.php?workbook=14_04.xlsx&amp;sheet=U0&amp;row=1746&amp;col=7&amp;number=0.00173&amp;sourceID=14","0.00173")</f>
        <v>0.00173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HYPERLINK("http://141.218.60.56/~jnz1568/getInfo.php?workbook=14_04.xlsx&amp;sheet=U0&amp;row=1747&amp;col=6&amp;number=3.3&amp;sourceID=14","3.3")</f>
        <v>3.3</v>
      </c>
      <c r="G1747" s="4" t="str">
        <f>HYPERLINK("http://141.218.60.56/~jnz1568/getInfo.php?workbook=14_04.xlsx&amp;sheet=U0&amp;row=1747&amp;col=7&amp;number=0.00173&amp;sourceID=14","0.00173")</f>
        <v>0.00173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HYPERLINK("http://141.218.60.56/~jnz1568/getInfo.php?workbook=14_04.xlsx&amp;sheet=U0&amp;row=1748&amp;col=6&amp;number=3.4&amp;sourceID=14","3.4")</f>
        <v>3.4</v>
      </c>
      <c r="G1748" s="4" t="str">
        <f>HYPERLINK("http://141.218.60.56/~jnz1568/getInfo.php?workbook=14_04.xlsx&amp;sheet=U0&amp;row=1748&amp;col=7&amp;number=0.00173&amp;sourceID=14","0.00173")</f>
        <v>0.00173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HYPERLINK("http://141.218.60.56/~jnz1568/getInfo.php?workbook=14_04.xlsx&amp;sheet=U0&amp;row=1749&amp;col=6&amp;number=3.5&amp;sourceID=14","3.5")</f>
        <v>3.5</v>
      </c>
      <c r="G1749" s="4" t="str">
        <f>HYPERLINK("http://141.218.60.56/~jnz1568/getInfo.php?workbook=14_04.xlsx&amp;sheet=U0&amp;row=1749&amp;col=7&amp;number=0.00173&amp;sourceID=14","0.00173")</f>
        <v>0.00173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HYPERLINK("http://141.218.60.56/~jnz1568/getInfo.php?workbook=14_04.xlsx&amp;sheet=U0&amp;row=1750&amp;col=6&amp;number=3.6&amp;sourceID=14","3.6")</f>
        <v>3.6</v>
      </c>
      <c r="G1750" s="4" t="str">
        <f>HYPERLINK("http://141.218.60.56/~jnz1568/getInfo.php?workbook=14_04.xlsx&amp;sheet=U0&amp;row=1750&amp;col=7&amp;number=0.00173&amp;sourceID=14","0.00173")</f>
        <v>0.00173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HYPERLINK("http://141.218.60.56/~jnz1568/getInfo.php?workbook=14_04.xlsx&amp;sheet=U0&amp;row=1751&amp;col=6&amp;number=3.7&amp;sourceID=14","3.7")</f>
        <v>3.7</v>
      </c>
      <c r="G1751" s="4" t="str">
        <f>HYPERLINK("http://141.218.60.56/~jnz1568/getInfo.php?workbook=14_04.xlsx&amp;sheet=U0&amp;row=1751&amp;col=7&amp;number=0.00173&amp;sourceID=14","0.00173")</f>
        <v>0.00173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HYPERLINK("http://141.218.60.56/~jnz1568/getInfo.php?workbook=14_04.xlsx&amp;sheet=U0&amp;row=1752&amp;col=6&amp;number=3.8&amp;sourceID=14","3.8")</f>
        <v>3.8</v>
      </c>
      <c r="G1752" s="4" t="str">
        <f>HYPERLINK("http://141.218.60.56/~jnz1568/getInfo.php?workbook=14_04.xlsx&amp;sheet=U0&amp;row=1752&amp;col=7&amp;number=0.00173&amp;sourceID=14","0.00173")</f>
        <v>0.00173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HYPERLINK("http://141.218.60.56/~jnz1568/getInfo.php?workbook=14_04.xlsx&amp;sheet=U0&amp;row=1753&amp;col=6&amp;number=3.9&amp;sourceID=14","3.9")</f>
        <v>3.9</v>
      </c>
      <c r="G1753" s="4" t="str">
        <f>HYPERLINK("http://141.218.60.56/~jnz1568/getInfo.php?workbook=14_04.xlsx&amp;sheet=U0&amp;row=1753&amp;col=7&amp;number=0.00173&amp;sourceID=14","0.00173")</f>
        <v>0.00173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HYPERLINK("http://141.218.60.56/~jnz1568/getInfo.php?workbook=14_04.xlsx&amp;sheet=U0&amp;row=1754&amp;col=6&amp;number=4&amp;sourceID=14","4")</f>
        <v>4</v>
      </c>
      <c r="G1754" s="4" t="str">
        <f>HYPERLINK("http://141.218.60.56/~jnz1568/getInfo.php?workbook=14_04.xlsx&amp;sheet=U0&amp;row=1754&amp;col=7&amp;number=0.00172&amp;sourceID=14","0.00172")</f>
        <v>0.00172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HYPERLINK("http://141.218.60.56/~jnz1568/getInfo.php?workbook=14_04.xlsx&amp;sheet=U0&amp;row=1755&amp;col=6&amp;number=4.1&amp;sourceID=14","4.1")</f>
        <v>4.1</v>
      </c>
      <c r="G1755" s="4" t="str">
        <f>HYPERLINK("http://141.218.60.56/~jnz1568/getInfo.php?workbook=14_04.xlsx&amp;sheet=U0&amp;row=1755&amp;col=7&amp;number=0.00172&amp;sourceID=14","0.00172")</f>
        <v>0.00172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HYPERLINK("http://141.218.60.56/~jnz1568/getInfo.php?workbook=14_04.xlsx&amp;sheet=U0&amp;row=1756&amp;col=6&amp;number=4.2&amp;sourceID=14","4.2")</f>
        <v>4.2</v>
      </c>
      <c r="G1756" s="4" t="str">
        <f>HYPERLINK("http://141.218.60.56/~jnz1568/getInfo.php?workbook=14_04.xlsx&amp;sheet=U0&amp;row=1756&amp;col=7&amp;number=0.00172&amp;sourceID=14","0.00172")</f>
        <v>0.00172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HYPERLINK("http://141.218.60.56/~jnz1568/getInfo.php?workbook=14_04.xlsx&amp;sheet=U0&amp;row=1757&amp;col=6&amp;number=4.3&amp;sourceID=14","4.3")</f>
        <v>4.3</v>
      </c>
      <c r="G1757" s="4" t="str">
        <f>HYPERLINK("http://141.218.60.56/~jnz1568/getInfo.php?workbook=14_04.xlsx&amp;sheet=U0&amp;row=1757&amp;col=7&amp;number=0.00172&amp;sourceID=14","0.00172")</f>
        <v>0.00172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HYPERLINK("http://141.218.60.56/~jnz1568/getInfo.php?workbook=14_04.xlsx&amp;sheet=U0&amp;row=1758&amp;col=6&amp;number=4.4&amp;sourceID=14","4.4")</f>
        <v>4.4</v>
      </c>
      <c r="G1758" s="4" t="str">
        <f>HYPERLINK("http://141.218.60.56/~jnz1568/getInfo.php?workbook=14_04.xlsx&amp;sheet=U0&amp;row=1758&amp;col=7&amp;number=0.00172&amp;sourceID=14","0.00172")</f>
        <v>0.00172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HYPERLINK("http://141.218.60.56/~jnz1568/getInfo.php?workbook=14_04.xlsx&amp;sheet=U0&amp;row=1759&amp;col=6&amp;number=4.5&amp;sourceID=14","4.5")</f>
        <v>4.5</v>
      </c>
      <c r="G1759" s="4" t="str">
        <f>HYPERLINK("http://141.218.60.56/~jnz1568/getInfo.php?workbook=14_04.xlsx&amp;sheet=U0&amp;row=1759&amp;col=7&amp;number=0.00171&amp;sourceID=14","0.00171")</f>
        <v>0.00171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HYPERLINK("http://141.218.60.56/~jnz1568/getInfo.php?workbook=14_04.xlsx&amp;sheet=U0&amp;row=1760&amp;col=6&amp;number=4.6&amp;sourceID=14","4.6")</f>
        <v>4.6</v>
      </c>
      <c r="G1760" s="4" t="str">
        <f>HYPERLINK("http://141.218.60.56/~jnz1568/getInfo.php?workbook=14_04.xlsx&amp;sheet=U0&amp;row=1760&amp;col=7&amp;number=0.00171&amp;sourceID=14","0.00171")</f>
        <v>0.00171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HYPERLINK("http://141.218.60.56/~jnz1568/getInfo.php?workbook=14_04.xlsx&amp;sheet=U0&amp;row=1761&amp;col=6&amp;number=4.7&amp;sourceID=14","4.7")</f>
        <v>4.7</v>
      </c>
      <c r="G1761" s="4" t="str">
        <f>HYPERLINK("http://141.218.60.56/~jnz1568/getInfo.php?workbook=14_04.xlsx&amp;sheet=U0&amp;row=1761&amp;col=7&amp;number=0.00171&amp;sourceID=14","0.00171")</f>
        <v>0.00171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HYPERLINK("http://141.218.60.56/~jnz1568/getInfo.php?workbook=14_04.xlsx&amp;sheet=U0&amp;row=1762&amp;col=6&amp;number=4.8&amp;sourceID=14","4.8")</f>
        <v>4.8</v>
      </c>
      <c r="G1762" s="4" t="str">
        <f>HYPERLINK("http://141.218.60.56/~jnz1568/getInfo.php?workbook=14_04.xlsx&amp;sheet=U0&amp;row=1762&amp;col=7&amp;number=0.0017&amp;sourceID=14","0.0017")</f>
        <v>0.0017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HYPERLINK("http://141.218.60.56/~jnz1568/getInfo.php?workbook=14_04.xlsx&amp;sheet=U0&amp;row=1763&amp;col=6&amp;number=4.9&amp;sourceID=14","4.9")</f>
        <v>4.9</v>
      </c>
      <c r="G1763" s="4" t="str">
        <f>HYPERLINK("http://141.218.60.56/~jnz1568/getInfo.php?workbook=14_04.xlsx&amp;sheet=U0&amp;row=1763&amp;col=7&amp;number=0.00169&amp;sourceID=14","0.00169")</f>
        <v>0.00169</v>
      </c>
    </row>
    <row r="1764" spans="1:7">
      <c r="A1764" s="3">
        <v>14</v>
      </c>
      <c r="B1764" s="3">
        <v>4</v>
      </c>
      <c r="C1764" s="3">
        <v>1</v>
      </c>
      <c r="D1764" s="3">
        <v>54</v>
      </c>
      <c r="E1764" s="3">
        <v>1</v>
      </c>
      <c r="F1764" s="4" t="str">
        <f>HYPERLINK("http://141.218.60.56/~jnz1568/getInfo.php?workbook=14_04.xlsx&amp;sheet=U0&amp;row=1764&amp;col=6&amp;number=3&amp;sourceID=14","3")</f>
        <v>3</v>
      </c>
      <c r="G1764" s="4" t="str">
        <f>HYPERLINK("http://141.218.60.56/~jnz1568/getInfo.php?workbook=14_04.xlsx&amp;sheet=U0&amp;row=1764&amp;col=7&amp;number=0.00288&amp;sourceID=14","0.00288")</f>
        <v>0.00288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HYPERLINK("http://141.218.60.56/~jnz1568/getInfo.php?workbook=14_04.xlsx&amp;sheet=U0&amp;row=1765&amp;col=6&amp;number=3.1&amp;sourceID=14","3.1")</f>
        <v>3.1</v>
      </c>
      <c r="G1765" s="4" t="str">
        <f>HYPERLINK("http://141.218.60.56/~jnz1568/getInfo.php?workbook=14_04.xlsx&amp;sheet=U0&amp;row=1765&amp;col=7&amp;number=0.00288&amp;sourceID=14","0.00288")</f>
        <v>0.00288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HYPERLINK("http://141.218.60.56/~jnz1568/getInfo.php?workbook=14_04.xlsx&amp;sheet=U0&amp;row=1766&amp;col=6&amp;number=3.2&amp;sourceID=14","3.2")</f>
        <v>3.2</v>
      </c>
      <c r="G1766" s="4" t="str">
        <f>HYPERLINK("http://141.218.60.56/~jnz1568/getInfo.php?workbook=14_04.xlsx&amp;sheet=U0&amp;row=1766&amp;col=7&amp;number=0.00288&amp;sourceID=14","0.00288")</f>
        <v>0.00288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HYPERLINK("http://141.218.60.56/~jnz1568/getInfo.php?workbook=14_04.xlsx&amp;sheet=U0&amp;row=1767&amp;col=6&amp;number=3.3&amp;sourceID=14","3.3")</f>
        <v>3.3</v>
      </c>
      <c r="G1767" s="4" t="str">
        <f>HYPERLINK("http://141.218.60.56/~jnz1568/getInfo.php?workbook=14_04.xlsx&amp;sheet=U0&amp;row=1767&amp;col=7&amp;number=0.00288&amp;sourceID=14","0.00288")</f>
        <v>0.00288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HYPERLINK("http://141.218.60.56/~jnz1568/getInfo.php?workbook=14_04.xlsx&amp;sheet=U0&amp;row=1768&amp;col=6&amp;number=3.4&amp;sourceID=14","3.4")</f>
        <v>3.4</v>
      </c>
      <c r="G1768" s="4" t="str">
        <f>HYPERLINK("http://141.218.60.56/~jnz1568/getInfo.php?workbook=14_04.xlsx&amp;sheet=U0&amp;row=1768&amp;col=7&amp;number=0.00288&amp;sourceID=14","0.00288")</f>
        <v>0.00288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HYPERLINK("http://141.218.60.56/~jnz1568/getInfo.php?workbook=14_04.xlsx&amp;sheet=U0&amp;row=1769&amp;col=6&amp;number=3.5&amp;sourceID=14","3.5")</f>
        <v>3.5</v>
      </c>
      <c r="G1769" s="4" t="str">
        <f>HYPERLINK("http://141.218.60.56/~jnz1568/getInfo.php?workbook=14_04.xlsx&amp;sheet=U0&amp;row=1769&amp;col=7&amp;number=0.00288&amp;sourceID=14","0.00288")</f>
        <v>0.00288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HYPERLINK("http://141.218.60.56/~jnz1568/getInfo.php?workbook=14_04.xlsx&amp;sheet=U0&amp;row=1770&amp;col=6&amp;number=3.6&amp;sourceID=14","3.6")</f>
        <v>3.6</v>
      </c>
      <c r="G1770" s="4" t="str">
        <f>HYPERLINK("http://141.218.60.56/~jnz1568/getInfo.php?workbook=14_04.xlsx&amp;sheet=U0&amp;row=1770&amp;col=7&amp;number=0.00288&amp;sourceID=14","0.00288")</f>
        <v>0.00288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HYPERLINK("http://141.218.60.56/~jnz1568/getInfo.php?workbook=14_04.xlsx&amp;sheet=U0&amp;row=1771&amp;col=6&amp;number=3.7&amp;sourceID=14","3.7")</f>
        <v>3.7</v>
      </c>
      <c r="G1771" s="4" t="str">
        <f>HYPERLINK("http://141.218.60.56/~jnz1568/getInfo.php?workbook=14_04.xlsx&amp;sheet=U0&amp;row=1771&amp;col=7&amp;number=0.00288&amp;sourceID=14","0.00288")</f>
        <v>0.00288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HYPERLINK("http://141.218.60.56/~jnz1568/getInfo.php?workbook=14_04.xlsx&amp;sheet=U0&amp;row=1772&amp;col=6&amp;number=3.8&amp;sourceID=14","3.8")</f>
        <v>3.8</v>
      </c>
      <c r="G1772" s="4" t="str">
        <f>HYPERLINK("http://141.218.60.56/~jnz1568/getInfo.php?workbook=14_04.xlsx&amp;sheet=U0&amp;row=1772&amp;col=7&amp;number=0.00287&amp;sourceID=14","0.00287")</f>
        <v>0.00287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HYPERLINK("http://141.218.60.56/~jnz1568/getInfo.php?workbook=14_04.xlsx&amp;sheet=U0&amp;row=1773&amp;col=6&amp;number=3.9&amp;sourceID=14","3.9")</f>
        <v>3.9</v>
      </c>
      <c r="G1773" s="4" t="str">
        <f>HYPERLINK("http://141.218.60.56/~jnz1568/getInfo.php?workbook=14_04.xlsx&amp;sheet=U0&amp;row=1773&amp;col=7&amp;number=0.00287&amp;sourceID=14","0.00287")</f>
        <v>0.00287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HYPERLINK("http://141.218.60.56/~jnz1568/getInfo.php?workbook=14_04.xlsx&amp;sheet=U0&amp;row=1774&amp;col=6&amp;number=4&amp;sourceID=14","4")</f>
        <v>4</v>
      </c>
      <c r="G1774" s="4" t="str">
        <f>HYPERLINK("http://141.218.60.56/~jnz1568/getInfo.php?workbook=14_04.xlsx&amp;sheet=U0&amp;row=1774&amp;col=7&amp;number=0.00287&amp;sourceID=14","0.00287")</f>
        <v>0.00287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HYPERLINK("http://141.218.60.56/~jnz1568/getInfo.php?workbook=14_04.xlsx&amp;sheet=U0&amp;row=1775&amp;col=6&amp;number=4.1&amp;sourceID=14","4.1")</f>
        <v>4.1</v>
      </c>
      <c r="G1775" s="4" t="str">
        <f>HYPERLINK("http://141.218.60.56/~jnz1568/getInfo.php?workbook=14_04.xlsx&amp;sheet=U0&amp;row=1775&amp;col=7&amp;number=0.00287&amp;sourceID=14","0.00287")</f>
        <v>0.00287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HYPERLINK("http://141.218.60.56/~jnz1568/getInfo.php?workbook=14_04.xlsx&amp;sheet=U0&amp;row=1776&amp;col=6&amp;number=4.2&amp;sourceID=14","4.2")</f>
        <v>4.2</v>
      </c>
      <c r="G1776" s="4" t="str">
        <f>HYPERLINK("http://141.218.60.56/~jnz1568/getInfo.php?workbook=14_04.xlsx&amp;sheet=U0&amp;row=1776&amp;col=7&amp;number=0.00287&amp;sourceID=14","0.00287")</f>
        <v>0.00287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HYPERLINK("http://141.218.60.56/~jnz1568/getInfo.php?workbook=14_04.xlsx&amp;sheet=U0&amp;row=1777&amp;col=6&amp;number=4.3&amp;sourceID=14","4.3")</f>
        <v>4.3</v>
      </c>
      <c r="G1777" s="4" t="str">
        <f>HYPERLINK("http://141.218.60.56/~jnz1568/getInfo.php?workbook=14_04.xlsx&amp;sheet=U0&amp;row=1777&amp;col=7&amp;number=0.00286&amp;sourceID=14","0.00286")</f>
        <v>0.00286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HYPERLINK("http://141.218.60.56/~jnz1568/getInfo.php?workbook=14_04.xlsx&amp;sheet=U0&amp;row=1778&amp;col=6&amp;number=4.4&amp;sourceID=14","4.4")</f>
        <v>4.4</v>
      </c>
      <c r="G1778" s="4" t="str">
        <f>HYPERLINK("http://141.218.60.56/~jnz1568/getInfo.php?workbook=14_04.xlsx&amp;sheet=U0&amp;row=1778&amp;col=7&amp;number=0.00286&amp;sourceID=14","0.00286")</f>
        <v>0.00286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HYPERLINK("http://141.218.60.56/~jnz1568/getInfo.php?workbook=14_04.xlsx&amp;sheet=U0&amp;row=1779&amp;col=6&amp;number=4.5&amp;sourceID=14","4.5")</f>
        <v>4.5</v>
      </c>
      <c r="G1779" s="4" t="str">
        <f>HYPERLINK("http://141.218.60.56/~jnz1568/getInfo.php?workbook=14_04.xlsx&amp;sheet=U0&amp;row=1779&amp;col=7&amp;number=0.00285&amp;sourceID=14","0.00285")</f>
        <v>0.00285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HYPERLINK("http://141.218.60.56/~jnz1568/getInfo.php?workbook=14_04.xlsx&amp;sheet=U0&amp;row=1780&amp;col=6&amp;number=4.6&amp;sourceID=14","4.6")</f>
        <v>4.6</v>
      </c>
      <c r="G1780" s="4" t="str">
        <f>HYPERLINK("http://141.218.60.56/~jnz1568/getInfo.php?workbook=14_04.xlsx&amp;sheet=U0&amp;row=1780&amp;col=7&amp;number=0.00285&amp;sourceID=14","0.00285")</f>
        <v>0.00285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HYPERLINK("http://141.218.60.56/~jnz1568/getInfo.php?workbook=14_04.xlsx&amp;sheet=U0&amp;row=1781&amp;col=6&amp;number=4.7&amp;sourceID=14","4.7")</f>
        <v>4.7</v>
      </c>
      <c r="G1781" s="4" t="str">
        <f>HYPERLINK("http://141.218.60.56/~jnz1568/getInfo.php?workbook=14_04.xlsx&amp;sheet=U0&amp;row=1781&amp;col=7&amp;number=0.00284&amp;sourceID=14","0.00284")</f>
        <v>0.00284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HYPERLINK("http://141.218.60.56/~jnz1568/getInfo.php?workbook=14_04.xlsx&amp;sheet=U0&amp;row=1782&amp;col=6&amp;number=4.8&amp;sourceID=14","4.8")</f>
        <v>4.8</v>
      </c>
      <c r="G1782" s="4" t="str">
        <f>HYPERLINK("http://141.218.60.56/~jnz1568/getInfo.php?workbook=14_04.xlsx&amp;sheet=U0&amp;row=1782&amp;col=7&amp;number=0.00283&amp;sourceID=14","0.00283")</f>
        <v>0.00283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HYPERLINK("http://141.218.60.56/~jnz1568/getInfo.php?workbook=14_04.xlsx&amp;sheet=U0&amp;row=1783&amp;col=6&amp;number=4.9&amp;sourceID=14","4.9")</f>
        <v>4.9</v>
      </c>
      <c r="G1783" s="4" t="str">
        <f>HYPERLINK("http://141.218.60.56/~jnz1568/getInfo.php?workbook=14_04.xlsx&amp;sheet=U0&amp;row=1783&amp;col=7&amp;number=0.00282&amp;sourceID=14","0.00282")</f>
        <v>0.00282</v>
      </c>
    </row>
    <row r="1784" spans="1:7">
      <c r="A1784" s="3">
        <v>14</v>
      </c>
      <c r="B1784" s="3">
        <v>4</v>
      </c>
      <c r="C1784" s="3">
        <v>1</v>
      </c>
      <c r="D1784" s="3">
        <v>55</v>
      </c>
      <c r="E1784" s="3">
        <v>1</v>
      </c>
      <c r="F1784" s="4" t="str">
        <f>HYPERLINK("http://141.218.60.56/~jnz1568/getInfo.php?workbook=14_04.xlsx&amp;sheet=U0&amp;row=1784&amp;col=6&amp;number=3&amp;sourceID=14","3")</f>
        <v>3</v>
      </c>
      <c r="G1784" s="4" t="str">
        <f>HYPERLINK("http://141.218.60.56/~jnz1568/getInfo.php?workbook=14_04.xlsx&amp;sheet=U0&amp;row=1784&amp;col=7&amp;number=0.00403&amp;sourceID=14","0.00403")</f>
        <v>0.00403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HYPERLINK("http://141.218.60.56/~jnz1568/getInfo.php?workbook=14_04.xlsx&amp;sheet=U0&amp;row=1785&amp;col=6&amp;number=3.1&amp;sourceID=14","3.1")</f>
        <v>3.1</v>
      </c>
      <c r="G1785" s="4" t="str">
        <f>HYPERLINK("http://141.218.60.56/~jnz1568/getInfo.php?workbook=14_04.xlsx&amp;sheet=U0&amp;row=1785&amp;col=7&amp;number=0.00403&amp;sourceID=14","0.00403")</f>
        <v>0.00403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HYPERLINK("http://141.218.60.56/~jnz1568/getInfo.php?workbook=14_04.xlsx&amp;sheet=U0&amp;row=1786&amp;col=6&amp;number=3.2&amp;sourceID=14","3.2")</f>
        <v>3.2</v>
      </c>
      <c r="G1786" s="4" t="str">
        <f>HYPERLINK("http://141.218.60.56/~jnz1568/getInfo.php?workbook=14_04.xlsx&amp;sheet=U0&amp;row=1786&amp;col=7&amp;number=0.00403&amp;sourceID=14","0.00403")</f>
        <v>0.00403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HYPERLINK("http://141.218.60.56/~jnz1568/getInfo.php?workbook=14_04.xlsx&amp;sheet=U0&amp;row=1787&amp;col=6&amp;number=3.3&amp;sourceID=14","3.3")</f>
        <v>3.3</v>
      </c>
      <c r="G1787" s="4" t="str">
        <f>HYPERLINK("http://141.218.60.56/~jnz1568/getInfo.php?workbook=14_04.xlsx&amp;sheet=U0&amp;row=1787&amp;col=7&amp;number=0.00403&amp;sourceID=14","0.00403")</f>
        <v>0.00403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HYPERLINK("http://141.218.60.56/~jnz1568/getInfo.php?workbook=14_04.xlsx&amp;sheet=U0&amp;row=1788&amp;col=6&amp;number=3.4&amp;sourceID=14","3.4")</f>
        <v>3.4</v>
      </c>
      <c r="G1788" s="4" t="str">
        <f>HYPERLINK("http://141.218.60.56/~jnz1568/getInfo.php?workbook=14_04.xlsx&amp;sheet=U0&amp;row=1788&amp;col=7&amp;number=0.00403&amp;sourceID=14","0.00403")</f>
        <v>0.00403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HYPERLINK("http://141.218.60.56/~jnz1568/getInfo.php?workbook=14_04.xlsx&amp;sheet=U0&amp;row=1789&amp;col=6&amp;number=3.5&amp;sourceID=14","3.5")</f>
        <v>3.5</v>
      </c>
      <c r="G1789" s="4" t="str">
        <f>HYPERLINK("http://141.218.60.56/~jnz1568/getInfo.php?workbook=14_04.xlsx&amp;sheet=U0&amp;row=1789&amp;col=7&amp;number=0.00403&amp;sourceID=14","0.00403")</f>
        <v>0.00403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HYPERLINK("http://141.218.60.56/~jnz1568/getInfo.php?workbook=14_04.xlsx&amp;sheet=U0&amp;row=1790&amp;col=6&amp;number=3.6&amp;sourceID=14","3.6")</f>
        <v>3.6</v>
      </c>
      <c r="G1790" s="4" t="str">
        <f>HYPERLINK("http://141.218.60.56/~jnz1568/getInfo.php?workbook=14_04.xlsx&amp;sheet=U0&amp;row=1790&amp;col=7&amp;number=0.00403&amp;sourceID=14","0.00403")</f>
        <v>0.00403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HYPERLINK("http://141.218.60.56/~jnz1568/getInfo.php?workbook=14_04.xlsx&amp;sheet=U0&amp;row=1791&amp;col=6&amp;number=3.7&amp;sourceID=14","3.7")</f>
        <v>3.7</v>
      </c>
      <c r="G1791" s="4" t="str">
        <f>HYPERLINK("http://141.218.60.56/~jnz1568/getInfo.php?workbook=14_04.xlsx&amp;sheet=U0&amp;row=1791&amp;col=7&amp;number=0.00403&amp;sourceID=14","0.00403")</f>
        <v>0.00403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HYPERLINK("http://141.218.60.56/~jnz1568/getInfo.php?workbook=14_04.xlsx&amp;sheet=U0&amp;row=1792&amp;col=6&amp;number=3.8&amp;sourceID=14","3.8")</f>
        <v>3.8</v>
      </c>
      <c r="G1792" s="4" t="str">
        <f>HYPERLINK("http://141.218.60.56/~jnz1568/getInfo.php?workbook=14_04.xlsx&amp;sheet=U0&amp;row=1792&amp;col=7&amp;number=0.00403&amp;sourceID=14","0.00403")</f>
        <v>0.00403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HYPERLINK("http://141.218.60.56/~jnz1568/getInfo.php?workbook=14_04.xlsx&amp;sheet=U0&amp;row=1793&amp;col=6&amp;number=3.9&amp;sourceID=14","3.9")</f>
        <v>3.9</v>
      </c>
      <c r="G1793" s="4" t="str">
        <f>HYPERLINK("http://141.218.60.56/~jnz1568/getInfo.php?workbook=14_04.xlsx&amp;sheet=U0&amp;row=1793&amp;col=7&amp;number=0.00403&amp;sourceID=14","0.00403")</f>
        <v>0.00403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HYPERLINK("http://141.218.60.56/~jnz1568/getInfo.php?workbook=14_04.xlsx&amp;sheet=U0&amp;row=1794&amp;col=6&amp;number=4&amp;sourceID=14","4")</f>
        <v>4</v>
      </c>
      <c r="G1794" s="4" t="str">
        <f>HYPERLINK("http://141.218.60.56/~jnz1568/getInfo.php?workbook=14_04.xlsx&amp;sheet=U0&amp;row=1794&amp;col=7&amp;number=0.00403&amp;sourceID=14","0.00403")</f>
        <v>0.00403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HYPERLINK("http://141.218.60.56/~jnz1568/getInfo.php?workbook=14_04.xlsx&amp;sheet=U0&amp;row=1795&amp;col=6&amp;number=4.1&amp;sourceID=14","4.1")</f>
        <v>4.1</v>
      </c>
      <c r="G1795" s="4" t="str">
        <f>HYPERLINK("http://141.218.60.56/~jnz1568/getInfo.php?workbook=14_04.xlsx&amp;sheet=U0&amp;row=1795&amp;col=7&amp;number=0.00402&amp;sourceID=14","0.00402")</f>
        <v>0.00402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HYPERLINK("http://141.218.60.56/~jnz1568/getInfo.php?workbook=14_04.xlsx&amp;sheet=U0&amp;row=1796&amp;col=6&amp;number=4.2&amp;sourceID=14","4.2")</f>
        <v>4.2</v>
      </c>
      <c r="G1796" s="4" t="str">
        <f>HYPERLINK("http://141.218.60.56/~jnz1568/getInfo.php?workbook=14_04.xlsx&amp;sheet=U0&amp;row=1796&amp;col=7&amp;number=0.00402&amp;sourceID=14","0.00402")</f>
        <v>0.00402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HYPERLINK("http://141.218.60.56/~jnz1568/getInfo.php?workbook=14_04.xlsx&amp;sheet=U0&amp;row=1797&amp;col=6&amp;number=4.3&amp;sourceID=14","4.3")</f>
        <v>4.3</v>
      </c>
      <c r="G1797" s="4" t="str">
        <f>HYPERLINK("http://141.218.60.56/~jnz1568/getInfo.php?workbook=14_04.xlsx&amp;sheet=U0&amp;row=1797&amp;col=7&amp;number=0.00401&amp;sourceID=14","0.00401")</f>
        <v>0.00401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HYPERLINK("http://141.218.60.56/~jnz1568/getInfo.php?workbook=14_04.xlsx&amp;sheet=U0&amp;row=1798&amp;col=6&amp;number=4.4&amp;sourceID=14","4.4")</f>
        <v>4.4</v>
      </c>
      <c r="G1798" s="4" t="str">
        <f>HYPERLINK("http://141.218.60.56/~jnz1568/getInfo.php?workbook=14_04.xlsx&amp;sheet=U0&amp;row=1798&amp;col=7&amp;number=0.00401&amp;sourceID=14","0.00401")</f>
        <v>0.00401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HYPERLINK("http://141.218.60.56/~jnz1568/getInfo.php?workbook=14_04.xlsx&amp;sheet=U0&amp;row=1799&amp;col=6&amp;number=4.5&amp;sourceID=14","4.5")</f>
        <v>4.5</v>
      </c>
      <c r="G1799" s="4" t="str">
        <f>HYPERLINK("http://141.218.60.56/~jnz1568/getInfo.php?workbook=14_04.xlsx&amp;sheet=U0&amp;row=1799&amp;col=7&amp;number=0.004&amp;sourceID=14","0.004")</f>
        <v>0.004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HYPERLINK("http://141.218.60.56/~jnz1568/getInfo.php?workbook=14_04.xlsx&amp;sheet=U0&amp;row=1800&amp;col=6&amp;number=4.6&amp;sourceID=14","4.6")</f>
        <v>4.6</v>
      </c>
      <c r="G1800" s="4" t="str">
        <f>HYPERLINK("http://141.218.60.56/~jnz1568/getInfo.php?workbook=14_04.xlsx&amp;sheet=U0&amp;row=1800&amp;col=7&amp;number=0.00399&amp;sourceID=14","0.00399")</f>
        <v>0.00399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HYPERLINK("http://141.218.60.56/~jnz1568/getInfo.php?workbook=14_04.xlsx&amp;sheet=U0&amp;row=1801&amp;col=6&amp;number=4.7&amp;sourceID=14","4.7")</f>
        <v>4.7</v>
      </c>
      <c r="G1801" s="4" t="str">
        <f>HYPERLINK("http://141.218.60.56/~jnz1568/getInfo.php?workbook=14_04.xlsx&amp;sheet=U0&amp;row=1801&amp;col=7&amp;number=0.00398&amp;sourceID=14","0.00398")</f>
        <v>0.00398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HYPERLINK("http://141.218.60.56/~jnz1568/getInfo.php?workbook=14_04.xlsx&amp;sheet=U0&amp;row=1802&amp;col=6&amp;number=4.8&amp;sourceID=14","4.8")</f>
        <v>4.8</v>
      </c>
      <c r="G1802" s="4" t="str">
        <f>HYPERLINK("http://141.218.60.56/~jnz1568/getInfo.php?workbook=14_04.xlsx&amp;sheet=U0&amp;row=1802&amp;col=7&amp;number=0.00397&amp;sourceID=14","0.00397")</f>
        <v>0.00397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HYPERLINK("http://141.218.60.56/~jnz1568/getInfo.php?workbook=14_04.xlsx&amp;sheet=U0&amp;row=1803&amp;col=6&amp;number=4.9&amp;sourceID=14","4.9")</f>
        <v>4.9</v>
      </c>
      <c r="G1803" s="4" t="str">
        <f>HYPERLINK("http://141.218.60.56/~jnz1568/getInfo.php?workbook=14_04.xlsx&amp;sheet=U0&amp;row=1803&amp;col=7&amp;number=0.00395&amp;sourceID=14","0.00395")</f>
        <v>0.00395</v>
      </c>
    </row>
    <row r="1804" spans="1:7">
      <c r="A1804" s="3">
        <v>14</v>
      </c>
      <c r="B1804" s="3">
        <v>4</v>
      </c>
      <c r="C1804" s="3">
        <v>1</v>
      </c>
      <c r="D1804" s="3">
        <v>56</v>
      </c>
      <c r="E1804" s="3">
        <v>1</v>
      </c>
      <c r="F1804" s="4" t="str">
        <f>HYPERLINK("http://141.218.60.56/~jnz1568/getInfo.php?workbook=14_04.xlsx&amp;sheet=U0&amp;row=1804&amp;col=6&amp;number=3&amp;sourceID=14","3")</f>
        <v>3</v>
      </c>
      <c r="G1804" s="4" t="str">
        <f>HYPERLINK("http://141.218.60.56/~jnz1568/getInfo.php?workbook=14_04.xlsx&amp;sheet=U0&amp;row=1804&amp;col=7&amp;number=0.00953&amp;sourceID=14","0.00953")</f>
        <v>0.00953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HYPERLINK("http://141.218.60.56/~jnz1568/getInfo.php?workbook=14_04.xlsx&amp;sheet=U0&amp;row=1805&amp;col=6&amp;number=3.1&amp;sourceID=14","3.1")</f>
        <v>3.1</v>
      </c>
      <c r="G1805" s="4" t="str">
        <f>HYPERLINK("http://141.218.60.56/~jnz1568/getInfo.php?workbook=14_04.xlsx&amp;sheet=U0&amp;row=1805&amp;col=7&amp;number=0.00953&amp;sourceID=14","0.00953")</f>
        <v>0.00953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HYPERLINK("http://141.218.60.56/~jnz1568/getInfo.php?workbook=14_04.xlsx&amp;sheet=U0&amp;row=1806&amp;col=6&amp;number=3.2&amp;sourceID=14","3.2")</f>
        <v>3.2</v>
      </c>
      <c r="G1806" s="4" t="str">
        <f>HYPERLINK("http://141.218.60.56/~jnz1568/getInfo.php?workbook=14_04.xlsx&amp;sheet=U0&amp;row=1806&amp;col=7&amp;number=0.00953&amp;sourceID=14","0.00953")</f>
        <v>0.00953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HYPERLINK("http://141.218.60.56/~jnz1568/getInfo.php?workbook=14_04.xlsx&amp;sheet=U0&amp;row=1807&amp;col=6&amp;number=3.3&amp;sourceID=14","3.3")</f>
        <v>3.3</v>
      </c>
      <c r="G1807" s="4" t="str">
        <f>HYPERLINK("http://141.218.60.56/~jnz1568/getInfo.php?workbook=14_04.xlsx&amp;sheet=U0&amp;row=1807&amp;col=7&amp;number=0.00953&amp;sourceID=14","0.00953")</f>
        <v>0.00953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HYPERLINK("http://141.218.60.56/~jnz1568/getInfo.php?workbook=14_04.xlsx&amp;sheet=U0&amp;row=1808&amp;col=6&amp;number=3.4&amp;sourceID=14","3.4")</f>
        <v>3.4</v>
      </c>
      <c r="G1808" s="4" t="str">
        <f>HYPERLINK("http://141.218.60.56/~jnz1568/getInfo.php?workbook=14_04.xlsx&amp;sheet=U0&amp;row=1808&amp;col=7&amp;number=0.00953&amp;sourceID=14","0.00953")</f>
        <v>0.00953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HYPERLINK("http://141.218.60.56/~jnz1568/getInfo.php?workbook=14_04.xlsx&amp;sheet=U0&amp;row=1809&amp;col=6&amp;number=3.5&amp;sourceID=14","3.5")</f>
        <v>3.5</v>
      </c>
      <c r="G1809" s="4" t="str">
        <f>HYPERLINK("http://141.218.60.56/~jnz1568/getInfo.php?workbook=14_04.xlsx&amp;sheet=U0&amp;row=1809&amp;col=7&amp;number=0.00953&amp;sourceID=14","0.00953")</f>
        <v>0.00953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HYPERLINK("http://141.218.60.56/~jnz1568/getInfo.php?workbook=14_04.xlsx&amp;sheet=U0&amp;row=1810&amp;col=6&amp;number=3.6&amp;sourceID=14","3.6")</f>
        <v>3.6</v>
      </c>
      <c r="G1810" s="4" t="str">
        <f>HYPERLINK("http://141.218.60.56/~jnz1568/getInfo.php?workbook=14_04.xlsx&amp;sheet=U0&amp;row=1810&amp;col=7&amp;number=0.00953&amp;sourceID=14","0.00953")</f>
        <v>0.00953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HYPERLINK("http://141.218.60.56/~jnz1568/getInfo.php?workbook=14_04.xlsx&amp;sheet=U0&amp;row=1811&amp;col=6&amp;number=3.7&amp;sourceID=14","3.7")</f>
        <v>3.7</v>
      </c>
      <c r="G1811" s="4" t="str">
        <f>HYPERLINK("http://141.218.60.56/~jnz1568/getInfo.php?workbook=14_04.xlsx&amp;sheet=U0&amp;row=1811&amp;col=7&amp;number=0.00953&amp;sourceID=14","0.00953")</f>
        <v>0.00953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HYPERLINK("http://141.218.60.56/~jnz1568/getInfo.php?workbook=14_04.xlsx&amp;sheet=U0&amp;row=1812&amp;col=6&amp;number=3.8&amp;sourceID=14","3.8")</f>
        <v>3.8</v>
      </c>
      <c r="G1812" s="4" t="str">
        <f>HYPERLINK("http://141.218.60.56/~jnz1568/getInfo.php?workbook=14_04.xlsx&amp;sheet=U0&amp;row=1812&amp;col=7&amp;number=0.00954&amp;sourceID=14","0.00954")</f>
        <v>0.00954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HYPERLINK("http://141.218.60.56/~jnz1568/getInfo.php?workbook=14_04.xlsx&amp;sheet=U0&amp;row=1813&amp;col=6&amp;number=3.9&amp;sourceID=14","3.9")</f>
        <v>3.9</v>
      </c>
      <c r="G1813" s="4" t="str">
        <f>HYPERLINK("http://141.218.60.56/~jnz1568/getInfo.php?workbook=14_04.xlsx&amp;sheet=U0&amp;row=1813&amp;col=7&amp;number=0.00954&amp;sourceID=14","0.00954")</f>
        <v>0.00954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HYPERLINK("http://141.218.60.56/~jnz1568/getInfo.php?workbook=14_04.xlsx&amp;sheet=U0&amp;row=1814&amp;col=6&amp;number=4&amp;sourceID=14","4")</f>
        <v>4</v>
      </c>
      <c r="G1814" s="4" t="str">
        <f>HYPERLINK("http://141.218.60.56/~jnz1568/getInfo.php?workbook=14_04.xlsx&amp;sheet=U0&amp;row=1814&amp;col=7&amp;number=0.00954&amp;sourceID=14","0.00954")</f>
        <v>0.00954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HYPERLINK("http://141.218.60.56/~jnz1568/getInfo.php?workbook=14_04.xlsx&amp;sheet=U0&amp;row=1815&amp;col=6&amp;number=4.1&amp;sourceID=14","4.1")</f>
        <v>4.1</v>
      </c>
      <c r="G1815" s="4" t="str">
        <f>HYPERLINK("http://141.218.60.56/~jnz1568/getInfo.php?workbook=14_04.xlsx&amp;sheet=U0&amp;row=1815&amp;col=7&amp;number=0.00955&amp;sourceID=14","0.00955")</f>
        <v>0.00955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HYPERLINK("http://141.218.60.56/~jnz1568/getInfo.php?workbook=14_04.xlsx&amp;sheet=U0&amp;row=1816&amp;col=6&amp;number=4.2&amp;sourceID=14","4.2")</f>
        <v>4.2</v>
      </c>
      <c r="G1816" s="4" t="str">
        <f>HYPERLINK("http://141.218.60.56/~jnz1568/getInfo.php?workbook=14_04.xlsx&amp;sheet=U0&amp;row=1816&amp;col=7&amp;number=0.00956&amp;sourceID=14","0.00956")</f>
        <v>0.00956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HYPERLINK("http://141.218.60.56/~jnz1568/getInfo.php?workbook=14_04.xlsx&amp;sheet=U0&amp;row=1817&amp;col=6&amp;number=4.3&amp;sourceID=14","4.3")</f>
        <v>4.3</v>
      </c>
      <c r="G1817" s="4" t="str">
        <f>HYPERLINK("http://141.218.60.56/~jnz1568/getInfo.php?workbook=14_04.xlsx&amp;sheet=U0&amp;row=1817&amp;col=7&amp;number=0.00957&amp;sourceID=14","0.00957")</f>
        <v>0.00957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HYPERLINK("http://141.218.60.56/~jnz1568/getInfo.php?workbook=14_04.xlsx&amp;sheet=U0&amp;row=1818&amp;col=6&amp;number=4.4&amp;sourceID=14","4.4")</f>
        <v>4.4</v>
      </c>
      <c r="G1818" s="4" t="str">
        <f>HYPERLINK("http://141.218.60.56/~jnz1568/getInfo.php?workbook=14_04.xlsx&amp;sheet=U0&amp;row=1818&amp;col=7&amp;number=0.00958&amp;sourceID=14","0.00958")</f>
        <v>0.00958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HYPERLINK("http://141.218.60.56/~jnz1568/getInfo.php?workbook=14_04.xlsx&amp;sheet=U0&amp;row=1819&amp;col=6&amp;number=4.5&amp;sourceID=14","4.5")</f>
        <v>4.5</v>
      </c>
      <c r="G1819" s="4" t="str">
        <f>HYPERLINK("http://141.218.60.56/~jnz1568/getInfo.php?workbook=14_04.xlsx&amp;sheet=U0&amp;row=1819&amp;col=7&amp;number=0.00959&amp;sourceID=14","0.00959")</f>
        <v>0.00959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HYPERLINK("http://141.218.60.56/~jnz1568/getInfo.php?workbook=14_04.xlsx&amp;sheet=U0&amp;row=1820&amp;col=6&amp;number=4.6&amp;sourceID=14","4.6")</f>
        <v>4.6</v>
      </c>
      <c r="G1820" s="4" t="str">
        <f>HYPERLINK("http://141.218.60.56/~jnz1568/getInfo.php?workbook=14_04.xlsx&amp;sheet=U0&amp;row=1820&amp;col=7&amp;number=0.00961&amp;sourceID=14","0.00961")</f>
        <v>0.00961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HYPERLINK("http://141.218.60.56/~jnz1568/getInfo.php?workbook=14_04.xlsx&amp;sheet=U0&amp;row=1821&amp;col=6&amp;number=4.7&amp;sourceID=14","4.7")</f>
        <v>4.7</v>
      </c>
      <c r="G1821" s="4" t="str">
        <f>HYPERLINK("http://141.218.60.56/~jnz1568/getInfo.php?workbook=14_04.xlsx&amp;sheet=U0&amp;row=1821&amp;col=7&amp;number=0.00963&amp;sourceID=14","0.00963")</f>
        <v>0.00963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HYPERLINK("http://141.218.60.56/~jnz1568/getInfo.php?workbook=14_04.xlsx&amp;sheet=U0&amp;row=1822&amp;col=6&amp;number=4.8&amp;sourceID=14","4.8")</f>
        <v>4.8</v>
      </c>
      <c r="G1822" s="4" t="str">
        <f>HYPERLINK("http://141.218.60.56/~jnz1568/getInfo.php?workbook=14_04.xlsx&amp;sheet=U0&amp;row=1822&amp;col=7&amp;number=0.00965&amp;sourceID=14","0.00965")</f>
        <v>0.00965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HYPERLINK("http://141.218.60.56/~jnz1568/getInfo.php?workbook=14_04.xlsx&amp;sheet=U0&amp;row=1823&amp;col=6&amp;number=4.9&amp;sourceID=14","4.9")</f>
        <v>4.9</v>
      </c>
      <c r="G1823" s="4" t="str">
        <f>HYPERLINK("http://141.218.60.56/~jnz1568/getInfo.php?workbook=14_04.xlsx&amp;sheet=U0&amp;row=1823&amp;col=7&amp;number=0.00969&amp;sourceID=14","0.00969")</f>
        <v>0.00969</v>
      </c>
    </row>
    <row r="1824" spans="1:7">
      <c r="A1824" s="3">
        <v>14</v>
      </c>
      <c r="B1824" s="3">
        <v>4</v>
      </c>
      <c r="C1824" s="3">
        <v>1</v>
      </c>
      <c r="D1824" s="3">
        <v>57</v>
      </c>
      <c r="E1824" s="3">
        <v>1</v>
      </c>
      <c r="F1824" s="4" t="str">
        <f>HYPERLINK("http://141.218.60.56/~jnz1568/getInfo.php?workbook=14_04.xlsx&amp;sheet=U0&amp;row=1824&amp;col=6&amp;number=3&amp;sourceID=14","3")</f>
        <v>3</v>
      </c>
      <c r="G1824" s="4" t="str">
        <f>HYPERLINK("http://141.218.60.56/~jnz1568/getInfo.php?workbook=14_04.xlsx&amp;sheet=U0&amp;row=1824&amp;col=7&amp;number=6.96e-06&amp;sourceID=14","6.96e-06")</f>
        <v>6.96e-06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HYPERLINK("http://141.218.60.56/~jnz1568/getInfo.php?workbook=14_04.xlsx&amp;sheet=U0&amp;row=1825&amp;col=6&amp;number=3.1&amp;sourceID=14","3.1")</f>
        <v>3.1</v>
      </c>
      <c r="G1825" s="4" t="str">
        <f>HYPERLINK("http://141.218.60.56/~jnz1568/getInfo.php?workbook=14_04.xlsx&amp;sheet=U0&amp;row=1825&amp;col=7&amp;number=6.96e-06&amp;sourceID=14","6.96e-06")</f>
        <v>6.96e-06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HYPERLINK("http://141.218.60.56/~jnz1568/getInfo.php?workbook=14_04.xlsx&amp;sheet=U0&amp;row=1826&amp;col=6&amp;number=3.2&amp;sourceID=14","3.2")</f>
        <v>3.2</v>
      </c>
      <c r="G1826" s="4" t="str">
        <f>HYPERLINK("http://141.218.60.56/~jnz1568/getInfo.php?workbook=14_04.xlsx&amp;sheet=U0&amp;row=1826&amp;col=7&amp;number=6.96e-06&amp;sourceID=14","6.96e-06")</f>
        <v>6.96e-06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HYPERLINK("http://141.218.60.56/~jnz1568/getInfo.php?workbook=14_04.xlsx&amp;sheet=U0&amp;row=1827&amp;col=6&amp;number=3.3&amp;sourceID=14","3.3")</f>
        <v>3.3</v>
      </c>
      <c r="G1827" s="4" t="str">
        <f>HYPERLINK("http://141.218.60.56/~jnz1568/getInfo.php?workbook=14_04.xlsx&amp;sheet=U0&amp;row=1827&amp;col=7&amp;number=6.96e-06&amp;sourceID=14","6.96e-06")</f>
        <v>6.96e-06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HYPERLINK("http://141.218.60.56/~jnz1568/getInfo.php?workbook=14_04.xlsx&amp;sheet=U0&amp;row=1828&amp;col=6&amp;number=3.4&amp;sourceID=14","3.4")</f>
        <v>3.4</v>
      </c>
      <c r="G1828" s="4" t="str">
        <f>HYPERLINK("http://141.218.60.56/~jnz1568/getInfo.php?workbook=14_04.xlsx&amp;sheet=U0&amp;row=1828&amp;col=7&amp;number=6.96e-06&amp;sourceID=14","6.96e-06")</f>
        <v>6.96e-06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HYPERLINK("http://141.218.60.56/~jnz1568/getInfo.php?workbook=14_04.xlsx&amp;sheet=U0&amp;row=1829&amp;col=6&amp;number=3.5&amp;sourceID=14","3.5")</f>
        <v>3.5</v>
      </c>
      <c r="G1829" s="4" t="str">
        <f>HYPERLINK("http://141.218.60.56/~jnz1568/getInfo.php?workbook=14_04.xlsx&amp;sheet=U0&amp;row=1829&amp;col=7&amp;number=6.96e-06&amp;sourceID=14","6.96e-06")</f>
        <v>6.96e-06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HYPERLINK("http://141.218.60.56/~jnz1568/getInfo.php?workbook=14_04.xlsx&amp;sheet=U0&amp;row=1830&amp;col=6&amp;number=3.6&amp;sourceID=14","3.6")</f>
        <v>3.6</v>
      </c>
      <c r="G1830" s="4" t="str">
        <f>HYPERLINK("http://141.218.60.56/~jnz1568/getInfo.php?workbook=14_04.xlsx&amp;sheet=U0&amp;row=1830&amp;col=7&amp;number=6.96e-06&amp;sourceID=14","6.96e-06")</f>
        <v>6.96e-06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HYPERLINK("http://141.218.60.56/~jnz1568/getInfo.php?workbook=14_04.xlsx&amp;sheet=U0&amp;row=1831&amp;col=6&amp;number=3.7&amp;sourceID=14","3.7")</f>
        <v>3.7</v>
      </c>
      <c r="G1831" s="4" t="str">
        <f>HYPERLINK("http://141.218.60.56/~jnz1568/getInfo.php?workbook=14_04.xlsx&amp;sheet=U0&amp;row=1831&amp;col=7&amp;number=6.96e-06&amp;sourceID=14","6.96e-06")</f>
        <v>6.96e-06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HYPERLINK("http://141.218.60.56/~jnz1568/getInfo.php?workbook=14_04.xlsx&amp;sheet=U0&amp;row=1832&amp;col=6&amp;number=3.8&amp;sourceID=14","3.8")</f>
        <v>3.8</v>
      </c>
      <c r="G1832" s="4" t="str">
        <f>HYPERLINK("http://141.218.60.56/~jnz1568/getInfo.php?workbook=14_04.xlsx&amp;sheet=U0&amp;row=1832&amp;col=7&amp;number=6.95e-06&amp;sourceID=14","6.95e-06")</f>
        <v>6.95e-06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HYPERLINK("http://141.218.60.56/~jnz1568/getInfo.php?workbook=14_04.xlsx&amp;sheet=U0&amp;row=1833&amp;col=6&amp;number=3.9&amp;sourceID=14","3.9")</f>
        <v>3.9</v>
      </c>
      <c r="G1833" s="4" t="str">
        <f>HYPERLINK("http://141.218.60.56/~jnz1568/getInfo.php?workbook=14_04.xlsx&amp;sheet=U0&amp;row=1833&amp;col=7&amp;number=6.95e-06&amp;sourceID=14","6.95e-06")</f>
        <v>6.95e-06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HYPERLINK("http://141.218.60.56/~jnz1568/getInfo.php?workbook=14_04.xlsx&amp;sheet=U0&amp;row=1834&amp;col=6&amp;number=4&amp;sourceID=14","4")</f>
        <v>4</v>
      </c>
      <c r="G1834" s="4" t="str">
        <f>HYPERLINK("http://141.218.60.56/~jnz1568/getInfo.php?workbook=14_04.xlsx&amp;sheet=U0&amp;row=1834&amp;col=7&amp;number=6.95e-06&amp;sourceID=14","6.95e-06")</f>
        <v>6.95e-06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HYPERLINK("http://141.218.60.56/~jnz1568/getInfo.php?workbook=14_04.xlsx&amp;sheet=U0&amp;row=1835&amp;col=6&amp;number=4.1&amp;sourceID=14","4.1")</f>
        <v>4.1</v>
      </c>
      <c r="G1835" s="4" t="str">
        <f>HYPERLINK("http://141.218.60.56/~jnz1568/getInfo.php?workbook=14_04.xlsx&amp;sheet=U0&amp;row=1835&amp;col=7&amp;number=6.94e-06&amp;sourceID=14","6.94e-06")</f>
        <v>6.94e-06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HYPERLINK("http://141.218.60.56/~jnz1568/getInfo.php?workbook=14_04.xlsx&amp;sheet=U0&amp;row=1836&amp;col=6&amp;number=4.2&amp;sourceID=14","4.2")</f>
        <v>4.2</v>
      </c>
      <c r="G1836" s="4" t="str">
        <f>HYPERLINK("http://141.218.60.56/~jnz1568/getInfo.php?workbook=14_04.xlsx&amp;sheet=U0&amp;row=1836&amp;col=7&amp;number=6.94e-06&amp;sourceID=14","6.94e-06")</f>
        <v>6.94e-06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HYPERLINK("http://141.218.60.56/~jnz1568/getInfo.php?workbook=14_04.xlsx&amp;sheet=U0&amp;row=1837&amp;col=6&amp;number=4.3&amp;sourceID=14","4.3")</f>
        <v>4.3</v>
      </c>
      <c r="G1837" s="4" t="str">
        <f>HYPERLINK("http://141.218.60.56/~jnz1568/getInfo.php?workbook=14_04.xlsx&amp;sheet=U0&amp;row=1837&amp;col=7&amp;number=6.93e-06&amp;sourceID=14","6.93e-06")</f>
        <v>6.93e-06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HYPERLINK("http://141.218.60.56/~jnz1568/getInfo.php?workbook=14_04.xlsx&amp;sheet=U0&amp;row=1838&amp;col=6&amp;number=4.4&amp;sourceID=14","4.4")</f>
        <v>4.4</v>
      </c>
      <c r="G1838" s="4" t="str">
        <f>HYPERLINK("http://141.218.60.56/~jnz1568/getInfo.php?workbook=14_04.xlsx&amp;sheet=U0&amp;row=1838&amp;col=7&amp;number=6.92e-06&amp;sourceID=14","6.92e-06")</f>
        <v>6.92e-06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HYPERLINK("http://141.218.60.56/~jnz1568/getInfo.php?workbook=14_04.xlsx&amp;sheet=U0&amp;row=1839&amp;col=6&amp;number=4.5&amp;sourceID=14","4.5")</f>
        <v>4.5</v>
      </c>
      <c r="G1839" s="4" t="str">
        <f>HYPERLINK("http://141.218.60.56/~jnz1568/getInfo.php?workbook=14_04.xlsx&amp;sheet=U0&amp;row=1839&amp;col=7&amp;number=6.91e-06&amp;sourceID=14","6.91e-06")</f>
        <v>6.91e-06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HYPERLINK("http://141.218.60.56/~jnz1568/getInfo.php?workbook=14_04.xlsx&amp;sheet=U0&amp;row=1840&amp;col=6&amp;number=4.6&amp;sourceID=14","4.6")</f>
        <v>4.6</v>
      </c>
      <c r="G1840" s="4" t="str">
        <f>HYPERLINK("http://141.218.60.56/~jnz1568/getInfo.php?workbook=14_04.xlsx&amp;sheet=U0&amp;row=1840&amp;col=7&amp;number=6.9e-06&amp;sourceID=14","6.9e-06")</f>
        <v>6.9e-06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HYPERLINK("http://141.218.60.56/~jnz1568/getInfo.php?workbook=14_04.xlsx&amp;sheet=U0&amp;row=1841&amp;col=6&amp;number=4.7&amp;sourceID=14","4.7")</f>
        <v>4.7</v>
      </c>
      <c r="G1841" s="4" t="str">
        <f>HYPERLINK("http://141.218.60.56/~jnz1568/getInfo.php?workbook=14_04.xlsx&amp;sheet=U0&amp;row=1841&amp;col=7&amp;number=6.88e-06&amp;sourceID=14","6.88e-06")</f>
        <v>6.88e-06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HYPERLINK("http://141.218.60.56/~jnz1568/getInfo.php?workbook=14_04.xlsx&amp;sheet=U0&amp;row=1842&amp;col=6&amp;number=4.8&amp;sourceID=14","4.8")</f>
        <v>4.8</v>
      </c>
      <c r="G1842" s="4" t="str">
        <f>HYPERLINK("http://141.218.60.56/~jnz1568/getInfo.php?workbook=14_04.xlsx&amp;sheet=U0&amp;row=1842&amp;col=7&amp;number=6.86e-06&amp;sourceID=14","6.86e-06")</f>
        <v>6.86e-06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HYPERLINK("http://141.218.60.56/~jnz1568/getInfo.php?workbook=14_04.xlsx&amp;sheet=U0&amp;row=1843&amp;col=6&amp;number=4.9&amp;sourceID=14","4.9")</f>
        <v>4.9</v>
      </c>
      <c r="G1843" s="4" t="str">
        <f>HYPERLINK("http://141.218.60.56/~jnz1568/getInfo.php?workbook=14_04.xlsx&amp;sheet=U0&amp;row=1843&amp;col=7&amp;number=6.84e-06&amp;sourceID=14","6.84e-06")</f>
        <v>6.84e-06</v>
      </c>
    </row>
    <row r="1844" spans="1:7">
      <c r="A1844" s="3">
        <v>14</v>
      </c>
      <c r="B1844" s="3">
        <v>4</v>
      </c>
      <c r="C1844" s="3">
        <v>1</v>
      </c>
      <c r="D1844" s="3">
        <v>58</v>
      </c>
      <c r="E1844" s="3">
        <v>1</v>
      </c>
      <c r="F1844" s="4" t="str">
        <f>HYPERLINK("http://141.218.60.56/~jnz1568/getInfo.php?workbook=14_04.xlsx&amp;sheet=U0&amp;row=1844&amp;col=6&amp;number=3&amp;sourceID=14","3")</f>
        <v>3</v>
      </c>
      <c r="G1844" s="4" t="str">
        <f>HYPERLINK("http://141.218.60.56/~jnz1568/getInfo.php?workbook=14_04.xlsx&amp;sheet=U0&amp;row=1844&amp;col=7&amp;number=2.56e-05&amp;sourceID=14","2.56e-05")</f>
        <v>2.56e-05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HYPERLINK("http://141.218.60.56/~jnz1568/getInfo.php?workbook=14_04.xlsx&amp;sheet=U0&amp;row=1845&amp;col=6&amp;number=3.1&amp;sourceID=14","3.1")</f>
        <v>3.1</v>
      </c>
      <c r="G1845" s="4" t="str">
        <f>HYPERLINK("http://141.218.60.56/~jnz1568/getInfo.php?workbook=14_04.xlsx&amp;sheet=U0&amp;row=1845&amp;col=7&amp;number=2.56e-05&amp;sourceID=14","2.56e-05")</f>
        <v>2.56e-05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HYPERLINK("http://141.218.60.56/~jnz1568/getInfo.php?workbook=14_04.xlsx&amp;sheet=U0&amp;row=1846&amp;col=6&amp;number=3.2&amp;sourceID=14","3.2")</f>
        <v>3.2</v>
      </c>
      <c r="G1846" s="4" t="str">
        <f>HYPERLINK("http://141.218.60.56/~jnz1568/getInfo.php?workbook=14_04.xlsx&amp;sheet=U0&amp;row=1846&amp;col=7&amp;number=2.56e-05&amp;sourceID=14","2.56e-05")</f>
        <v>2.56e-05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HYPERLINK("http://141.218.60.56/~jnz1568/getInfo.php?workbook=14_04.xlsx&amp;sheet=U0&amp;row=1847&amp;col=6&amp;number=3.3&amp;sourceID=14","3.3")</f>
        <v>3.3</v>
      </c>
      <c r="G1847" s="4" t="str">
        <f>HYPERLINK("http://141.218.60.56/~jnz1568/getInfo.php?workbook=14_04.xlsx&amp;sheet=U0&amp;row=1847&amp;col=7&amp;number=2.56e-05&amp;sourceID=14","2.56e-05")</f>
        <v>2.56e-05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HYPERLINK("http://141.218.60.56/~jnz1568/getInfo.php?workbook=14_04.xlsx&amp;sheet=U0&amp;row=1848&amp;col=6&amp;number=3.4&amp;sourceID=14","3.4")</f>
        <v>3.4</v>
      </c>
      <c r="G1848" s="4" t="str">
        <f>HYPERLINK("http://141.218.60.56/~jnz1568/getInfo.php?workbook=14_04.xlsx&amp;sheet=U0&amp;row=1848&amp;col=7&amp;number=2.56e-05&amp;sourceID=14","2.56e-05")</f>
        <v>2.56e-05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HYPERLINK("http://141.218.60.56/~jnz1568/getInfo.php?workbook=14_04.xlsx&amp;sheet=U0&amp;row=1849&amp;col=6&amp;number=3.5&amp;sourceID=14","3.5")</f>
        <v>3.5</v>
      </c>
      <c r="G1849" s="4" t="str">
        <f>HYPERLINK("http://141.218.60.56/~jnz1568/getInfo.php?workbook=14_04.xlsx&amp;sheet=U0&amp;row=1849&amp;col=7&amp;number=2.56e-05&amp;sourceID=14","2.56e-05")</f>
        <v>2.56e-05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HYPERLINK("http://141.218.60.56/~jnz1568/getInfo.php?workbook=14_04.xlsx&amp;sheet=U0&amp;row=1850&amp;col=6&amp;number=3.6&amp;sourceID=14","3.6")</f>
        <v>3.6</v>
      </c>
      <c r="G1850" s="4" t="str">
        <f>HYPERLINK("http://141.218.60.56/~jnz1568/getInfo.php?workbook=14_04.xlsx&amp;sheet=U0&amp;row=1850&amp;col=7&amp;number=2.56e-05&amp;sourceID=14","2.56e-05")</f>
        <v>2.56e-05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HYPERLINK("http://141.218.60.56/~jnz1568/getInfo.php?workbook=14_04.xlsx&amp;sheet=U0&amp;row=1851&amp;col=6&amp;number=3.7&amp;sourceID=14","3.7")</f>
        <v>3.7</v>
      </c>
      <c r="G1851" s="4" t="str">
        <f>HYPERLINK("http://141.218.60.56/~jnz1568/getInfo.php?workbook=14_04.xlsx&amp;sheet=U0&amp;row=1851&amp;col=7&amp;number=2.56e-05&amp;sourceID=14","2.56e-05")</f>
        <v>2.56e-05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HYPERLINK("http://141.218.60.56/~jnz1568/getInfo.php?workbook=14_04.xlsx&amp;sheet=U0&amp;row=1852&amp;col=6&amp;number=3.8&amp;sourceID=14","3.8")</f>
        <v>3.8</v>
      </c>
      <c r="G1852" s="4" t="str">
        <f>HYPERLINK("http://141.218.60.56/~jnz1568/getInfo.php?workbook=14_04.xlsx&amp;sheet=U0&amp;row=1852&amp;col=7&amp;number=2.55e-05&amp;sourceID=14","2.55e-05")</f>
        <v>2.55e-05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HYPERLINK("http://141.218.60.56/~jnz1568/getInfo.php?workbook=14_04.xlsx&amp;sheet=U0&amp;row=1853&amp;col=6&amp;number=3.9&amp;sourceID=14","3.9")</f>
        <v>3.9</v>
      </c>
      <c r="G1853" s="4" t="str">
        <f>HYPERLINK("http://141.218.60.56/~jnz1568/getInfo.php?workbook=14_04.xlsx&amp;sheet=U0&amp;row=1853&amp;col=7&amp;number=2.55e-05&amp;sourceID=14","2.55e-05")</f>
        <v>2.55e-05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HYPERLINK("http://141.218.60.56/~jnz1568/getInfo.php?workbook=14_04.xlsx&amp;sheet=U0&amp;row=1854&amp;col=6&amp;number=4&amp;sourceID=14","4")</f>
        <v>4</v>
      </c>
      <c r="G1854" s="4" t="str">
        <f>HYPERLINK("http://141.218.60.56/~jnz1568/getInfo.php?workbook=14_04.xlsx&amp;sheet=U0&amp;row=1854&amp;col=7&amp;number=2.55e-05&amp;sourceID=14","2.55e-05")</f>
        <v>2.55e-05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HYPERLINK("http://141.218.60.56/~jnz1568/getInfo.php?workbook=14_04.xlsx&amp;sheet=U0&amp;row=1855&amp;col=6&amp;number=4.1&amp;sourceID=14","4.1")</f>
        <v>4.1</v>
      </c>
      <c r="G1855" s="4" t="str">
        <f>HYPERLINK("http://141.218.60.56/~jnz1568/getInfo.php?workbook=14_04.xlsx&amp;sheet=U0&amp;row=1855&amp;col=7&amp;number=2.55e-05&amp;sourceID=14","2.55e-05")</f>
        <v>2.55e-05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HYPERLINK("http://141.218.60.56/~jnz1568/getInfo.php?workbook=14_04.xlsx&amp;sheet=U0&amp;row=1856&amp;col=6&amp;number=4.2&amp;sourceID=14","4.2")</f>
        <v>4.2</v>
      </c>
      <c r="G1856" s="4" t="str">
        <f>HYPERLINK("http://141.218.60.56/~jnz1568/getInfo.php?workbook=14_04.xlsx&amp;sheet=U0&amp;row=1856&amp;col=7&amp;number=2.55e-05&amp;sourceID=14","2.55e-05")</f>
        <v>2.55e-05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HYPERLINK("http://141.218.60.56/~jnz1568/getInfo.php?workbook=14_04.xlsx&amp;sheet=U0&amp;row=1857&amp;col=6&amp;number=4.3&amp;sourceID=14","4.3")</f>
        <v>4.3</v>
      </c>
      <c r="G1857" s="4" t="str">
        <f>HYPERLINK("http://141.218.60.56/~jnz1568/getInfo.php?workbook=14_04.xlsx&amp;sheet=U0&amp;row=1857&amp;col=7&amp;number=2.55e-05&amp;sourceID=14","2.55e-05")</f>
        <v>2.55e-05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HYPERLINK("http://141.218.60.56/~jnz1568/getInfo.php?workbook=14_04.xlsx&amp;sheet=U0&amp;row=1858&amp;col=6&amp;number=4.4&amp;sourceID=14","4.4")</f>
        <v>4.4</v>
      </c>
      <c r="G1858" s="4" t="str">
        <f>HYPERLINK("http://141.218.60.56/~jnz1568/getInfo.php?workbook=14_04.xlsx&amp;sheet=U0&amp;row=1858&amp;col=7&amp;number=2.55e-05&amp;sourceID=14","2.55e-05")</f>
        <v>2.55e-05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HYPERLINK("http://141.218.60.56/~jnz1568/getInfo.php?workbook=14_04.xlsx&amp;sheet=U0&amp;row=1859&amp;col=6&amp;number=4.5&amp;sourceID=14","4.5")</f>
        <v>4.5</v>
      </c>
      <c r="G1859" s="4" t="str">
        <f>HYPERLINK("http://141.218.60.56/~jnz1568/getInfo.php?workbook=14_04.xlsx&amp;sheet=U0&amp;row=1859&amp;col=7&amp;number=2.55e-05&amp;sourceID=14","2.55e-05")</f>
        <v>2.55e-05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HYPERLINK("http://141.218.60.56/~jnz1568/getInfo.php?workbook=14_04.xlsx&amp;sheet=U0&amp;row=1860&amp;col=6&amp;number=4.6&amp;sourceID=14","4.6")</f>
        <v>4.6</v>
      </c>
      <c r="G1860" s="4" t="str">
        <f>HYPERLINK("http://141.218.60.56/~jnz1568/getInfo.php?workbook=14_04.xlsx&amp;sheet=U0&amp;row=1860&amp;col=7&amp;number=2.54e-05&amp;sourceID=14","2.54e-05")</f>
        <v>2.54e-05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HYPERLINK("http://141.218.60.56/~jnz1568/getInfo.php?workbook=14_04.xlsx&amp;sheet=U0&amp;row=1861&amp;col=6&amp;number=4.7&amp;sourceID=14","4.7")</f>
        <v>4.7</v>
      </c>
      <c r="G1861" s="4" t="str">
        <f>HYPERLINK("http://141.218.60.56/~jnz1568/getInfo.php?workbook=14_04.xlsx&amp;sheet=U0&amp;row=1861&amp;col=7&amp;number=2.54e-05&amp;sourceID=14","2.54e-05")</f>
        <v>2.54e-05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HYPERLINK("http://141.218.60.56/~jnz1568/getInfo.php?workbook=14_04.xlsx&amp;sheet=U0&amp;row=1862&amp;col=6&amp;number=4.8&amp;sourceID=14","4.8")</f>
        <v>4.8</v>
      </c>
      <c r="G1862" s="4" t="str">
        <f>HYPERLINK("http://141.218.60.56/~jnz1568/getInfo.php?workbook=14_04.xlsx&amp;sheet=U0&amp;row=1862&amp;col=7&amp;number=2.54e-05&amp;sourceID=14","2.54e-05")</f>
        <v>2.54e-05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HYPERLINK("http://141.218.60.56/~jnz1568/getInfo.php?workbook=14_04.xlsx&amp;sheet=U0&amp;row=1863&amp;col=6&amp;number=4.9&amp;sourceID=14","4.9")</f>
        <v>4.9</v>
      </c>
      <c r="G1863" s="4" t="str">
        <f>HYPERLINK("http://141.218.60.56/~jnz1568/getInfo.php?workbook=14_04.xlsx&amp;sheet=U0&amp;row=1863&amp;col=7&amp;number=2.53e-05&amp;sourceID=14","2.53e-05")</f>
        <v>2.53e-05</v>
      </c>
    </row>
    <row r="1864" spans="1:7">
      <c r="A1864" s="3">
        <v>14</v>
      </c>
      <c r="B1864" s="3">
        <v>4</v>
      </c>
      <c r="C1864" s="3">
        <v>1</v>
      </c>
      <c r="D1864" s="3">
        <v>59</v>
      </c>
      <c r="E1864" s="3">
        <v>1</v>
      </c>
      <c r="F1864" s="4" t="str">
        <f>HYPERLINK("http://141.218.60.56/~jnz1568/getInfo.php?workbook=14_04.xlsx&amp;sheet=U0&amp;row=1864&amp;col=6&amp;number=3&amp;sourceID=14","3")</f>
        <v>3</v>
      </c>
      <c r="G1864" s="4" t="str">
        <f>HYPERLINK("http://141.218.60.56/~jnz1568/getInfo.php?workbook=14_04.xlsx&amp;sheet=U0&amp;row=1864&amp;col=7&amp;number=3.3e-05&amp;sourceID=14","3.3e-05")</f>
        <v>3.3e-05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HYPERLINK("http://141.218.60.56/~jnz1568/getInfo.php?workbook=14_04.xlsx&amp;sheet=U0&amp;row=1865&amp;col=6&amp;number=3.1&amp;sourceID=14","3.1")</f>
        <v>3.1</v>
      </c>
      <c r="G1865" s="4" t="str">
        <f>HYPERLINK("http://141.218.60.56/~jnz1568/getInfo.php?workbook=14_04.xlsx&amp;sheet=U0&amp;row=1865&amp;col=7&amp;number=3.3e-05&amp;sourceID=14","3.3e-05")</f>
        <v>3.3e-05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HYPERLINK("http://141.218.60.56/~jnz1568/getInfo.php?workbook=14_04.xlsx&amp;sheet=U0&amp;row=1866&amp;col=6&amp;number=3.2&amp;sourceID=14","3.2")</f>
        <v>3.2</v>
      </c>
      <c r="G1866" s="4" t="str">
        <f>HYPERLINK("http://141.218.60.56/~jnz1568/getInfo.php?workbook=14_04.xlsx&amp;sheet=U0&amp;row=1866&amp;col=7&amp;number=3.3e-05&amp;sourceID=14","3.3e-05")</f>
        <v>3.3e-05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HYPERLINK("http://141.218.60.56/~jnz1568/getInfo.php?workbook=14_04.xlsx&amp;sheet=U0&amp;row=1867&amp;col=6&amp;number=3.3&amp;sourceID=14","3.3")</f>
        <v>3.3</v>
      </c>
      <c r="G1867" s="4" t="str">
        <f>HYPERLINK("http://141.218.60.56/~jnz1568/getInfo.php?workbook=14_04.xlsx&amp;sheet=U0&amp;row=1867&amp;col=7&amp;number=3.3e-05&amp;sourceID=14","3.3e-05")</f>
        <v>3.3e-05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HYPERLINK("http://141.218.60.56/~jnz1568/getInfo.php?workbook=14_04.xlsx&amp;sheet=U0&amp;row=1868&amp;col=6&amp;number=3.4&amp;sourceID=14","3.4")</f>
        <v>3.4</v>
      </c>
      <c r="G1868" s="4" t="str">
        <f>HYPERLINK("http://141.218.60.56/~jnz1568/getInfo.php?workbook=14_04.xlsx&amp;sheet=U0&amp;row=1868&amp;col=7&amp;number=3.3e-05&amp;sourceID=14","3.3e-05")</f>
        <v>3.3e-05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HYPERLINK("http://141.218.60.56/~jnz1568/getInfo.php?workbook=14_04.xlsx&amp;sheet=U0&amp;row=1869&amp;col=6&amp;number=3.5&amp;sourceID=14","3.5")</f>
        <v>3.5</v>
      </c>
      <c r="G1869" s="4" t="str">
        <f>HYPERLINK("http://141.218.60.56/~jnz1568/getInfo.php?workbook=14_04.xlsx&amp;sheet=U0&amp;row=1869&amp;col=7&amp;number=3.29e-05&amp;sourceID=14","3.29e-05")</f>
        <v>3.29e-05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HYPERLINK("http://141.218.60.56/~jnz1568/getInfo.php?workbook=14_04.xlsx&amp;sheet=U0&amp;row=1870&amp;col=6&amp;number=3.6&amp;sourceID=14","3.6")</f>
        <v>3.6</v>
      </c>
      <c r="G1870" s="4" t="str">
        <f>HYPERLINK("http://141.218.60.56/~jnz1568/getInfo.php?workbook=14_04.xlsx&amp;sheet=U0&amp;row=1870&amp;col=7&amp;number=3.29e-05&amp;sourceID=14","3.29e-05")</f>
        <v>3.29e-05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HYPERLINK("http://141.218.60.56/~jnz1568/getInfo.php?workbook=14_04.xlsx&amp;sheet=U0&amp;row=1871&amp;col=6&amp;number=3.7&amp;sourceID=14","3.7")</f>
        <v>3.7</v>
      </c>
      <c r="G1871" s="4" t="str">
        <f>HYPERLINK("http://141.218.60.56/~jnz1568/getInfo.php?workbook=14_04.xlsx&amp;sheet=U0&amp;row=1871&amp;col=7&amp;number=3.29e-05&amp;sourceID=14","3.29e-05")</f>
        <v>3.29e-05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HYPERLINK("http://141.218.60.56/~jnz1568/getInfo.php?workbook=14_04.xlsx&amp;sheet=U0&amp;row=1872&amp;col=6&amp;number=3.8&amp;sourceID=14","3.8")</f>
        <v>3.8</v>
      </c>
      <c r="G1872" s="4" t="str">
        <f>HYPERLINK("http://141.218.60.56/~jnz1568/getInfo.php?workbook=14_04.xlsx&amp;sheet=U0&amp;row=1872&amp;col=7&amp;number=3.29e-05&amp;sourceID=14","3.29e-05")</f>
        <v>3.29e-05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HYPERLINK("http://141.218.60.56/~jnz1568/getInfo.php?workbook=14_04.xlsx&amp;sheet=U0&amp;row=1873&amp;col=6&amp;number=3.9&amp;sourceID=14","3.9")</f>
        <v>3.9</v>
      </c>
      <c r="G1873" s="4" t="str">
        <f>HYPERLINK("http://141.218.60.56/~jnz1568/getInfo.php?workbook=14_04.xlsx&amp;sheet=U0&amp;row=1873&amp;col=7&amp;number=3.29e-05&amp;sourceID=14","3.29e-05")</f>
        <v>3.29e-05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HYPERLINK("http://141.218.60.56/~jnz1568/getInfo.php?workbook=14_04.xlsx&amp;sheet=U0&amp;row=1874&amp;col=6&amp;number=4&amp;sourceID=14","4")</f>
        <v>4</v>
      </c>
      <c r="G1874" s="4" t="str">
        <f>HYPERLINK("http://141.218.60.56/~jnz1568/getInfo.php?workbook=14_04.xlsx&amp;sheet=U0&amp;row=1874&amp;col=7&amp;number=3.29e-05&amp;sourceID=14","3.29e-05")</f>
        <v>3.29e-05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HYPERLINK("http://141.218.60.56/~jnz1568/getInfo.php?workbook=14_04.xlsx&amp;sheet=U0&amp;row=1875&amp;col=6&amp;number=4.1&amp;sourceID=14","4.1")</f>
        <v>4.1</v>
      </c>
      <c r="G1875" s="4" t="str">
        <f>HYPERLINK("http://141.218.60.56/~jnz1568/getInfo.php?workbook=14_04.xlsx&amp;sheet=U0&amp;row=1875&amp;col=7&amp;number=3.29e-05&amp;sourceID=14","3.29e-05")</f>
        <v>3.29e-05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HYPERLINK("http://141.218.60.56/~jnz1568/getInfo.php?workbook=14_04.xlsx&amp;sheet=U0&amp;row=1876&amp;col=6&amp;number=4.2&amp;sourceID=14","4.2")</f>
        <v>4.2</v>
      </c>
      <c r="G1876" s="4" t="str">
        <f>HYPERLINK("http://141.218.60.56/~jnz1568/getInfo.php?workbook=14_04.xlsx&amp;sheet=U0&amp;row=1876&amp;col=7&amp;number=3.29e-05&amp;sourceID=14","3.29e-05")</f>
        <v>3.29e-05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HYPERLINK("http://141.218.60.56/~jnz1568/getInfo.php?workbook=14_04.xlsx&amp;sheet=U0&amp;row=1877&amp;col=6&amp;number=4.3&amp;sourceID=14","4.3")</f>
        <v>4.3</v>
      </c>
      <c r="G1877" s="4" t="str">
        <f>HYPERLINK("http://141.218.60.56/~jnz1568/getInfo.php?workbook=14_04.xlsx&amp;sheet=U0&amp;row=1877&amp;col=7&amp;number=3.28e-05&amp;sourceID=14","3.28e-05")</f>
        <v>3.28e-05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HYPERLINK("http://141.218.60.56/~jnz1568/getInfo.php?workbook=14_04.xlsx&amp;sheet=U0&amp;row=1878&amp;col=6&amp;number=4.4&amp;sourceID=14","4.4")</f>
        <v>4.4</v>
      </c>
      <c r="G1878" s="4" t="str">
        <f>HYPERLINK("http://141.218.60.56/~jnz1568/getInfo.php?workbook=14_04.xlsx&amp;sheet=U0&amp;row=1878&amp;col=7&amp;number=3.28e-05&amp;sourceID=14","3.28e-05")</f>
        <v>3.28e-05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HYPERLINK("http://141.218.60.56/~jnz1568/getInfo.php?workbook=14_04.xlsx&amp;sheet=U0&amp;row=1879&amp;col=6&amp;number=4.5&amp;sourceID=14","4.5")</f>
        <v>4.5</v>
      </c>
      <c r="G1879" s="4" t="str">
        <f>HYPERLINK("http://141.218.60.56/~jnz1568/getInfo.php?workbook=14_04.xlsx&amp;sheet=U0&amp;row=1879&amp;col=7&amp;number=3.27e-05&amp;sourceID=14","3.27e-05")</f>
        <v>3.27e-05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HYPERLINK("http://141.218.60.56/~jnz1568/getInfo.php?workbook=14_04.xlsx&amp;sheet=U0&amp;row=1880&amp;col=6&amp;number=4.6&amp;sourceID=14","4.6")</f>
        <v>4.6</v>
      </c>
      <c r="G1880" s="4" t="str">
        <f>HYPERLINK("http://141.218.60.56/~jnz1568/getInfo.php?workbook=14_04.xlsx&amp;sheet=U0&amp;row=1880&amp;col=7&amp;number=3.27e-05&amp;sourceID=14","3.27e-05")</f>
        <v>3.27e-05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HYPERLINK("http://141.218.60.56/~jnz1568/getInfo.php?workbook=14_04.xlsx&amp;sheet=U0&amp;row=1881&amp;col=6&amp;number=4.7&amp;sourceID=14","4.7")</f>
        <v>4.7</v>
      </c>
      <c r="G1881" s="4" t="str">
        <f>HYPERLINK("http://141.218.60.56/~jnz1568/getInfo.php?workbook=14_04.xlsx&amp;sheet=U0&amp;row=1881&amp;col=7&amp;number=3.26e-05&amp;sourceID=14","3.26e-05")</f>
        <v>3.26e-05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HYPERLINK("http://141.218.60.56/~jnz1568/getInfo.php?workbook=14_04.xlsx&amp;sheet=U0&amp;row=1882&amp;col=6&amp;number=4.8&amp;sourceID=14","4.8")</f>
        <v>4.8</v>
      </c>
      <c r="G1882" s="4" t="str">
        <f>HYPERLINK("http://141.218.60.56/~jnz1568/getInfo.php?workbook=14_04.xlsx&amp;sheet=U0&amp;row=1882&amp;col=7&amp;number=3.25e-05&amp;sourceID=14","3.25e-05")</f>
        <v>3.25e-05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HYPERLINK("http://141.218.60.56/~jnz1568/getInfo.php?workbook=14_04.xlsx&amp;sheet=U0&amp;row=1883&amp;col=6&amp;number=4.9&amp;sourceID=14","4.9")</f>
        <v>4.9</v>
      </c>
      <c r="G1883" s="4" t="str">
        <f>HYPERLINK("http://141.218.60.56/~jnz1568/getInfo.php?workbook=14_04.xlsx&amp;sheet=U0&amp;row=1883&amp;col=7&amp;number=3.24e-05&amp;sourceID=14","3.24e-05")</f>
        <v>3.24e-05</v>
      </c>
    </row>
    <row r="1884" spans="1:7">
      <c r="A1884" s="3">
        <v>14</v>
      </c>
      <c r="B1884" s="3">
        <v>4</v>
      </c>
      <c r="C1884" s="3">
        <v>1</v>
      </c>
      <c r="D1884" s="3">
        <v>60</v>
      </c>
      <c r="E1884" s="3">
        <v>1</v>
      </c>
      <c r="F1884" s="4" t="str">
        <f>HYPERLINK("http://141.218.60.56/~jnz1568/getInfo.php?workbook=14_04.xlsx&amp;sheet=U0&amp;row=1884&amp;col=6&amp;number=3&amp;sourceID=14","3")</f>
        <v>3</v>
      </c>
      <c r="G1884" s="4" t="str">
        <f>HYPERLINK("http://141.218.60.56/~jnz1568/getInfo.php?workbook=14_04.xlsx&amp;sheet=U0&amp;row=1884&amp;col=7&amp;number=7.87e-05&amp;sourceID=14","7.87e-05")</f>
        <v>7.87e-05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HYPERLINK("http://141.218.60.56/~jnz1568/getInfo.php?workbook=14_04.xlsx&amp;sheet=U0&amp;row=1885&amp;col=6&amp;number=3.1&amp;sourceID=14","3.1")</f>
        <v>3.1</v>
      </c>
      <c r="G1885" s="4" t="str">
        <f>HYPERLINK("http://141.218.60.56/~jnz1568/getInfo.php?workbook=14_04.xlsx&amp;sheet=U0&amp;row=1885&amp;col=7&amp;number=7.87e-05&amp;sourceID=14","7.87e-05")</f>
        <v>7.87e-05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HYPERLINK("http://141.218.60.56/~jnz1568/getInfo.php?workbook=14_04.xlsx&amp;sheet=U0&amp;row=1886&amp;col=6&amp;number=3.2&amp;sourceID=14","3.2")</f>
        <v>3.2</v>
      </c>
      <c r="G1886" s="4" t="str">
        <f>HYPERLINK("http://141.218.60.56/~jnz1568/getInfo.php?workbook=14_04.xlsx&amp;sheet=U0&amp;row=1886&amp;col=7&amp;number=7.87e-05&amp;sourceID=14","7.87e-05")</f>
        <v>7.87e-05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HYPERLINK("http://141.218.60.56/~jnz1568/getInfo.php?workbook=14_04.xlsx&amp;sheet=U0&amp;row=1887&amp;col=6&amp;number=3.3&amp;sourceID=14","3.3")</f>
        <v>3.3</v>
      </c>
      <c r="G1887" s="4" t="str">
        <f>HYPERLINK("http://141.218.60.56/~jnz1568/getInfo.php?workbook=14_04.xlsx&amp;sheet=U0&amp;row=1887&amp;col=7&amp;number=7.87e-05&amp;sourceID=14","7.87e-05")</f>
        <v>7.87e-05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HYPERLINK("http://141.218.60.56/~jnz1568/getInfo.php?workbook=14_04.xlsx&amp;sheet=U0&amp;row=1888&amp;col=6&amp;number=3.4&amp;sourceID=14","3.4")</f>
        <v>3.4</v>
      </c>
      <c r="G1888" s="4" t="str">
        <f>HYPERLINK("http://141.218.60.56/~jnz1568/getInfo.php?workbook=14_04.xlsx&amp;sheet=U0&amp;row=1888&amp;col=7&amp;number=7.87e-05&amp;sourceID=14","7.87e-05")</f>
        <v>7.87e-05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HYPERLINK("http://141.218.60.56/~jnz1568/getInfo.php?workbook=14_04.xlsx&amp;sheet=U0&amp;row=1889&amp;col=6&amp;number=3.5&amp;sourceID=14","3.5")</f>
        <v>3.5</v>
      </c>
      <c r="G1889" s="4" t="str">
        <f>HYPERLINK("http://141.218.60.56/~jnz1568/getInfo.php?workbook=14_04.xlsx&amp;sheet=U0&amp;row=1889&amp;col=7&amp;number=7.87e-05&amp;sourceID=14","7.87e-05")</f>
        <v>7.87e-05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HYPERLINK("http://141.218.60.56/~jnz1568/getInfo.php?workbook=14_04.xlsx&amp;sheet=U0&amp;row=1890&amp;col=6&amp;number=3.6&amp;sourceID=14","3.6")</f>
        <v>3.6</v>
      </c>
      <c r="G1890" s="4" t="str">
        <f>HYPERLINK("http://141.218.60.56/~jnz1568/getInfo.php?workbook=14_04.xlsx&amp;sheet=U0&amp;row=1890&amp;col=7&amp;number=7.87e-05&amp;sourceID=14","7.87e-05")</f>
        <v>7.87e-05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HYPERLINK("http://141.218.60.56/~jnz1568/getInfo.php?workbook=14_04.xlsx&amp;sheet=U0&amp;row=1891&amp;col=6&amp;number=3.7&amp;sourceID=14","3.7")</f>
        <v>3.7</v>
      </c>
      <c r="G1891" s="4" t="str">
        <f>HYPERLINK("http://141.218.60.56/~jnz1568/getInfo.php?workbook=14_04.xlsx&amp;sheet=U0&amp;row=1891&amp;col=7&amp;number=7.87e-05&amp;sourceID=14","7.87e-05")</f>
        <v>7.87e-05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HYPERLINK("http://141.218.60.56/~jnz1568/getInfo.php?workbook=14_04.xlsx&amp;sheet=U0&amp;row=1892&amp;col=6&amp;number=3.8&amp;sourceID=14","3.8")</f>
        <v>3.8</v>
      </c>
      <c r="G1892" s="4" t="str">
        <f>HYPERLINK("http://141.218.60.56/~jnz1568/getInfo.php?workbook=14_04.xlsx&amp;sheet=U0&amp;row=1892&amp;col=7&amp;number=7.87e-05&amp;sourceID=14","7.87e-05")</f>
        <v>7.87e-05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HYPERLINK("http://141.218.60.56/~jnz1568/getInfo.php?workbook=14_04.xlsx&amp;sheet=U0&amp;row=1893&amp;col=6&amp;number=3.9&amp;sourceID=14","3.9")</f>
        <v>3.9</v>
      </c>
      <c r="G1893" s="4" t="str">
        <f>HYPERLINK("http://141.218.60.56/~jnz1568/getInfo.php?workbook=14_04.xlsx&amp;sheet=U0&amp;row=1893&amp;col=7&amp;number=7.87e-05&amp;sourceID=14","7.87e-05")</f>
        <v>7.87e-05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HYPERLINK("http://141.218.60.56/~jnz1568/getInfo.php?workbook=14_04.xlsx&amp;sheet=U0&amp;row=1894&amp;col=6&amp;number=4&amp;sourceID=14","4")</f>
        <v>4</v>
      </c>
      <c r="G1894" s="4" t="str">
        <f>HYPERLINK("http://141.218.60.56/~jnz1568/getInfo.php?workbook=14_04.xlsx&amp;sheet=U0&amp;row=1894&amp;col=7&amp;number=7.87e-05&amp;sourceID=14","7.87e-05")</f>
        <v>7.87e-05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HYPERLINK("http://141.218.60.56/~jnz1568/getInfo.php?workbook=14_04.xlsx&amp;sheet=U0&amp;row=1895&amp;col=6&amp;number=4.1&amp;sourceID=14","4.1")</f>
        <v>4.1</v>
      </c>
      <c r="G1895" s="4" t="str">
        <f>HYPERLINK("http://141.218.60.56/~jnz1568/getInfo.php?workbook=14_04.xlsx&amp;sheet=U0&amp;row=1895&amp;col=7&amp;number=7.86e-05&amp;sourceID=14","7.86e-05")</f>
        <v>7.86e-05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HYPERLINK("http://141.218.60.56/~jnz1568/getInfo.php?workbook=14_04.xlsx&amp;sheet=U0&amp;row=1896&amp;col=6&amp;number=4.2&amp;sourceID=14","4.2")</f>
        <v>4.2</v>
      </c>
      <c r="G1896" s="4" t="str">
        <f>HYPERLINK("http://141.218.60.56/~jnz1568/getInfo.php?workbook=14_04.xlsx&amp;sheet=U0&amp;row=1896&amp;col=7&amp;number=7.86e-05&amp;sourceID=14","7.86e-05")</f>
        <v>7.86e-05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HYPERLINK("http://141.218.60.56/~jnz1568/getInfo.php?workbook=14_04.xlsx&amp;sheet=U0&amp;row=1897&amp;col=6&amp;number=4.3&amp;sourceID=14","4.3")</f>
        <v>4.3</v>
      </c>
      <c r="G1897" s="4" t="str">
        <f>HYPERLINK("http://141.218.60.56/~jnz1568/getInfo.php?workbook=14_04.xlsx&amp;sheet=U0&amp;row=1897&amp;col=7&amp;number=7.86e-05&amp;sourceID=14","7.86e-05")</f>
        <v>7.86e-05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HYPERLINK("http://141.218.60.56/~jnz1568/getInfo.php?workbook=14_04.xlsx&amp;sheet=U0&amp;row=1898&amp;col=6&amp;number=4.4&amp;sourceID=14","4.4")</f>
        <v>4.4</v>
      </c>
      <c r="G1898" s="4" t="str">
        <f>HYPERLINK("http://141.218.60.56/~jnz1568/getInfo.php?workbook=14_04.xlsx&amp;sheet=U0&amp;row=1898&amp;col=7&amp;number=7.85e-05&amp;sourceID=14","7.85e-05")</f>
        <v>7.85e-05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HYPERLINK("http://141.218.60.56/~jnz1568/getInfo.php?workbook=14_04.xlsx&amp;sheet=U0&amp;row=1899&amp;col=6&amp;number=4.5&amp;sourceID=14","4.5")</f>
        <v>4.5</v>
      </c>
      <c r="G1899" s="4" t="str">
        <f>HYPERLINK("http://141.218.60.56/~jnz1568/getInfo.php?workbook=14_04.xlsx&amp;sheet=U0&amp;row=1899&amp;col=7&amp;number=7.85e-05&amp;sourceID=14","7.85e-05")</f>
        <v>7.85e-05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HYPERLINK("http://141.218.60.56/~jnz1568/getInfo.php?workbook=14_04.xlsx&amp;sheet=U0&amp;row=1900&amp;col=6&amp;number=4.6&amp;sourceID=14","4.6")</f>
        <v>4.6</v>
      </c>
      <c r="G1900" s="4" t="str">
        <f>HYPERLINK("http://141.218.60.56/~jnz1568/getInfo.php?workbook=14_04.xlsx&amp;sheet=U0&amp;row=1900&amp;col=7&amp;number=7.84e-05&amp;sourceID=14","7.84e-05")</f>
        <v>7.84e-05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HYPERLINK("http://141.218.60.56/~jnz1568/getInfo.php?workbook=14_04.xlsx&amp;sheet=U0&amp;row=1901&amp;col=6&amp;number=4.7&amp;sourceID=14","4.7")</f>
        <v>4.7</v>
      </c>
      <c r="G1901" s="4" t="str">
        <f>HYPERLINK("http://141.218.60.56/~jnz1568/getInfo.php?workbook=14_04.xlsx&amp;sheet=U0&amp;row=1901&amp;col=7&amp;number=7.84e-05&amp;sourceID=14","7.84e-05")</f>
        <v>7.84e-05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HYPERLINK("http://141.218.60.56/~jnz1568/getInfo.php?workbook=14_04.xlsx&amp;sheet=U0&amp;row=1902&amp;col=6&amp;number=4.8&amp;sourceID=14","4.8")</f>
        <v>4.8</v>
      </c>
      <c r="G1902" s="4" t="str">
        <f>HYPERLINK("http://141.218.60.56/~jnz1568/getInfo.php?workbook=14_04.xlsx&amp;sheet=U0&amp;row=1902&amp;col=7&amp;number=7.83e-05&amp;sourceID=14","7.83e-05")</f>
        <v>7.83e-05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HYPERLINK("http://141.218.60.56/~jnz1568/getInfo.php?workbook=14_04.xlsx&amp;sheet=U0&amp;row=1903&amp;col=6&amp;number=4.9&amp;sourceID=14","4.9")</f>
        <v>4.9</v>
      </c>
      <c r="G1903" s="4" t="str">
        <f>HYPERLINK("http://141.218.60.56/~jnz1568/getInfo.php?workbook=14_04.xlsx&amp;sheet=U0&amp;row=1903&amp;col=7&amp;number=7.81e-05&amp;sourceID=14","7.81e-05")</f>
        <v>7.81e-05</v>
      </c>
    </row>
    <row r="1904" spans="1:7">
      <c r="A1904" s="3">
        <v>14</v>
      </c>
      <c r="B1904" s="3">
        <v>4</v>
      </c>
      <c r="C1904" s="3">
        <v>1</v>
      </c>
      <c r="D1904" s="3">
        <v>61</v>
      </c>
      <c r="E1904" s="3">
        <v>1</v>
      </c>
      <c r="F1904" s="4" t="str">
        <f>HYPERLINK("http://141.218.60.56/~jnz1568/getInfo.php?workbook=14_04.xlsx&amp;sheet=U0&amp;row=1904&amp;col=6&amp;number=3&amp;sourceID=14","3")</f>
        <v>3</v>
      </c>
      <c r="G1904" s="4" t="str">
        <f>HYPERLINK("http://141.218.60.56/~jnz1568/getInfo.php?workbook=14_04.xlsx&amp;sheet=U0&amp;row=1904&amp;col=7&amp;number=2.94e-05&amp;sourceID=14","2.94e-05")</f>
        <v>2.94e-05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HYPERLINK("http://141.218.60.56/~jnz1568/getInfo.php?workbook=14_04.xlsx&amp;sheet=U0&amp;row=1905&amp;col=6&amp;number=3.1&amp;sourceID=14","3.1")</f>
        <v>3.1</v>
      </c>
      <c r="G1905" s="4" t="str">
        <f>HYPERLINK("http://141.218.60.56/~jnz1568/getInfo.php?workbook=14_04.xlsx&amp;sheet=U0&amp;row=1905&amp;col=7&amp;number=2.94e-05&amp;sourceID=14","2.94e-05")</f>
        <v>2.94e-05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HYPERLINK("http://141.218.60.56/~jnz1568/getInfo.php?workbook=14_04.xlsx&amp;sheet=U0&amp;row=1906&amp;col=6&amp;number=3.2&amp;sourceID=14","3.2")</f>
        <v>3.2</v>
      </c>
      <c r="G1906" s="4" t="str">
        <f>HYPERLINK("http://141.218.60.56/~jnz1568/getInfo.php?workbook=14_04.xlsx&amp;sheet=U0&amp;row=1906&amp;col=7&amp;number=2.94e-05&amp;sourceID=14","2.94e-05")</f>
        <v>2.94e-05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HYPERLINK("http://141.218.60.56/~jnz1568/getInfo.php?workbook=14_04.xlsx&amp;sheet=U0&amp;row=1907&amp;col=6&amp;number=3.3&amp;sourceID=14","3.3")</f>
        <v>3.3</v>
      </c>
      <c r="G1907" s="4" t="str">
        <f>HYPERLINK("http://141.218.60.56/~jnz1568/getInfo.php?workbook=14_04.xlsx&amp;sheet=U0&amp;row=1907&amp;col=7&amp;number=2.94e-05&amp;sourceID=14","2.94e-05")</f>
        <v>2.94e-05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HYPERLINK("http://141.218.60.56/~jnz1568/getInfo.php?workbook=14_04.xlsx&amp;sheet=U0&amp;row=1908&amp;col=6&amp;number=3.4&amp;sourceID=14","3.4")</f>
        <v>3.4</v>
      </c>
      <c r="G1908" s="4" t="str">
        <f>HYPERLINK("http://141.218.60.56/~jnz1568/getInfo.php?workbook=14_04.xlsx&amp;sheet=U0&amp;row=1908&amp;col=7&amp;number=2.94e-05&amp;sourceID=14","2.94e-05")</f>
        <v>2.94e-05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HYPERLINK("http://141.218.60.56/~jnz1568/getInfo.php?workbook=14_04.xlsx&amp;sheet=U0&amp;row=1909&amp;col=6&amp;number=3.5&amp;sourceID=14","3.5")</f>
        <v>3.5</v>
      </c>
      <c r="G1909" s="4" t="str">
        <f>HYPERLINK("http://141.218.60.56/~jnz1568/getInfo.php?workbook=14_04.xlsx&amp;sheet=U0&amp;row=1909&amp;col=7&amp;number=2.94e-05&amp;sourceID=14","2.94e-05")</f>
        <v>2.94e-05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HYPERLINK("http://141.218.60.56/~jnz1568/getInfo.php?workbook=14_04.xlsx&amp;sheet=U0&amp;row=1910&amp;col=6&amp;number=3.6&amp;sourceID=14","3.6")</f>
        <v>3.6</v>
      </c>
      <c r="G1910" s="4" t="str">
        <f>HYPERLINK("http://141.218.60.56/~jnz1568/getInfo.php?workbook=14_04.xlsx&amp;sheet=U0&amp;row=1910&amp;col=7&amp;number=2.94e-05&amp;sourceID=14","2.94e-05")</f>
        <v>2.94e-05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HYPERLINK("http://141.218.60.56/~jnz1568/getInfo.php?workbook=14_04.xlsx&amp;sheet=U0&amp;row=1911&amp;col=6&amp;number=3.7&amp;sourceID=14","3.7")</f>
        <v>3.7</v>
      </c>
      <c r="G1911" s="4" t="str">
        <f>HYPERLINK("http://141.218.60.56/~jnz1568/getInfo.php?workbook=14_04.xlsx&amp;sheet=U0&amp;row=1911&amp;col=7&amp;number=2.94e-05&amp;sourceID=14","2.94e-05")</f>
        <v>2.94e-05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HYPERLINK("http://141.218.60.56/~jnz1568/getInfo.php?workbook=14_04.xlsx&amp;sheet=U0&amp;row=1912&amp;col=6&amp;number=3.8&amp;sourceID=14","3.8")</f>
        <v>3.8</v>
      </c>
      <c r="G1912" s="4" t="str">
        <f>HYPERLINK("http://141.218.60.56/~jnz1568/getInfo.php?workbook=14_04.xlsx&amp;sheet=U0&amp;row=1912&amp;col=7&amp;number=2.94e-05&amp;sourceID=14","2.94e-05")</f>
        <v>2.94e-05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HYPERLINK("http://141.218.60.56/~jnz1568/getInfo.php?workbook=14_04.xlsx&amp;sheet=U0&amp;row=1913&amp;col=6&amp;number=3.9&amp;sourceID=14","3.9")</f>
        <v>3.9</v>
      </c>
      <c r="G1913" s="4" t="str">
        <f>HYPERLINK("http://141.218.60.56/~jnz1568/getInfo.php?workbook=14_04.xlsx&amp;sheet=U0&amp;row=1913&amp;col=7&amp;number=2.94e-05&amp;sourceID=14","2.94e-05")</f>
        <v>2.94e-05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HYPERLINK("http://141.218.60.56/~jnz1568/getInfo.php?workbook=14_04.xlsx&amp;sheet=U0&amp;row=1914&amp;col=6&amp;number=4&amp;sourceID=14","4")</f>
        <v>4</v>
      </c>
      <c r="G1914" s="4" t="str">
        <f>HYPERLINK("http://141.218.60.56/~jnz1568/getInfo.php?workbook=14_04.xlsx&amp;sheet=U0&amp;row=1914&amp;col=7&amp;number=2.94e-05&amp;sourceID=14","2.94e-05")</f>
        <v>2.94e-05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HYPERLINK("http://141.218.60.56/~jnz1568/getInfo.php?workbook=14_04.xlsx&amp;sheet=U0&amp;row=1915&amp;col=6&amp;number=4.1&amp;sourceID=14","4.1")</f>
        <v>4.1</v>
      </c>
      <c r="G1915" s="4" t="str">
        <f>HYPERLINK("http://141.218.60.56/~jnz1568/getInfo.php?workbook=14_04.xlsx&amp;sheet=U0&amp;row=1915&amp;col=7&amp;number=2.94e-05&amp;sourceID=14","2.94e-05")</f>
        <v>2.94e-05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HYPERLINK("http://141.218.60.56/~jnz1568/getInfo.php?workbook=14_04.xlsx&amp;sheet=U0&amp;row=1916&amp;col=6&amp;number=4.2&amp;sourceID=14","4.2")</f>
        <v>4.2</v>
      </c>
      <c r="G1916" s="4" t="str">
        <f>HYPERLINK("http://141.218.60.56/~jnz1568/getInfo.php?workbook=14_04.xlsx&amp;sheet=U0&amp;row=1916&amp;col=7&amp;number=2.94e-05&amp;sourceID=14","2.94e-05")</f>
        <v>2.94e-05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HYPERLINK("http://141.218.60.56/~jnz1568/getInfo.php?workbook=14_04.xlsx&amp;sheet=U0&amp;row=1917&amp;col=6&amp;number=4.3&amp;sourceID=14","4.3")</f>
        <v>4.3</v>
      </c>
      <c r="G1917" s="4" t="str">
        <f>HYPERLINK("http://141.218.60.56/~jnz1568/getInfo.php?workbook=14_04.xlsx&amp;sheet=U0&amp;row=1917&amp;col=7&amp;number=2.93e-05&amp;sourceID=14","2.93e-05")</f>
        <v>2.93e-05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HYPERLINK("http://141.218.60.56/~jnz1568/getInfo.php?workbook=14_04.xlsx&amp;sheet=U0&amp;row=1918&amp;col=6&amp;number=4.4&amp;sourceID=14","4.4")</f>
        <v>4.4</v>
      </c>
      <c r="G1918" s="4" t="str">
        <f>HYPERLINK("http://141.218.60.56/~jnz1568/getInfo.php?workbook=14_04.xlsx&amp;sheet=U0&amp;row=1918&amp;col=7&amp;number=2.93e-05&amp;sourceID=14","2.93e-05")</f>
        <v>2.93e-05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HYPERLINK("http://141.218.60.56/~jnz1568/getInfo.php?workbook=14_04.xlsx&amp;sheet=U0&amp;row=1919&amp;col=6&amp;number=4.5&amp;sourceID=14","4.5")</f>
        <v>4.5</v>
      </c>
      <c r="G1919" s="4" t="str">
        <f>HYPERLINK("http://141.218.60.56/~jnz1568/getInfo.php?workbook=14_04.xlsx&amp;sheet=U0&amp;row=1919&amp;col=7&amp;number=2.93e-05&amp;sourceID=14","2.93e-05")</f>
        <v>2.93e-05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HYPERLINK("http://141.218.60.56/~jnz1568/getInfo.php?workbook=14_04.xlsx&amp;sheet=U0&amp;row=1920&amp;col=6&amp;number=4.6&amp;sourceID=14","4.6")</f>
        <v>4.6</v>
      </c>
      <c r="G1920" s="4" t="str">
        <f>HYPERLINK("http://141.218.60.56/~jnz1568/getInfo.php?workbook=14_04.xlsx&amp;sheet=U0&amp;row=1920&amp;col=7&amp;number=2.93e-05&amp;sourceID=14","2.93e-05")</f>
        <v>2.93e-05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HYPERLINK("http://141.218.60.56/~jnz1568/getInfo.php?workbook=14_04.xlsx&amp;sheet=U0&amp;row=1921&amp;col=6&amp;number=4.7&amp;sourceID=14","4.7")</f>
        <v>4.7</v>
      </c>
      <c r="G1921" s="4" t="str">
        <f>HYPERLINK("http://141.218.60.56/~jnz1568/getInfo.php?workbook=14_04.xlsx&amp;sheet=U0&amp;row=1921&amp;col=7&amp;number=2.92e-05&amp;sourceID=14","2.92e-05")</f>
        <v>2.92e-05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HYPERLINK("http://141.218.60.56/~jnz1568/getInfo.php?workbook=14_04.xlsx&amp;sheet=U0&amp;row=1922&amp;col=6&amp;number=4.8&amp;sourceID=14","4.8")</f>
        <v>4.8</v>
      </c>
      <c r="G1922" s="4" t="str">
        <f>HYPERLINK("http://141.218.60.56/~jnz1568/getInfo.php?workbook=14_04.xlsx&amp;sheet=U0&amp;row=1922&amp;col=7&amp;number=2.92e-05&amp;sourceID=14","2.92e-05")</f>
        <v>2.92e-05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HYPERLINK("http://141.218.60.56/~jnz1568/getInfo.php?workbook=14_04.xlsx&amp;sheet=U0&amp;row=1923&amp;col=6&amp;number=4.9&amp;sourceID=14","4.9")</f>
        <v>4.9</v>
      </c>
      <c r="G1923" s="4" t="str">
        <f>HYPERLINK("http://141.218.60.56/~jnz1568/getInfo.php?workbook=14_04.xlsx&amp;sheet=U0&amp;row=1923&amp;col=7&amp;number=2.91e-05&amp;sourceID=14","2.91e-05")</f>
        <v>2.91e-05</v>
      </c>
    </row>
    <row r="1924" spans="1:7">
      <c r="A1924" s="3">
        <v>14</v>
      </c>
      <c r="B1924" s="3">
        <v>4</v>
      </c>
      <c r="C1924" s="3">
        <v>1</v>
      </c>
      <c r="D1924" s="3">
        <v>62</v>
      </c>
      <c r="E1924" s="3">
        <v>1</v>
      </c>
      <c r="F1924" s="4" t="str">
        <f>HYPERLINK("http://141.218.60.56/~jnz1568/getInfo.php?workbook=14_04.xlsx&amp;sheet=U0&amp;row=1924&amp;col=6&amp;number=3&amp;sourceID=14","3")</f>
        <v>3</v>
      </c>
      <c r="G1924" s="4" t="str">
        <f>HYPERLINK("http://141.218.60.56/~jnz1568/getInfo.php?workbook=14_04.xlsx&amp;sheet=U0&amp;row=1924&amp;col=7&amp;number=3.13e-05&amp;sourceID=14","3.13e-05")</f>
        <v>3.13e-05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HYPERLINK("http://141.218.60.56/~jnz1568/getInfo.php?workbook=14_04.xlsx&amp;sheet=U0&amp;row=1925&amp;col=6&amp;number=3.1&amp;sourceID=14","3.1")</f>
        <v>3.1</v>
      </c>
      <c r="G1925" s="4" t="str">
        <f>HYPERLINK("http://141.218.60.56/~jnz1568/getInfo.php?workbook=14_04.xlsx&amp;sheet=U0&amp;row=1925&amp;col=7&amp;number=3.13e-05&amp;sourceID=14","3.13e-05")</f>
        <v>3.13e-05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HYPERLINK("http://141.218.60.56/~jnz1568/getInfo.php?workbook=14_04.xlsx&amp;sheet=U0&amp;row=1926&amp;col=6&amp;number=3.2&amp;sourceID=14","3.2")</f>
        <v>3.2</v>
      </c>
      <c r="G1926" s="4" t="str">
        <f>HYPERLINK("http://141.218.60.56/~jnz1568/getInfo.php?workbook=14_04.xlsx&amp;sheet=U0&amp;row=1926&amp;col=7&amp;number=3.13e-05&amp;sourceID=14","3.13e-05")</f>
        <v>3.13e-05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HYPERLINK("http://141.218.60.56/~jnz1568/getInfo.php?workbook=14_04.xlsx&amp;sheet=U0&amp;row=1927&amp;col=6&amp;number=3.3&amp;sourceID=14","3.3")</f>
        <v>3.3</v>
      </c>
      <c r="G1927" s="4" t="str">
        <f>HYPERLINK("http://141.218.60.56/~jnz1568/getInfo.php?workbook=14_04.xlsx&amp;sheet=U0&amp;row=1927&amp;col=7&amp;number=3.13e-05&amp;sourceID=14","3.13e-05")</f>
        <v>3.13e-05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HYPERLINK("http://141.218.60.56/~jnz1568/getInfo.php?workbook=14_04.xlsx&amp;sheet=U0&amp;row=1928&amp;col=6&amp;number=3.4&amp;sourceID=14","3.4")</f>
        <v>3.4</v>
      </c>
      <c r="G1928" s="4" t="str">
        <f>HYPERLINK("http://141.218.60.56/~jnz1568/getInfo.php?workbook=14_04.xlsx&amp;sheet=U0&amp;row=1928&amp;col=7&amp;number=3.13e-05&amp;sourceID=14","3.13e-05")</f>
        <v>3.13e-05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HYPERLINK("http://141.218.60.56/~jnz1568/getInfo.php?workbook=14_04.xlsx&amp;sheet=U0&amp;row=1929&amp;col=6&amp;number=3.5&amp;sourceID=14","3.5")</f>
        <v>3.5</v>
      </c>
      <c r="G1929" s="4" t="str">
        <f>HYPERLINK("http://141.218.60.56/~jnz1568/getInfo.php?workbook=14_04.xlsx&amp;sheet=U0&amp;row=1929&amp;col=7&amp;number=3.13e-05&amp;sourceID=14","3.13e-05")</f>
        <v>3.13e-05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HYPERLINK("http://141.218.60.56/~jnz1568/getInfo.php?workbook=14_04.xlsx&amp;sheet=U0&amp;row=1930&amp;col=6&amp;number=3.6&amp;sourceID=14","3.6")</f>
        <v>3.6</v>
      </c>
      <c r="G1930" s="4" t="str">
        <f>HYPERLINK("http://141.218.60.56/~jnz1568/getInfo.php?workbook=14_04.xlsx&amp;sheet=U0&amp;row=1930&amp;col=7&amp;number=3.13e-05&amp;sourceID=14","3.13e-05")</f>
        <v>3.13e-05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HYPERLINK("http://141.218.60.56/~jnz1568/getInfo.php?workbook=14_04.xlsx&amp;sheet=U0&amp;row=1931&amp;col=6&amp;number=3.7&amp;sourceID=14","3.7")</f>
        <v>3.7</v>
      </c>
      <c r="G1931" s="4" t="str">
        <f>HYPERLINK("http://141.218.60.56/~jnz1568/getInfo.php?workbook=14_04.xlsx&amp;sheet=U0&amp;row=1931&amp;col=7&amp;number=3.13e-05&amp;sourceID=14","3.13e-05")</f>
        <v>3.13e-05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HYPERLINK("http://141.218.60.56/~jnz1568/getInfo.php?workbook=14_04.xlsx&amp;sheet=U0&amp;row=1932&amp;col=6&amp;number=3.8&amp;sourceID=14","3.8")</f>
        <v>3.8</v>
      </c>
      <c r="G1932" s="4" t="str">
        <f>HYPERLINK("http://141.218.60.56/~jnz1568/getInfo.php?workbook=14_04.xlsx&amp;sheet=U0&amp;row=1932&amp;col=7&amp;number=3.13e-05&amp;sourceID=14","3.13e-05")</f>
        <v>3.13e-05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HYPERLINK("http://141.218.60.56/~jnz1568/getInfo.php?workbook=14_04.xlsx&amp;sheet=U0&amp;row=1933&amp;col=6&amp;number=3.9&amp;sourceID=14","3.9")</f>
        <v>3.9</v>
      </c>
      <c r="G1933" s="4" t="str">
        <f>HYPERLINK("http://141.218.60.56/~jnz1568/getInfo.php?workbook=14_04.xlsx&amp;sheet=U0&amp;row=1933&amp;col=7&amp;number=3.13e-05&amp;sourceID=14","3.13e-05")</f>
        <v>3.13e-05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HYPERLINK("http://141.218.60.56/~jnz1568/getInfo.php?workbook=14_04.xlsx&amp;sheet=U0&amp;row=1934&amp;col=6&amp;number=4&amp;sourceID=14","4")</f>
        <v>4</v>
      </c>
      <c r="G1934" s="4" t="str">
        <f>HYPERLINK("http://141.218.60.56/~jnz1568/getInfo.php?workbook=14_04.xlsx&amp;sheet=U0&amp;row=1934&amp;col=7&amp;number=3.13e-05&amp;sourceID=14","3.13e-05")</f>
        <v>3.13e-05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HYPERLINK("http://141.218.60.56/~jnz1568/getInfo.php?workbook=14_04.xlsx&amp;sheet=U0&amp;row=1935&amp;col=6&amp;number=4.1&amp;sourceID=14","4.1")</f>
        <v>4.1</v>
      </c>
      <c r="G1935" s="4" t="str">
        <f>HYPERLINK("http://141.218.60.56/~jnz1568/getInfo.php?workbook=14_04.xlsx&amp;sheet=U0&amp;row=1935&amp;col=7&amp;number=3.13e-05&amp;sourceID=14","3.13e-05")</f>
        <v>3.13e-05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HYPERLINK("http://141.218.60.56/~jnz1568/getInfo.php?workbook=14_04.xlsx&amp;sheet=U0&amp;row=1936&amp;col=6&amp;number=4.2&amp;sourceID=14","4.2")</f>
        <v>4.2</v>
      </c>
      <c r="G1936" s="4" t="str">
        <f>HYPERLINK("http://141.218.60.56/~jnz1568/getInfo.php?workbook=14_04.xlsx&amp;sheet=U0&amp;row=1936&amp;col=7&amp;number=3.13e-05&amp;sourceID=14","3.13e-05")</f>
        <v>3.13e-05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HYPERLINK("http://141.218.60.56/~jnz1568/getInfo.php?workbook=14_04.xlsx&amp;sheet=U0&amp;row=1937&amp;col=6&amp;number=4.3&amp;sourceID=14","4.3")</f>
        <v>4.3</v>
      </c>
      <c r="G1937" s="4" t="str">
        <f>HYPERLINK("http://141.218.60.56/~jnz1568/getInfo.php?workbook=14_04.xlsx&amp;sheet=U0&amp;row=1937&amp;col=7&amp;number=3.13e-05&amp;sourceID=14","3.13e-05")</f>
        <v>3.13e-05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HYPERLINK("http://141.218.60.56/~jnz1568/getInfo.php?workbook=14_04.xlsx&amp;sheet=U0&amp;row=1938&amp;col=6&amp;number=4.4&amp;sourceID=14","4.4")</f>
        <v>4.4</v>
      </c>
      <c r="G1938" s="4" t="str">
        <f>HYPERLINK("http://141.218.60.56/~jnz1568/getInfo.php?workbook=14_04.xlsx&amp;sheet=U0&amp;row=1938&amp;col=7&amp;number=3.12e-05&amp;sourceID=14","3.12e-05")</f>
        <v>3.12e-05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HYPERLINK("http://141.218.60.56/~jnz1568/getInfo.php?workbook=14_04.xlsx&amp;sheet=U0&amp;row=1939&amp;col=6&amp;number=4.5&amp;sourceID=14","4.5")</f>
        <v>4.5</v>
      </c>
      <c r="G1939" s="4" t="str">
        <f>HYPERLINK("http://141.218.60.56/~jnz1568/getInfo.php?workbook=14_04.xlsx&amp;sheet=U0&amp;row=1939&amp;col=7&amp;number=3.12e-05&amp;sourceID=14","3.12e-05")</f>
        <v>3.12e-05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HYPERLINK("http://141.218.60.56/~jnz1568/getInfo.php?workbook=14_04.xlsx&amp;sheet=U0&amp;row=1940&amp;col=6&amp;number=4.6&amp;sourceID=14","4.6")</f>
        <v>4.6</v>
      </c>
      <c r="G1940" s="4" t="str">
        <f>HYPERLINK("http://141.218.60.56/~jnz1568/getInfo.php?workbook=14_04.xlsx&amp;sheet=U0&amp;row=1940&amp;col=7&amp;number=3.12e-05&amp;sourceID=14","3.12e-05")</f>
        <v>3.12e-05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HYPERLINK("http://141.218.60.56/~jnz1568/getInfo.php?workbook=14_04.xlsx&amp;sheet=U0&amp;row=1941&amp;col=6&amp;number=4.7&amp;sourceID=14","4.7")</f>
        <v>4.7</v>
      </c>
      <c r="G1941" s="4" t="str">
        <f>HYPERLINK("http://141.218.60.56/~jnz1568/getInfo.php?workbook=14_04.xlsx&amp;sheet=U0&amp;row=1941&amp;col=7&amp;number=3.11e-05&amp;sourceID=14","3.11e-05")</f>
        <v>3.11e-05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HYPERLINK("http://141.218.60.56/~jnz1568/getInfo.php?workbook=14_04.xlsx&amp;sheet=U0&amp;row=1942&amp;col=6&amp;number=4.8&amp;sourceID=14","4.8")</f>
        <v>4.8</v>
      </c>
      <c r="G1942" s="4" t="str">
        <f>HYPERLINK("http://141.218.60.56/~jnz1568/getInfo.php?workbook=14_04.xlsx&amp;sheet=U0&amp;row=1942&amp;col=7&amp;number=3.11e-05&amp;sourceID=14","3.11e-05")</f>
        <v>3.11e-05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HYPERLINK("http://141.218.60.56/~jnz1568/getInfo.php?workbook=14_04.xlsx&amp;sheet=U0&amp;row=1943&amp;col=6&amp;number=4.9&amp;sourceID=14","4.9")</f>
        <v>4.9</v>
      </c>
      <c r="G1943" s="4" t="str">
        <f>HYPERLINK("http://141.218.60.56/~jnz1568/getInfo.php?workbook=14_04.xlsx&amp;sheet=U0&amp;row=1943&amp;col=7&amp;number=3.1e-05&amp;sourceID=14","3.1e-05")</f>
        <v>3.1e-05</v>
      </c>
    </row>
    <row r="1944" spans="1:7">
      <c r="A1944" s="3">
        <v>14</v>
      </c>
      <c r="B1944" s="3">
        <v>4</v>
      </c>
      <c r="C1944" s="3">
        <v>1</v>
      </c>
      <c r="D1944" s="3">
        <v>63</v>
      </c>
      <c r="E1944" s="3">
        <v>1</v>
      </c>
      <c r="F1944" s="4" t="str">
        <f>HYPERLINK("http://141.218.60.56/~jnz1568/getInfo.php?workbook=14_04.xlsx&amp;sheet=U0&amp;row=1944&amp;col=6&amp;number=3&amp;sourceID=14","3")</f>
        <v>3</v>
      </c>
      <c r="G1944" s="4" t="str">
        <f>HYPERLINK("http://141.218.60.56/~jnz1568/getInfo.php?workbook=14_04.xlsx&amp;sheet=U0&amp;row=1944&amp;col=7&amp;number=6.49e-05&amp;sourceID=14","6.49e-05")</f>
        <v>6.49e-05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HYPERLINK("http://141.218.60.56/~jnz1568/getInfo.php?workbook=14_04.xlsx&amp;sheet=U0&amp;row=1945&amp;col=6&amp;number=3.1&amp;sourceID=14","3.1")</f>
        <v>3.1</v>
      </c>
      <c r="G1945" s="4" t="str">
        <f>HYPERLINK("http://141.218.60.56/~jnz1568/getInfo.php?workbook=14_04.xlsx&amp;sheet=U0&amp;row=1945&amp;col=7&amp;number=6.49e-05&amp;sourceID=14","6.49e-05")</f>
        <v>6.49e-05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HYPERLINK("http://141.218.60.56/~jnz1568/getInfo.php?workbook=14_04.xlsx&amp;sheet=U0&amp;row=1946&amp;col=6&amp;number=3.2&amp;sourceID=14","3.2")</f>
        <v>3.2</v>
      </c>
      <c r="G1946" s="4" t="str">
        <f>HYPERLINK("http://141.218.60.56/~jnz1568/getInfo.php?workbook=14_04.xlsx&amp;sheet=U0&amp;row=1946&amp;col=7&amp;number=6.49e-05&amp;sourceID=14","6.49e-05")</f>
        <v>6.49e-05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HYPERLINK("http://141.218.60.56/~jnz1568/getInfo.php?workbook=14_04.xlsx&amp;sheet=U0&amp;row=1947&amp;col=6&amp;number=3.3&amp;sourceID=14","3.3")</f>
        <v>3.3</v>
      </c>
      <c r="G1947" s="4" t="str">
        <f>HYPERLINK("http://141.218.60.56/~jnz1568/getInfo.php?workbook=14_04.xlsx&amp;sheet=U0&amp;row=1947&amp;col=7&amp;number=6.49e-05&amp;sourceID=14","6.49e-05")</f>
        <v>6.49e-05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HYPERLINK("http://141.218.60.56/~jnz1568/getInfo.php?workbook=14_04.xlsx&amp;sheet=U0&amp;row=1948&amp;col=6&amp;number=3.4&amp;sourceID=14","3.4")</f>
        <v>3.4</v>
      </c>
      <c r="G1948" s="4" t="str">
        <f>HYPERLINK("http://141.218.60.56/~jnz1568/getInfo.php?workbook=14_04.xlsx&amp;sheet=U0&amp;row=1948&amp;col=7&amp;number=6.49e-05&amp;sourceID=14","6.49e-05")</f>
        <v>6.49e-05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HYPERLINK("http://141.218.60.56/~jnz1568/getInfo.php?workbook=14_04.xlsx&amp;sheet=U0&amp;row=1949&amp;col=6&amp;number=3.5&amp;sourceID=14","3.5")</f>
        <v>3.5</v>
      </c>
      <c r="G1949" s="4" t="str">
        <f>HYPERLINK("http://141.218.60.56/~jnz1568/getInfo.php?workbook=14_04.xlsx&amp;sheet=U0&amp;row=1949&amp;col=7&amp;number=6.49e-05&amp;sourceID=14","6.49e-05")</f>
        <v>6.49e-05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HYPERLINK("http://141.218.60.56/~jnz1568/getInfo.php?workbook=14_04.xlsx&amp;sheet=U0&amp;row=1950&amp;col=6&amp;number=3.6&amp;sourceID=14","3.6")</f>
        <v>3.6</v>
      </c>
      <c r="G1950" s="4" t="str">
        <f>HYPERLINK("http://141.218.60.56/~jnz1568/getInfo.php?workbook=14_04.xlsx&amp;sheet=U0&amp;row=1950&amp;col=7&amp;number=6.49e-05&amp;sourceID=14","6.49e-05")</f>
        <v>6.49e-05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HYPERLINK("http://141.218.60.56/~jnz1568/getInfo.php?workbook=14_04.xlsx&amp;sheet=U0&amp;row=1951&amp;col=6&amp;number=3.7&amp;sourceID=14","3.7")</f>
        <v>3.7</v>
      </c>
      <c r="G1951" s="4" t="str">
        <f>HYPERLINK("http://141.218.60.56/~jnz1568/getInfo.php?workbook=14_04.xlsx&amp;sheet=U0&amp;row=1951&amp;col=7&amp;number=6.49e-05&amp;sourceID=14","6.49e-05")</f>
        <v>6.49e-05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HYPERLINK("http://141.218.60.56/~jnz1568/getInfo.php?workbook=14_04.xlsx&amp;sheet=U0&amp;row=1952&amp;col=6&amp;number=3.8&amp;sourceID=14","3.8")</f>
        <v>3.8</v>
      </c>
      <c r="G1952" s="4" t="str">
        <f>HYPERLINK("http://141.218.60.56/~jnz1568/getInfo.php?workbook=14_04.xlsx&amp;sheet=U0&amp;row=1952&amp;col=7&amp;number=6.49e-05&amp;sourceID=14","6.49e-05")</f>
        <v>6.49e-05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HYPERLINK("http://141.218.60.56/~jnz1568/getInfo.php?workbook=14_04.xlsx&amp;sheet=U0&amp;row=1953&amp;col=6&amp;number=3.9&amp;sourceID=14","3.9")</f>
        <v>3.9</v>
      </c>
      <c r="G1953" s="4" t="str">
        <f>HYPERLINK("http://141.218.60.56/~jnz1568/getInfo.php?workbook=14_04.xlsx&amp;sheet=U0&amp;row=1953&amp;col=7&amp;number=6.48e-05&amp;sourceID=14","6.48e-05")</f>
        <v>6.48e-05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HYPERLINK("http://141.218.60.56/~jnz1568/getInfo.php?workbook=14_04.xlsx&amp;sheet=U0&amp;row=1954&amp;col=6&amp;number=4&amp;sourceID=14","4")</f>
        <v>4</v>
      </c>
      <c r="G1954" s="4" t="str">
        <f>HYPERLINK("http://141.218.60.56/~jnz1568/getInfo.php?workbook=14_04.xlsx&amp;sheet=U0&amp;row=1954&amp;col=7&amp;number=6.48e-05&amp;sourceID=14","6.48e-05")</f>
        <v>6.48e-05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HYPERLINK("http://141.218.60.56/~jnz1568/getInfo.php?workbook=14_04.xlsx&amp;sheet=U0&amp;row=1955&amp;col=6&amp;number=4.1&amp;sourceID=14","4.1")</f>
        <v>4.1</v>
      </c>
      <c r="G1955" s="4" t="str">
        <f>HYPERLINK("http://141.218.60.56/~jnz1568/getInfo.php?workbook=14_04.xlsx&amp;sheet=U0&amp;row=1955&amp;col=7&amp;number=6.48e-05&amp;sourceID=14","6.48e-05")</f>
        <v>6.48e-05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HYPERLINK("http://141.218.60.56/~jnz1568/getInfo.php?workbook=14_04.xlsx&amp;sheet=U0&amp;row=1956&amp;col=6&amp;number=4.2&amp;sourceID=14","4.2")</f>
        <v>4.2</v>
      </c>
      <c r="G1956" s="4" t="str">
        <f>HYPERLINK("http://141.218.60.56/~jnz1568/getInfo.php?workbook=14_04.xlsx&amp;sheet=U0&amp;row=1956&amp;col=7&amp;number=6.48e-05&amp;sourceID=14","6.48e-05")</f>
        <v>6.48e-05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HYPERLINK("http://141.218.60.56/~jnz1568/getInfo.php?workbook=14_04.xlsx&amp;sheet=U0&amp;row=1957&amp;col=6&amp;number=4.3&amp;sourceID=14","4.3")</f>
        <v>4.3</v>
      </c>
      <c r="G1957" s="4" t="str">
        <f>HYPERLINK("http://141.218.60.56/~jnz1568/getInfo.php?workbook=14_04.xlsx&amp;sheet=U0&amp;row=1957&amp;col=7&amp;number=6.47e-05&amp;sourceID=14","6.47e-05")</f>
        <v>6.47e-05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HYPERLINK("http://141.218.60.56/~jnz1568/getInfo.php?workbook=14_04.xlsx&amp;sheet=U0&amp;row=1958&amp;col=6&amp;number=4.4&amp;sourceID=14","4.4")</f>
        <v>4.4</v>
      </c>
      <c r="G1958" s="4" t="str">
        <f>HYPERLINK("http://141.218.60.56/~jnz1568/getInfo.php?workbook=14_04.xlsx&amp;sheet=U0&amp;row=1958&amp;col=7&amp;number=6.47e-05&amp;sourceID=14","6.47e-05")</f>
        <v>6.47e-05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HYPERLINK("http://141.218.60.56/~jnz1568/getInfo.php?workbook=14_04.xlsx&amp;sheet=U0&amp;row=1959&amp;col=6&amp;number=4.5&amp;sourceID=14","4.5")</f>
        <v>4.5</v>
      </c>
      <c r="G1959" s="4" t="str">
        <f>HYPERLINK("http://141.218.60.56/~jnz1568/getInfo.php?workbook=14_04.xlsx&amp;sheet=U0&amp;row=1959&amp;col=7&amp;number=6.46e-05&amp;sourceID=14","6.46e-05")</f>
        <v>6.46e-05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HYPERLINK("http://141.218.60.56/~jnz1568/getInfo.php?workbook=14_04.xlsx&amp;sheet=U0&amp;row=1960&amp;col=6&amp;number=4.6&amp;sourceID=14","4.6")</f>
        <v>4.6</v>
      </c>
      <c r="G1960" s="4" t="str">
        <f>HYPERLINK("http://141.218.60.56/~jnz1568/getInfo.php?workbook=14_04.xlsx&amp;sheet=U0&amp;row=1960&amp;col=7&amp;number=6.45e-05&amp;sourceID=14","6.45e-05")</f>
        <v>6.45e-05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HYPERLINK("http://141.218.60.56/~jnz1568/getInfo.php?workbook=14_04.xlsx&amp;sheet=U0&amp;row=1961&amp;col=6&amp;number=4.7&amp;sourceID=14","4.7")</f>
        <v>4.7</v>
      </c>
      <c r="G1961" s="4" t="str">
        <f>HYPERLINK("http://141.218.60.56/~jnz1568/getInfo.php?workbook=14_04.xlsx&amp;sheet=U0&amp;row=1961&amp;col=7&amp;number=6.44e-05&amp;sourceID=14","6.44e-05")</f>
        <v>6.44e-05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HYPERLINK("http://141.218.60.56/~jnz1568/getInfo.php?workbook=14_04.xlsx&amp;sheet=U0&amp;row=1962&amp;col=6&amp;number=4.8&amp;sourceID=14","4.8")</f>
        <v>4.8</v>
      </c>
      <c r="G1962" s="4" t="str">
        <f>HYPERLINK("http://141.218.60.56/~jnz1568/getInfo.php?workbook=14_04.xlsx&amp;sheet=U0&amp;row=1962&amp;col=7&amp;number=6.43e-05&amp;sourceID=14","6.43e-05")</f>
        <v>6.43e-05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HYPERLINK("http://141.218.60.56/~jnz1568/getInfo.php?workbook=14_04.xlsx&amp;sheet=U0&amp;row=1963&amp;col=6&amp;number=4.9&amp;sourceID=14","4.9")</f>
        <v>4.9</v>
      </c>
      <c r="G1963" s="4" t="str">
        <f>HYPERLINK("http://141.218.60.56/~jnz1568/getInfo.php?workbook=14_04.xlsx&amp;sheet=U0&amp;row=1963&amp;col=7&amp;number=6.41e-05&amp;sourceID=14","6.41e-05")</f>
        <v>6.41e-05</v>
      </c>
    </row>
    <row r="1964" spans="1:7">
      <c r="A1964" s="3">
        <v>14</v>
      </c>
      <c r="B1964" s="3">
        <v>4</v>
      </c>
      <c r="C1964" s="3">
        <v>1</v>
      </c>
      <c r="D1964" s="3">
        <v>64</v>
      </c>
      <c r="E1964" s="3">
        <v>1</v>
      </c>
      <c r="F1964" s="4" t="str">
        <f>HYPERLINK("http://141.218.60.56/~jnz1568/getInfo.php?workbook=14_04.xlsx&amp;sheet=U0&amp;row=1964&amp;col=6&amp;number=3&amp;sourceID=14","3")</f>
        <v>3</v>
      </c>
      <c r="G1964" s="4" t="str">
        <f>HYPERLINK("http://141.218.60.56/~jnz1568/getInfo.php?workbook=14_04.xlsx&amp;sheet=U0&amp;row=1964&amp;col=7&amp;number=9.36e-05&amp;sourceID=14","9.36e-05")</f>
        <v>9.36e-05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HYPERLINK("http://141.218.60.56/~jnz1568/getInfo.php?workbook=14_04.xlsx&amp;sheet=U0&amp;row=1965&amp;col=6&amp;number=3.1&amp;sourceID=14","3.1")</f>
        <v>3.1</v>
      </c>
      <c r="G1965" s="4" t="str">
        <f>HYPERLINK("http://141.218.60.56/~jnz1568/getInfo.php?workbook=14_04.xlsx&amp;sheet=U0&amp;row=1965&amp;col=7&amp;number=9.36e-05&amp;sourceID=14","9.36e-05")</f>
        <v>9.36e-05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HYPERLINK("http://141.218.60.56/~jnz1568/getInfo.php?workbook=14_04.xlsx&amp;sheet=U0&amp;row=1966&amp;col=6&amp;number=3.2&amp;sourceID=14","3.2")</f>
        <v>3.2</v>
      </c>
      <c r="G1966" s="4" t="str">
        <f>HYPERLINK("http://141.218.60.56/~jnz1568/getInfo.php?workbook=14_04.xlsx&amp;sheet=U0&amp;row=1966&amp;col=7&amp;number=9.36e-05&amp;sourceID=14","9.36e-05")</f>
        <v>9.36e-05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HYPERLINK("http://141.218.60.56/~jnz1568/getInfo.php?workbook=14_04.xlsx&amp;sheet=U0&amp;row=1967&amp;col=6&amp;number=3.3&amp;sourceID=14","3.3")</f>
        <v>3.3</v>
      </c>
      <c r="G1967" s="4" t="str">
        <f>HYPERLINK("http://141.218.60.56/~jnz1568/getInfo.php?workbook=14_04.xlsx&amp;sheet=U0&amp;row=1967&amp;col=7&amp;number=9.36e-05&amp;sourceID=14","9.36e-05")</f>
        <v>9.36e-05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HYPERLINK("http://141.218.60.56/~jnz1568/getInfo.php?workbook=14_04.xlsx&amp;sheet=U0&amp;row=1968&amp;col=6&amp;number=3.4&amp;sourceID=14","3.4")</f>
        <v>3.4</v>
      </c>
      <c r="G1968" s="4" t="str">
        <f>HYPERLINK("http://141.218.60.56/~jnz1568/getInfo.php?workbook=14_04.xlsx&amp;sheet=U0&amp;row=1968&amp;col=7&amp;number=9.36e-05&amp;sourceID=14","9.36e-05")</f>
        <v>9.36e-05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HYPERLINK("http://141.218.60.56/~jnz1568/getInfo.php?workbook=14_04.xlsx&amp;sheet=U0&amp;row=1969&amp;col=6&amp;number=3.5&amp;sourceID=14","3.5")</f>
        <v>3.5</v>
      </c>
      <c r="G1969" s="4" t="str">
        <f>HYPERLINK("http://141.218.60.56/~jnz1568/getInfo.php?workbook=14_04.xlsx&amp;sheet=U0&amp;row=1969&amp;col=7&amp;number=9.36e-05&amp;sourceID=14","9.36e-05")</f>
        <v>9.36e-05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HYPERLINK("http://141.218.60.56/~jnz1568/getInfo.php?workbook=14_04.xlsx&amp;sheet=U0&amp;row=1970&amp;col=6&amp;number=3.6&amp;sourceID=14","3.6")</f>
        <v>3.6</v>
      </c>
      <c r="G1970" s="4" t="str">
        <f>HYPERLINK("http://141.218.60.56/~jnz1568/getInfo.php?workbook=14_04.xlsx&amp;sheet=U0&amp;row=1970&amp;col=7&amp;number=9.35e-05&amp;sourceID=14","9.35e-05")</f>
        <v>9.35e-05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HYPERLINK("http://141.218.60.56/~jnz1568/getInfo.php?workbook=14_04.xlsx&amp;sheet=U0&amp;row=1971&amp;col=6&amp;number=3.7&amp;sourceID=14","3.7")</f>
        <v>3.7</v>
      </c>
      <c r="G1971" s="4" t="str">
        <f>HYPERLINK("http://141.218.60.56/~jnz1568/getInfo.php?workbook=14_04.xlsx&amp;sheet=U0&amp;row=1971&amp;col=7&amp;number=9.35e-05&amp;sourceID=14","9.35e-05")</f>
        <v>9.35e-05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HYPERLINK("http://141.218.60.56/~jnz1568/getInfo.php?workbook=14_04.xlsx&amp;sheet=U0&amp;row=1972&amp;col=6&amp;number=3.8&amp;sourceID=14","3.8")</f>
        <v>3.8</v>
      </c>
      <c r="G1972" s="4" t="str">
        <f>HYPERLINK("http://141.218.60.56/~jnz1568/getInfo.php?workbook=14_04.xlsx&amp;sheet=U0&amp;row=1972&amp;col=7&amp;number=9.35e-05&amp;sourceID=14","9.35e-05")</f>
        <v>9.35e-05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HYPERLINK("http://141.218.60.56/~jnz1568/getInfo.php?workbook=14_04.xlsx&amp;sheet=U0&amp;row=1973&amp;col=6&amp;number=3.9&amp;sourceID=14","3.9")</f>
        <v>3.9</v>
      </c>
      <c r="G1973" s="4" t="str">
        <f>HYPERLINK("http://141.218.60.56/~jnz1568/getInfo.php?workbook=14_04.xlsx&amp;sheet=U0&amp;row=1973&amp;col=7&amp;number=9.35e-05&amp;sourceID=14","9.35e-05")</f>
        <v>9.35e-05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HYPERLINK("http://141.218.60.56/~jnz1568/getInfo.php?workbook=14_04.xlsx&amp;sheet=U0&amp;row=1974&amp;col=6&amp;number=4&amp;sourceID=14","4")</f>
        <v>4</v>
      </c>
      <c r="G1974" s="4" t="str">
        <f>HYPERLINK("http://141.218.60.56/~jnz1568/getInfo.php?workbook=14_04.xlsx&amp;sheet=U0&amp;row=1974&amp;col=7&amp;number=9.34e-05&amp;sourceID=14","9.34e-05")</f>
        <v>9.34e-05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HYPERLINK("http://141.218.60.56/~jnz1568/getInfo.php?workbook=14_04.xlsx&amp;sheet=U0&amp;row=1975&amp;col=6&amp;number=4.1&amp;sourceID=14","4.1")</f>
        <v>4.1</v>
      </c>
      <c r="G1975" s="4" t="str">
        <f>HYPERLINK("http://141.218.60.56/~jnz1568/getInfo.php?workbook=14_04.xlsx&amp;sheet=U0&amp;row=1975&amp;col=7&amp;number=9.34e-05&amp;sourceID=14","9.34e-05")</f>
        <v>9.34e-05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HYPERLINK("http://141.218.60.56/~jnz1568/getInfo.php?workbook=14_04.xlsx&amp;sheet=U0&amp;row=1976&amp;col=6&amp;number=4.2&amp;sourceID=14","4.2")</f>
        <v>4.2</v>
      </c>
      <c r="G1976" s="4" t="str">
        <f>HYPERLINK("http://141.218.60.56/~jnz1568/getInfo.php?workbook=14_04.xlsx&amp;sheet=U0&amp;row=1976&amp;col=7&amp;number=9.33e-05&amp;sourceID=14","9.33e-05")</f>
        <v>9.33e-05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HYPERLINK("http://141.218.60.56/~jnz1568/getInfo.php?workbook=14_04.xlsx&amp;sheet=U0&amp;row=1977&amp;col=6&amp;number=4.3&amp;sourceID=14","4.3")</f>
        <v>4.3</v>
      </c>
      <c r="G1977" s="4" t="str">
        <f>HYPERLINK("http://141.218.60.56/~jnz1568/getInfo.php?workbook=14_04.xlsx&amp;sheet=U0&amp;row=1977&amp;col=7&amp;number=9.32e-05&amp;sourceID=14","9.32e-05")</f>
        <v>9.32e-05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HYPERLINK("http://141.218.60.56/~jnz1568/getInfo.php?workbook=14_04.xlsx&amp;sheet=U0&amp;row=1978&amp;col=6&amp;number=4.4&amp;sourceID=14","4.4")</f>
        <v>4.4</v>
      </c>
      <c r="G1978" s="4" t="str">
        <f>HYPERLINK("http://141.218.60.56/~jnz1568/getInfo.php?workbook=14_04.xlsx&amp;sheet=U0&amp;row=1978&amp;col=7&amp;number=9.31e-05&amp;sourceID=14","9.31e-05")</f>
        <v>9.31e-05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HYPERLINK("http://141.218.60.56/~jnz1568/getInfo.php?workbook=14_04.xlsx&amp;sheet=U0&amp;row=1979&amp;col=6&amp;number=4.5&amp;sourceID=14","4.5")</f>
        <v>4.5</v>
      </c>
      <c r="G1979" s="4" t="str">
        <f>HYPERLINK("http://141.218.60.56/~jnz1568/getInfo.php?workbook=14_04.xlsx&amp;sheet=U0&amp;row=1979&amp;col=7&amp;number=9.3e-05&amp;sourceID=14","9.3e-05")</f>
        <v>9.3e-05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HYPERLINK("http://141.218.60.56/~jnz1568/getInfo.php?workbook=14_04.xlsx&amp;sheet=U0&amp;row=1980&amp;col=6&amp;number=4.6&amp;sourceID=14","4.6")</f>
        <v>4.6</v>
      </c>
      <c r="G1980" s="4" t="str">
        <f>HYPERLINK("http://141.218.60.56/~jnz1568/getInfo.php?workbook=14_04.xlsx&amp;sheet=U0&amp;row=1980&amp;col=7&amp;number=9.28e-05&amp;sourceID=14","9.28e-05")</f>
        <v>9.28e-05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HYPERLINK("http://141.218.60.56/~jnz1568/getInfo.php?workbook=14_04.xlsx&amp;sheet=U0&amp;row=1981&amp;col=6&amp;number=4.7&amp;sourceID=14","4.7")</f>
        <v>4.7</v>
      </c>
      <c r="G1981" s="4" t="str">
        <f>HYPERLINK("http://141.218.60.56/~jnz1568/getInfo.php?workbook=14_04.xlsx&amp;sheet=U0&amp;row=1981&amp;col=7&amp;number=9.26e-05&amp;sourceID=14","9.26e-05")</f>
        <v>9.26e-05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HYPERLINK("http://141.218.60.56/~jnz1568/getInfo.php?workbook=14_04.xlsx&amp;sheet=U0&amp;row=1982&amp;col=6&amp;number=4.8&amp;sourceID=14","4.8")</f>
        <v>4.8</v>
      </c>
      <c r="G1982" s="4" t="str">
        <f>HYPERLINK("http://141.218.60.56/~jnz1568/getInfo.php?workbook=14_04.xlsx&amp;sheet=U0&amp;row=1982&amp;col=7&amp;number=9.24e-05&amp;sourceID=14","9.24e-05")</f>
        <v>9.24e-05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HYPERLINK("http://141.218.60.56/~jnz1568/getInfo.php?workbook=14_04.xlsx&amp;sheet=U0&amp;row=1983&amp;col=6&amp;number=4.9&amp;sourceID=14","4.9")</f>
        <v>4.9</v>
      </c>
      <c r="G1983" s="4" t="str">
        <f>HYPERLINK("http://141.218.60.56/~jnz1568/getInfo.php?workbook=14_04.xlsx&amp;sheet=U0&amp;row=1983&amp;col=7&amp;number=9.21e-05&amp;sourceID=14","9.21e-05")</f>
        <v>9.21e-05</v>
      </c>
    </row>
    <row r="1984" spans="1:7">
      <c r="A1984" s="3">
        <v>14</v>
      </c>
      <c r="B1984" s="3">
        <v>4</v>
      </c>
      <c r="C1984" s="3">
        <v>1</v>
      </c>
      <c r="D1984" s="3">
        <v>65</v>
      </c>
      <c r="E1984" s="3">
        <v>1</v>
      </c>
      <c r="F1984" s="4" t="str">
        <f>HYPERLINK("http://141.218.60.56/~jnz1568/getInfo.php?workbook=14_04.xlsx&amp;sheet=U0&amp;row=1984&amp;col=6&amp;number=3&amp;sourceID=14","3")</f>
        <v>3</v>
      </c>
      <c r="G1984" s="4" t="str">
        <f>HYPERLINK("http://141.218.60.56/~jnz1568/getInfo.php?workbook=14_04.xlsx&amp;sheet=U0&amp;row=1984&amp;col=7&amp;number=4.56e-05&amp;sourceID=14","4.56e-05")</f>
        <v>4.56e-05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HYPERLINK("http://141.218.60.56/~jnz1568/getInfo.php?workbook=14_04.xlsx&amp;sheet=U0&amp;row=1985&amp;col=6&amp;number=3.1&amp;sourceID=14","3.1")</f>
        <v>3.1</v>
      </c>
      <c r="G1985" s="4" t="str">
        <f>HYPERLINK("http://141.218.60.56/~jnz1568/getInfo.php?workbook=14_04.xlsx&amp;sheet=U0&amp;row=1985&amp;col=7&amp;number=4.56e-05&amp;sourceID=14","4.56e-05")</f>
        <v>4.56e-05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HYPERLINK("http://141.218.60.56/~jnz1568/getInfo.php?workbook=14_04.xlsx&amp;sheet=U0&amp;row=1986&amp;col=6&amp;number=3.2&amp;sourceID=14","3.2")</f>
        <v>3.2</v>
      </c>
      <c r="G1986" s="4" t="str">
        <f>HYPERLINK("http://141.218.60.56/~jnz1568/getInfo.php?workbook=14_04.xlsx&amp;sheet=U0&amp;row=1986&amp;col=7&amp;number=4.56e-05&amp;sourceID=14","4.56e-05")</f>
        <v>4.56e-05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HYPERLINK("http://141.218.60.56/~jnz1568/getInfo.php?workbook=14_04.xlsx&amp;sheet=U0&amp;row=1987&amp;col=6&amp;number=3.3&amp;sourceID=14","3.3")</f>
        <v>3.3</v>
      </c>
      <c r="G1987" s="4" t="str">
        <f>HYPERLINK("http://141.218.60.56/~jnz1568/getInfo.php?workbook=14_04.xlsx&amp;sheet=U0&amp;row=1987&amp;col=7&amp;number=4.56e-05&amp;sourceID=14","4.56e-05")</f>
        <v>4.56e-05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HYPERLINK("http://141.218.60.56/~jnz1568/getInfo.php?workbook=14_04.xlsx&amp;sheet=U0&amp;row=1988&amp;col=6&amp;number=3.4&amp;sourceID=14","3.4")</f>
        <v>3.4</v>
      </c>
      <c r="G1988" s="4" t="str">
        <f>HYPERLINK("http://141.218.60.56/~jnz1568/getInfo.php?workbook=14_04.xlsx&amp;sheet=U0&amp;row=1988&amp;col=7&amp;number=4.56e-05&amp;sourceID=14","4.56e-05")</f>
        <v>4.56e-05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HYPERLINK("http://141.218.60.56/~jnz1568/getInfo.php?workbook=14_04.xlsx&amp;sheet=U0&amp;row=1989&amp;col=6&amp;number=3.5&amp;sourceID=14","3.5")</f>
        <v>3.5</v>
      </c>
      <c r="G1989" s="4" t="str">
        <f>HYPERLINK("http://141.218.60.56/~jnz1568/getInfo.php?workbook=14_04.xlsx&amp;sheet=U0&amp;row=1989&amp;col=7&amp;number=4.56e-05&amp;sourceID=14","4.56e-05")</f>
        <v>4.56e-05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HYPERLINK("http://141.218.60.56/~jnz1568/getInfo.php?workbook=14_04.xlsx&amp;sheet=U0&amp;row=1990&amp;col=6&amp;number=3.6&amp;sourceID=14","3.6")</f>
        <v>3.6</v>
      </c>
      <c r="G1990" s="4" t="str">
        <f>HYPERLINK("http://141.218.60.56/~jnz1568/getInfo.php?workbook=14_04.xlsx&amp;sheet=U0&amp;row=1990&amp;col=7&amp;number=4.56e-05&amp;sourceID=14","4.56e-05")</f>
        <v>4.56e-05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HYPERLINK("http://141.218.60.56/~jnz1568/getInfo.php?workbook=14_04.xlsx&amp;sheet=U0&amp;row=1991&amp;col=6&amp;number=3.7&amp;sourceID=14","3.7")</f>
        <v>3.7</v>
      </c>
      <c r="G1991" s="4" t="str">
        <f>HYPERLINK("http://141.218.60.56/~jnz1568/getInfo.php?workbook=14_04.xlsx&amp;sheet=U0&amp;row=1991&amp;col=7&amp;number=4.56e-05&amp;sourceID=14","4.56e-05")</f>
        <v>4.56e-05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HYPERLINK("http://141.218.60.56/~jnz1568/getInfo.php?workbook=14_04.xlsx&amp;sheet=U0&amp;row=1992&amp;col=6&amp;number=3.8&amp;sourceID=14","3.8")</f>
        <v>3.8</v>
      </c>
      <c r="G1992" s="4" t="str">
        <f>HYPERLINK("http://141.218.60.56/~jnz1568/getInfo.php?workbook=14_04.xlsx&amp;sheet=U0&amp;row=1992&amp;col=7&amp;number=4.56e-05&amp;sourceID=14","4.56e-05")</f>
        <v>4.56e-05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HYPERLINK("http://141.218.60.56/~jnz1568/getInfo.php?workbook=14_04.xlsx&amp;sheet=U0&amp;row=1993&amp;col=6&amp;number=3.9&amp;sourceID=14","3.9")</f>
        <v>3.9</v>
      </c>
      <c r="G1993" s="4" t="str">
        <f>HYPERLINK("http://141.218.60.56/~jnz1568/getInfo.php?workbook=14_04.xlsx&amp;sheet=U0&amp;row=1993&amp;col=7&amp;number=4.56e-05&amp;sourceID=14","4.56e-05")</f>
        <v>4.56e-05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HYPERLINK("http://141.218.60.56/~jnz1568/getInfo.php?workbook=14_04.xlsx&amp;sheet=U0&amp;row=1994&amp;col=6&amp;number=4&amp;sourceID=14","4")</f>
        <v>4</v>
      </c>
      <c r="G1994" s="4" t="str">
        <f>HYPERLINK("http://141.218.60.56/~jnz1568/getInfo.php?workbook=14_04.xlsx&amp;sheet=U0&amp;row=1994&amp;col=7&amp;number=4.56e-05&amp;sourceID=14","4.56e-05")</f>
        <v>4.56e-05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HYPERLINK("http://141.218.60.56/~jnz1568/getInfo.php?workbook=14_04.xlsx&amp;sheet=U0&amp;row=1995&amp;col=6&amp;number=4.1&amp;sourceID=14","4.1")</f>
        <v>4.1</v>
      </c>
      <c r="G1995" s="4" t="str">
        <f>HYPERLINK("http://141.218.60.56/~jnz1568/getInfo.php?workbook=14_04.xlsx&amp;sheet=U0&amp;row=1995&amp;col=7&amp;number=4.55e-05&amp;sourceID=14","4.55e-05")</f>
        <v>4.55e-05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HYPERLINK("http://141.218.60.56/~jnz1568/getInfo.php?workbook=14_04.xlsx&amp;sheet=U0&amp;row=1996&amp;col=6&amp;number=4.2&amp;sourceID=14","4.2")</f>
        <v>4.2</v>
      </c>
      <c r="G1996" s="4" t="str">
        <f>HYPERLINK("http://141.218.60.56/~jnz1568/getInfo.php?workbook=14_04.xlsx&amp;sheet=U0&amp;row=1996&amp;col=7&amp;number=4.55e-05&amp;sourceID=14","4.55e-05")</f>
        <v>4.55e-05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HYPERLINK("http://141.218.60.56/~jnz1568/getInfo.php?workbook=14_04.xlsx&amp;sheet=U0&amp;row=1997&amp;col=6&amp;number=4.3&amp;sourceID=14","4.3")</f>
        <v>4.3</v>
      </c>
      <c r="G1997" s="4" t="str">
        <f>HYPERLINK("http://141.218.60.56/~jnz1568/getInfo.php?workbook=14_04.xlsx&amp;sheet=U0&amp;row=1997&amp;col=7&amp;number=4.55e-05&amp;sourceID=14","4.55e-05")</f>
        <v>4.55e-05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HYPERLINK("http://141.218.60.56/~jnz1568/getInfo.php?workbook=14_04.xlsx&amp;sheet=U0&amp;row=1998&amp;col=6&amp;number=4.4&amp;sourceID=14","4.4")</f>
        <v>4.4</v>
      </c>
      <c r="G1998" s="4" t="str">
        <f>HYPERLINK("http://141.218.60.56/~jnz1568/getInfo.php?workbook=14_04.xlsx&amp;sheet=U0&amp;row=1998&amp;col=7&amp;number=4.54e-05&amp;sourceID=14","4.54e-05")</f>
        <v>4.54e-05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HYPERLINK("http://141.218.60.56/~jnz1568/getInfo.php?workbook=14_04.xlsx&amp;sheet=U0&amp;row=1999&amp;col=6&amp;number=4.5&amp;sourceID=14","4.5")</f>
        <v>4.5</v>
      </c>
      <c r="G1999" s="4" t="str">
        <f>HYPERLINK("http://141.218.60.56/~jnz1568/getInfo.php?workbook=14_04.xlsx&amp;sheet=U0&amp;row=1999&amp;col=7&amp;number=4.54e-05&amp;sourceID=14","4.54e-05")</f>
        <v>4.54e-05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HYPERLINK("http://141.218.60.56/~jnz1568/getInfo.php?workbook=14_04.xlsx&amp;sheet=U0&amp;row=2000&amp;col=6&amp;number=4.6&amp;sourceID=14","4.6")</f>
        <v>4.6</v>
      </c>
      <c r="G2000" s="4" t="str">
        <f>HYPERLINK("http://141.218.60.56/~jnz1568/getInfo.php?workbook=14_04.xlsx&amp;sheet=U0&amp;row=2000&amp;col=7&amp;number=4.53e-05&amp;sourceID=14","4.53e-05")</f>
        <v>4.53e-05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HYPERLINK("http://141.218.60.56/~jnz1568/getInfo.php?workbook=14_04.xlsx&amp;sheet=U0&amp;row=2001&amp;col=6&amp;number=4.7&amp;sourceID=14","4.7")</f>
        <v>4.7</v>
      </c>
      <c r="G2001" s="4" t="str">
        <f>HYPERLINK("http://141.218.60.56/~jnz1568/getInfo.php?workbook=14_04.xlsx&amp;sheet=U0&amp;row=2001&amp;col=7&amp;number=4.52e-05&amp;sourceID=14","4.52e-05")</f>
        <v>4.52e-05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HYPERLINK("http://141.218.60.56/~jnz1568/getInfo.php?workbook=14_04.xlsx&amp;sheet=U0&amp;row=2002&amp;col=6&amp;number=4.8&amp;sourceID=14","4.8")</f>
        <v>4.8</v>
      </c>
      <c r="G2002" s="4" t="str">
        <f>HYPERLINK("http://141.218.60.56/~jnz1568/getInfo.php?workbook=14_04.xlsx&amp;sheet=U0&amp;row=2002&amp;col=7&amp;number=4.51e-05&amp;sourceID=14","4.51e-05")</f>
        <v>4.51e-05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HYPERLINK("http://141.218.60.56/~jnz1568/getInfo.php?workbook=14_04.xlsx&amp;sheet=U0&amp;row=2003&amp;col=6&amp;number=4.9&amp;sourceID=14","4.9")</f>
        <v>4.9</v>
      </c>
      <c r="G2003" s="4" t="str">
        <f>HYPERLINK("http://141.218.60.56/~jnz1568/getInfo.php?workbook=14_04.xlsx&amp;sheet=U0&amp;row=2003&amp;col=7&amp;number=4.5e-05&amp;sourceID=14","4.5e-05")</f>
        <v>4.5e-05</v>
      </c>
    </row>
    <row r="2004" spans="1:7">
      <c r="A2004" s="3">
        <v>14</v>
      </c>
      <c r="B2004" s="3">
        <v>4</v>
      </c>
      <c r="C2004" s="3">
        <v>1</v>
      </c>
      <c r="D2004" s="3">
        <v>66</v>
      </c>
      <c r="E2004" s="3">
        <v>1</v>
      </c>
      <c r="F2004" s="4" t="str">
        <f>HYPERLINK("http://141.218.60.56/~jnz1568/getInfo.php?workbook=14_04.xlsx&amp;sheet=U0&amp;row=2004&amp;col=6&amp;number=3&amp;sourceID=14","3")</f>
        <v>3</v>
      </c>
      <c r="G2004" s="4" t="str">
        <f>HYPERLINK("http://141.218.60.56/~jnz1568/getInfo.php?workbook=14_04.xlsx&amp;sheet=U0&amp;row=2004&amp;col=7&amp;number=1.9e-05&amp;sourceID=14","1.9e-05")</f>
        <v>1.9e-05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HYPERLINK("http://141.218.60.56/~jnz1568/getInfo.php?workbook=14_04.xlsx&amp;sheet=U0&amp;row=2005&amp;col=6&amp;number=3.1&amp;sourceID=14","3.1")</f>
        <v>3.1</v>
      </c>
      <c r="G2005" s="4" t="str">
        <f>HYPERLINK("http://141.218.60.56/~jnz1568/getInfo.php?workbook=14_04.xlsx&amp;sheet=U0&amp;row=2005&amp;col=7&amp;number=1.9e-05&amp;sourceID=14","1.9e-05")</f>
        <v>1.9e-05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HYPERLINK("http://141.218.60.56/~jnz1568/getInfo.php?workbook=14_04.xlsx&amp;sheet=U0&amp;row=2006&amp;col=6&amp;number=3.2&amp;sourceID=14","3.2")</f>
        <v>3.2</v>
      </c>
      <c r="G2006" s="4" t="str">
        <f>HYPERLINK("http://141.218.60.56/~jnz1568/getInfo.php?workbook=14_04.xlsx&amp;sheet=U0&amp;row=2006&amp;col=7&amp;number=1.9e-05&amp;sourceID=14","1.9e-05")</f>
        <v>1.9e-05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HYPERLINK("http://141.218.60.56/~jnz1568/getInfo.php?workbook=14_04.xlsx&amp;sheet=U0&amp;row=2007&amp;col=6&amp;number=3.3&amp;sourceID=14","3.3")</f>
        <v>3.3</v>
      </c>
      <c r="G2007" s="4" t="str">
        <f>HYPERLINK("http://141.218.60.56/~jnz1568/getInfo.php?workbook=14_04.xlsx&amp;sheet=U0&amp;row=2007&amp;col=7&amp;number=1.9e-05&amp;sourceID=14","1.9e-05")</f>
        <v>1.9e-05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HYPERLINK("http://141.218.60.56/~jnz1568/getInfo.php?workbook=14_04.xlsx&amp;sheet=U0&amp;row=2008&amp;col=6&amp;number=3.4&amp;sourceID=14","3.4")</f>
        <v>3.4</v>
      </c>
      <c r="G2008" s="4" t="str">
        <f>HYPERLINK("http://141.218.60.56/~jnz1568/getInfo.php?workbook=14_04.xlsx&amp;sheet=U0&amp;row=2008&amp;col=7&amp;number=1.9e-05&amp;sourceID=14","1.9e-05")</f>
        <v>1.9e-05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HYPERLINK("http://141.218.60.56/~jnz1568/getInfo.php?workbook=14_04.xlsx&amp;sheet=U0&amp;row=2009&amp;col=6&amp;number=3.5&amp;sourceID=14","3.5")</f>
        <v>3.5</v>
      </c>
      <c r="G2009" s="4" t="str">
        <f>HYPERLINK("http://141.218.60.56/~jnz1568/getInfo.php?workbook=14_04.xlsx&amp;sheet=U0&amp;row=2009&amp;col=7&amp;number=1.9e-05&amp;sourceID=14","1.9e-05")</f>
        <v>1.9e-05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HYPERLINK("http://141.218.60.56/~jnz1568/getInfo.php?workbook=14_04.xlsx&amp;sheet=U0&amp;row=2010&amp;col=6&amp;number=3.6&amp;sourceID=14","3.6")</f>
        <v>3.6</v>
      </c>
      <c r="G2010" s="4" t="str">
        <f>HYPERLINK("http://141.218.60.56/~jnz1568/getInfo.php?workbook=14_04.xlsx&amp;sheet=U0&amp;row=2010&amp;col=7&amp;number=1.9e-05&amp;sourceID=14","1.9e-05")</f>
        <v>1.9e-05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HYPERLINK("http://141.218.60.56/~jnz1568/getInfo.php?workbook=14_04.xlsx&amp;sheet=U0&amp;row=2011&amp;col=6&amp;number=3.7&amp;sourceID=14","3.7")</f>
        <v>3.7</v>
      </c>
      <c r="G2011" s="4" t="str">
        <f>HYPERLINK("http://141.218.60.56/~jnz1568/getInfo.php?workbook=14_04.xlsx&amp;sheet=U0&amp;row=2011&amp;col=7&amp;number=1.9e-05&amp;sourceID=14","1.9e-05")</f>
        <v>1.9e-05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HYPERLINK("http://141.218.60.56/~jnz1568/getInfo.php?workbook=14_04.xlsx&amp;sheet=U0&amp;row=2012&amp;col=6&amp;number=3.8&amp;sourceID=14","3.8")</f>
        <v>3.8</v>
      </c>
      <c r="G2012" s="4" t="str">
        <f>HYPERLINK("http://141.218.60.56/~jnz1568/getInfo.php?workbook=14_04.xlsx&amp;sheet=U0&amp;row=2012&amp;col=7&amp;number=1.9e-05&amp;sourceID=14","1.9e-05")</f>
        <v>1.9e-05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HYPERLINK("http://141.218.60.56/~jnz1568/getInfo.php?workbook=14_04.xlsx&amp;sheet=U0&amp;row=2013&amp;col=6&amp;number=3.9&amp;sourceID=14","3.9")</f>
        <v>3.9</v>
      </c>
      <c r="G2013" s="4" t="str">
        <f>HYPERLINK("http://141.218.60.56/~jnz1568/getInfo.php?workbook=14_04.xlsx&amp;sheet=U0&amp;row=2013&amp;col=7&amp;number=1.9e-05&amp;sourceID=14","1.9e-05")</f>
        <v>1.9e-05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HYPERLINK("http://141.218.60.56/~jnz1568/getInfo.php?workbook=14_04.xlsx&amp;sheet=U0&amp;row=2014&amp;col=6&amp;number=4&amp;sourceID=14","4")</f>
        <v>4</v>
      </c>
      <c r="G2014" s="4" t="str">
        <f>HYPERLINK("http://141.218.60.56/~jnz1568/getInfo.php?workbook=14_04.xlsx&amp;sheet=U0&amp;row=2014&amp;col=7&amp;number=1.9e-05&amp;sourceID=14","1.9e-05")</f>
        <v>1.9e-05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HYPERLINK("http://141.218.60.56/~jnz1568/getInfo.php?workbook=14_04.xlsx&amp;sheet=U0&amp;row=2015&amp;col=6&amp;number=4.1&amp;sourceID=14","4.1")</f>
        <v>4.1</v>
      </c>
      <c r="G2015" s="4" t="str">
        <f>HYPERLINK("http://141.218.60.56/~jnz1568/getInfo.php?workbook=14_04.xlsx&amp;sheet=U0&amp;row=2015&amp;col=7&amp;number=1.9e-05&amp;sourceID=14","1.9e-05")</f>
        <v>1.9e-05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HYPERLINK("http://141.218.60.56/~jnz1568/getInfo.php?workbook=14_04.xlsx&amp;sheet=U0&amp;row=2016&amp;col=6&amp;number=4.2&amp;sourceID=14","4.2")</f>
        <v>4.2</v>
      </c>
      <c r="G2016" s="4" t="str">
        <f>HYPERLINK("http://141.218.60.56/~jnz1568/getInfo.php?workbook=14_04.xlsx&amp;sheet=U0&amp;row=2016&amp;col=7&amp;number=1.9e-05&amp;sourceID=14","1.9e-05")</f>
        <v>1.9e-05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HYPERLINK("http://141.218.60.56/~jnz1568/getInfo.php?workbook=14_04.xlsx&amp;sheet=U0&amp;row=2017&amp;col=6&amp;number=4.3&amp;sourceID=14","4.3")</f>
        <v>4.3</v>
      </c>
      <c r="G2017" s="4" t="str">
        <f>HYPERLINK("http://141.218.60.56/~jnz1568/getInfo.php?workbook=14_04.xlsx&amp;sheet=U0&amp;row=2017&amp;col=7&amp;number=1.9e-05&amp;sourceID=14","1.9e-05")</f>
        <v>1.9e-05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HYPERLINK("http://141.218.60.56/~jnz1568/getInfo.php?workbook=14_04.xlsx&amp;sheet=U0&amp;row=2018&amp;col=6&amp;number=4.4&amp;sourceID=14","4.4")</f>
        <v>4.4</v>
      </c>
      <c r="G2018" s="4" t="str">
        <f>HYPERLINK("http://141.218.60.56/~jnz1568/getInfo.php?workbook=14_04.xlsx&amp;sheet=U0&amp;row=2018&amp;col=7&amp;number=1.9e-05&amp;sourceID=14","1.9e-05")</f>
        <v>1.9e-05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HYPERLINK("http://141.218.60.56/~jnz1568/getInfo.php?workbook=14_04.xlsx&amp;sheet=U0&amp;row=2019&amp;col=6&amp;number=4.5&amp;sourceID=14","4.5")</f>
        <v>4.5</v>
      </c>
      <c r="G2019" s="4" t="str">
        <f>HYPERLINK("http://141.218.60.56/~jnz1568/getInfo.php?workbook=14_04.xlsx&amp;sheet=U0&amp;row=2019&amp;col=7&amp;number=1.9e-05&amp;sourceID=14","1.9e-05")</f>
        <v>1.9e-05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HYPERLINK("http://141.218.60.56/~jnz1568/getInfo.php?workbook=14_04.xlsx&amp;sheet=U0&amp;row=2020&amp;col=6&amp;number=4.6&amp;sourceID=14","4.6")</f>
        <v>4.6</v>
      </c>
      <c r="G2020" s="4" t="str">
        <f>HYPERLINK("http://141.218.60.56/~jnz1568/getInfo.php?workbook=14_04.xlsx&amp;sheet=U0&amp;row=2020&amp;col=7&amp;number=1.9e-05&amp;sourceID=14","1.9e-05")</f>
        <v>1.9e-05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HYPERLINK("http://141.218.60.56/~jnz1568/getInfo.php?workbook=14_04.xlsx&amp;sheet=U0&amp;row=2021&amp;col=6&amp;number=4.7&amp;sourceID=14","4.7")</f>
        <v>4.7</v>
      </c>
      <c r="G2021" s="4" t="str">
        <f>HYPERLINK("http://141.218.60.56/~jnz1568/getInfo.php?workbook=14_04.xlsx&amp;sheet=U0&amp;row=2021&amp;col=7&amp;number=1.9e-05&amp;sourceID=14","1.9e-05")</f>
        <v>1.9e-05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HYPERLINK("http://141.218.60.56/~jnz1568/getInfo.php?workbook=14_04.xlsx&amp;sheet=U0&amp;row=2022&amp;col=6&amp;number=4.8&amp;sourceID=14","4.8")</f>
        <v>4.8</v>
      </c>
      <c r="G2022" s="4" t="str">
        <f>HYPERLINK("http://141.218.60.56/~jnz1568/getInfo.php?workbook=14_04.xlsx&amp;sheet=U0&amp;row=2022&amp;col=7&amp;number=1.9e-05&amp;sourceID=14","1.9e-05")</f>
        <v>1.9e-05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HYPERLINK("http://141.218.60.56/~jnz1568/getInfo.php?workbook=14_04.xlsx&amp;sheet=U0&amp;row=2023&amp;col=6&amp;number=4.9&amp;sourceID=14","4.9")</f>
        <v>4.9</v>
      </c>
      <c r="G2023" s="4" t="str">
        <f>HYPERLINK("http://141.218.60.56/~jnz1568/getInfo.php?workbook=14_04.xlsx&amp;sheet=U0&amp;row=2023&amp;col=7&amp;number=1.89e-05&amp;sourceID=14","1.89e-05")</f>
        <v>1.89e-05</v>
      </c>
    </row>
    <row r="2024" spans="1:7">
      <c r="A2024" s="3">
        <v>14</v>
      </c>
      <c r="B2024" s="3">
        <v>4</v>
      </c>
      <c r="C2024" s="3">
        <v>1</v>
      </c>
      <c r="D2024" s="3">
        <v>67</v>
      </c>
      <c r="E2024" s="3">
        <v>1</v>
      </c>
      <c r="F2024" s="4" t="str">
        <f>HYPERLINK("http://141.218.60.56/~jnz1568/getInfo.php?workbook=14_04.xlsx&amp;sheet=U0&amp;row=2024&amp;col=6&amp;number=3&amp;sourceID=14","3")</f>
        <v>3</v>
      </c>
      <c r="G2024" s="4" t="str">
        <f>HYPERLINK("http://141.218.60.56/~jnz1568/getInfo.php?workbook=14_04.xlsx&amp;sheet=U0&amp;row=2024&amp;col=7&amp;number=3.93e-05&amp;sourceID=14","3.93e-05")</f>
        <v>3.93e-05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HYPERLINK("http://141.218.60.56/~jnz1568/getInfo.php?workbook=14_04.xlsx&amp;sheet=U0&amp;row=2025&amp;col=6&amp;number=3.1&amp;sourceID=14","3.1")</f>
        <v>3.1</v>
      </c>
      <c r="G2025" s="4" t="str">
        <f>HYPERLINK("http://141.218.60.56/~jnz1568/getInfo.php?workbook=14_04.xlsx&amp;sheet=U0&amp;row=2025&amp;col=7&amp;number=3.93e-05&amp;sourceID=14","3.93e-05")</f>
        <v>3.93e-05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HYPERLINK("http://141.218.60.56/~jnz1568/getInfo.php?workbook=14_04.xlsx&amp;sheet=U0&amp;row=2026&amp;col=6&amp;number=3.2&amp;sourceID=14","3.2")</f>
        <v>3.2</v>
      </c>
      <c r="G2026" s="4" t="str">
        <f>HYPERLINK("http://141.218.60.56/~jnz1568/getInfo.php?workbook=14_04.xlsx&amp;sheet=U0&amp;row=2026&amp;col=7&amp;number=3.93e-05&amp;sourceID=14","3.93e-05")</f>
        <v>3.93e-05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HYPERLINK("http://141.218.60.56/~jnz1568/getInfo.php?workbook=14_04.xlsx&amp;sheet=U0&amp;row=2027&amp;col=6&amp;number=3.3&amp;sourceID=14","3.3")</f>
        <v>3.3</v>
      </c>
      <c r="G2027" s="4" t="str">
        <f>HYPERLINK("http://141.218.60.56/~jnz1568/getInfo.php?workbook=14_04.xlsx&amp;sheet=U0&amp;row=2027&amp;col=7&amp;number=3.93e-05&amp;sourceID=14","3.93e-05")</f>
        <v>3.93e-05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HYPERLINK("http://141.218.60.56/~jnz1568/getInfo.php?workbook=14_04.xlsx&amp;sheet=U0&amp;row=2028&amp;col=6&amp;number=3.4&amp;sourceID=14","3.4")</f>
        <v>3.4</v>
      </c>
      <c r="G2028" s="4" t="str">
        <f>HYPERLINK("http://141.218.60.56/~jnz1568/getInfo.php?workbook=14_04.xlsx&amp;sheet=U0&amp;row=2028&amp;col=7&amp;number=3.93e-05&amp;sourceID=14","3.93e-05")</f>
        <v>3.93e-05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HYPERLINK("http://141.218.60.56/~jnz1568/getInfo.php?workbook=14_04.xlsx&amp;sheet=U0&amp;row=2029&amp;col=6&amp;number=3.5&amp;sourceID=14","3.5")</f>
        <v>3.5</v>
      </c>
      <c r="G2029" s="4" t="str">
        <f>HYPERLINK("http://141.218.60.56/~jnz1568/getInfo.php?workbook=14_04.xlsx&amp;sheet=U0&amp;row=2029&amp;col=7&amp;number=3.93e-05&amp;sourceID=14","3.93e-05")</f>
        <v>3.93e-05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HYPERLINK("http://141.218.60.56/~jnz1568/getInfo.php?workbook=14_04.xlsx&amp;sheet=U0&amp;row=2030&amp;col=6&amp;number=3.6&amp;sourceID=14","3.6")</f>
        <v>3.6</v>
      </c>
      <c r="G2030" s="4" t="str">
        <f>HYPERLINK("http://141.218.60.56/~jnz1568/getInfo.php?workbook=14_04.xlsx&amp;sheet=U0&amp;row=2030&amp;col=7&amp;number=3.92e-05&amp;sourceID=14","3.92e-05")</f>
        <v>3.92e-05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HYPERLINK("http://141.218.60.56/~jnz1568/getInfo.php?workbook=14_04.xlsx&amp;sheet=U0&amp;row=2031&amp;col=6&amp;number=3.7&amp;sourceID=14","3.7")</f>
        <v>3.7</v>
      </c>
      <c r="G2031" s="4" t="str">
        <f>HYPERLINK("http://141.218.60.56/~jnz1568/getInfo.php?workbook=14_04.xlsx&amp;sheet=U0&amp;row=2031&amp;col=7&amp;number=3.92e-05&amp;sourceID=14","3.92e-05")</f>
        <v>3.92e-05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HYPERLINK("http://141.218.60.56/~jnz1568/getInfo.php?workbook=14_04.xlsx&amp;sheet=U0&amp;row=2032&amp;col=6&amp;number=3.8&amp;sourceID=14","3.8")</f>
        <v>3.8</v>
      </c>
      <c r="G2032" s="4" t="str">
        <f>HYPERLINK("http://141.218.60.56/~jnz1568/getInfo.php?workbook=14_04.xlsx&amp;sheet=U0&amp;row=2032&amp;col=7&amp;number=3.92e-05&amp;sourceID=14","3.92e-05")</f>
        <v>3.92e-05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HYPERLINK("http://141.218.60.56/~jnz1568/getInfo.php?workbook=14_04.xlsx&amp;sheet=U0&amp;row=2033&amp;col=6&amp;number=3.9&amp;sourceID=14","3.9")</f>
        <v>3.9</v>
      </c>
      <c r="G2033" s="4" t="str">
        <f>HYPERLINK("http://141.218.60.56/~jnz1568/getInfo.php?workbook=14_04.xlsx&amp;sheet=U0&amp;row=2033&amp;col=7&amp;number=3.92e-05&amp;sourceID=14","3.92e-05")</f>
        <v>3.92e-05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HYPERLINK("http://141.218.60.56/~jnz1568/getInfo.php?workbook=14_04.xlsx&amp;sheet=U0&amp;row=2034&amp;col=6&amp;number=4&amp;sourceID=14","4")</f>
        <v>4</v>
      </c>
      <c r="G2034" s="4" t="str">
        <f>HYPERLINK("http://141.218.60.56/~jnz1568/getInfo.php?workbook=14_04.xlsx&amp;sheet=U0&amp;row=2034&amp;col=7&amp;number=3.92e-05&amp;sourceID=14","3.92e-05")</f>
        <v>3.92e-05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HYPERLINK("http://141.218.60.56/~jnz1568/getInfo.php?workbook=14_04.xlsx&amp;sheet=U0&amp;row=2035&amp;col=6&amp;number=4.1&amp;sourceID=14","4.1")</f>
        <v>4.1</v>
      </c>
      <c r="G2035" s="4" t="str">
        <f>HYPERLINK("http://141.218.60.56/~jnz1568/getInfo.php?workbook=14_04.xlsx&amp;sheet=U0&amp;row=2035&amp;col=7&amp;number=3.92e-05&amp;sourceID=14","3.92e-05")</f>
        <v>3.92e-05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HYPERLINK("http://141.218.60.56/~jnz1568/getInfo.php?workbook=14_04.xlsx&amp;sheet=U0&amp;row=2036&amp;col=6&amp;number=4.2&amp;sourceID=14","4.2")</f>
        <v>4.2</v>
      </c>
      <c r="G2036" s="4" t="str">
        <f>HYPERLINK("http://141.218.60.56/~jnz1568/getInfo.php?workbook=14_04.xlsx&amp;sheet=U0&amp;row=2036&amp;col=7&amp;number=3.91e-05&amp;sourceID=14","3.91e-05")</f>
        <v>3.91e-05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HYPERLINK("http://141.218.60.56/~jnz1568/getInfo.php?workbook=14_04.xlsx&amp;sheet=U0&amp;row=2037&amp;col=6&amp;number=4.3&amp;sourceID=14","4.3")</f>
        <v>4.3</v>
      </c>
      <c r="G2037" s="4" t="str">
        <f>HYPERLINK("http://141.218.60.56/~jnz1568/getInfo.php?workbook=14_04.xlsx&amp;sheet=U0&amp;row=2037&amp;col=7&amp;number=3.91e-05&amp;sourceID=14","3.91e-05")</f>
        <v>3.91e-05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HYPERLINK("http://141.218.60.56/~jnz1568/getInfo.php?workbook=14_04.xlsx&amp;sheet=U0&amp;row=2038&amp;col=6&amp;number=4.4&amp;sourceID=14","4.4")</f>
        <v>4.4</v>
      </c>
      <c r="G2038" s="4" t="str">
        <f>HYPERLINK("http://141.218.60.56/~jnz1568/getInfo.php?workbook=14_04.xlsx&amp;sheet=U0&amp;row=2038&amp;col=7&amp;number=3.91e-05&amp;sourceID=14","3.91e-05")</f>
        <v>3.91e-05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HYPERLINK("http://141.218.60.56/~jnz1568/getInfo.php?workbook=14_04.xlsx&amp;sheet=U0&amp;row=2039&amp;col=6&amp;number=4.5&amp;sourceID=14","4.5")</f>
        <v>4.5</v>
      </c>
      <c r="G2039" s="4" t="str">
        <f>HYPERLINK("http://141.218.60.56/~jnz1568/getInfo.php?workbook=14_04.xlsx&amp;sheet=U0&amp;row=2039&amp;col=7&amp;number=3.9e-05&amp;sourceID=14","3.9e-05")</f>
        <v>3.9e-05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HYPERLINK("http://141.218.60.56/~jnz1568/getInfo.php?workbook=14_04.xlsx&amp;sheet=U0&amp;row=2040&amp;col=6&amp;number=4.6&amp;sourceID=14","4.6")</f>
        <v>4.6</v>
      </c>
      <c r="G2040" s="4" t="str">
        <f>HYPERLINK("http://141.218.60.56/~jnz1568/getInfo.php?workbook=14_04.xlsx&amp;sheet=U0&amp;row=2040&amp;col=7&amp;number=3.89e-05&amp;sourceID=14","3.89e-05")</f>
        <v>3.89e-05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HYPERLINK("http://141.218.60.56/~jnz1568/getInfo.php?workbook=14_04.xlsx&amp;sheet=U0&amp;row=2041&amp;col=6&amp;number=4.7&amp;sourceID=14","4.7")</f>
        <v>4.7</v>
      </c>
      <c r="G2041" s="4" t="str">
        <f>HYPERLINK("http://141.218.60.56/~jnz1568/getInfo.php?workbook=14_04.xlsx&amp;sheet=U0&amp;row=2041&amp;col=7&amp;number=3.88e-05&amp;sourceID=14","3.88e-05")</f>
        <v>3.88e-05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HYPERLINK("http://141.218.60.56/~jnz1568/getInfo.php?workbook=14_04.xlsx&amp;sheet=U0&amp;row=2042&amp;col=6&amp;number=4.8&amp;sourceID=14","4.8")</f>
        <v>4.8</v>
      </c>
      <c r="G2042" s="4" t="str">
        <f>HYPERLINK("http://141.218.60.56/~jnz1568/getInfo.php?workbook=14_04.xlsx&amp;sheet=U0&amp;row=2042&amp;col=7&amp;number=3.87e-05&amp;sourceID=14","3.87e-05")</f>
        <v>3.87e-05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HYPERLINK("http://141.218.60.56/~jnz1568/getInfo.php?workbook=14_04.xlsx&amp;sheet=U0&amp;row=2043&amp;col=6&amp;number=4.9&amp;sourceID=14","4.9")</f>
        <v>4.9</v>
      </c>
      <c r="G2043" s="4" t="str">
        <f>HYPERLINK("http://141.218.60.56/~jnz1568/getInfo.php?workbook=14_04.xlsx&amp;sheet=U0&amp;row=2043&amp;col=7&amp;number=3.86e-05&amp;sourceID=14","3.86e-05")</f>
        <v>3.86e-05</v>
      </c>
    </row>
    <row r="2044" spans="1:7">
      <c r="A2044" s="3">
        <v>14</v>
      </c>
      <c r="B2044" s="3">
        <v>4</v>
      </c>
      <c r="C2044" s="3">
        <v>1</v>
      </c>
      <c r="D2044" s="3">
        <v>68</v>
      </c>
      <c r="E2044" s="3">
        <v>1</v>
      </c>
      <c r="F2044" s="4" t="str">
        <f>HYPERLINK("http://141.218.60.56/~jnz1568/getInfo.php?workbook=14_04.xlsx&amp;sheet=U0&amp;row=2044&amp;col=6&amp;number=3&amp;sourceID=14","3")</f>
        <v>3</v>
      </c>
      <c r="G2044" s="4" t="str">
        <f>HYPERLINK("http://141.218.60.56/~jnz1568/getInfo.php?workbook=14_04.xlsx&amp;sheet=U0&amp;row=2044&amp;col=7&amp;number=4.43e-05&amp;sourceID=14","4.43e-05")</f>
        <v>4.43e-05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HYPERLINK("http://141.218.60.56/~jnz1568/getInfo.php?workbook=14_04.xlsx&amp;sheet=U0&amp;row=2045&amp;col=6&amp;number=3.1&amp;sourceID=14","3.1")</f>
        <v>3.1</v>
      </c>
      <c r="G2045" s="4" t="str">
        <f>HYPERLINK("http://141.218.60.56/~jnz1568/getInfo.php?workbook=14_04.xlsx&amp;sheet=U0&amp;row=2045&amp;col=7&amp;number=4.43e-05&amp;sourceID=14","4.43e-05")</f>
        <v>4.43e-05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HYPERLINK("http://141.218.60.56/~jnz1568/getInfo.php?workbook=14_04.xlsx&amp;sheet=U0&amp;row=2046&amp;col=6&amp;number=3.2&amp;sourceID=14","3.2")</f>
        <v>3.2</v>
      </c>
      <c r="G2046" s="4" t="str">
        <f>HYPERLINK("http://141.218.60.56/~jnz1568/getInfo.php?workbook=14_04.xlsx&amp;sheet=U0&amp;row=2046&amp;col=7&amp;number=4.43e-05&amp;sourceID=14","4.43e-05")</f>
        <v>4.43e-05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HYPERLINK("http://141.218.60.56/~jnz1568/getInfo.php?workbook=14_04.xlsx&amp;sheet=U0&amp;row=2047&amp;col=6&amp;number=3.3&amp;sourceID=14","3.3")</f>
        <v>3.3</v>
      </c>
      <c r="G2047" s="4" t="str">
        <f>HYPERLINK("http://141.218.60.56/~jnz1568/getInfo.php?workbook=14_04.xlsx&amp;sheet=U0&amp;row=2047&amp;col=7&amp;number=4.43e-05&amp;sourceID=14","4.43e-05")</f>
        <v>4.43e-05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HYPERLINK("http://141.218.60.56/~jnz1568/getInfo.php?workbook=14_04.xlsx&amp;sheet=U0&amp;row=2048&amp;col=6&amp;number=3.4&amp;sourceID=14","3.4")</f>
        <v>3.4</v>
      </c>
      <c r="G2048" s="4" t="str">
        <f>HYPERLINK("http://141.218.60.56/~jnz1568/getInfo.php?workbook=14_04.xlsx&amp;sheet=U0&amp;row=2048&amp;col=7&amp;number=4.43e-05&amp;sourceID=14","4.43e-05")</f>
        <v>4.43e-05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HYPERLINK("http://141.218.60.56/~jnz1568/getInfo.php?workbook=14_04.xlsx&amp;sheet=U0&amp;row=2049&amp;col=6&amp;number=3.5&amp;sourceID=14","3.5")</f>
        <v>3.5</v>
      </c>
      <c r="G2049" s="4" t="str">
        <f>HYPERLINK("http://141.218.60.56/~jnz1568/getInfo.php?workbook=14_04.xlsx&amp;sheet=U0&amp;row=2049&amp;col=7&amp;number=4.43e-05&amp;sourceID=14","4.43e-05")</f>
        <v>4.43e-05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HYPERLINK("http://141.218.60.56/~jnz1568/getInfo.php?workbook=14_04.xlsx&amp;sheet=U0&amp;row=2050&amp;col=6&amp;number=3.6&amp;sourceID=14","3.6")</f>
        <v>3.6</v>
      </c>
      <c r="G2050" s="4" t="str">
        <f>HYPERLINK("http://141.218.60.56/~jnz1568/getInfo.php?workbook=14_04.xlsx&amp;sheet=U0&amp;row=2050&amp;col=7&amp;number=4.43e-05&amp;sourceID=14","4.43e-05")</f>
        <v>4.43e-05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HYPERLINK("http://141.218.60.56/~jnz1568/getInfo.php?workbook=14_04.xlsx&amp;sheet=U0&amp;row=2051&amp;col=6&amp;number=3.7&amp;sourceID=14","3.7")</f>
        <v>3.7</v>
      </c>
      <c r="G2051" s="4" t="str">
        <f>HYPERLINK("http://141.218.60.56/~jnz1568/getInfo.php?workbook=14_04.xlsx&amp;sheet=U0&amp;row=2051&amp;col=7&amp;number=4.43e-05&amp;sourceID=14","4.43e-05")</f>
        <v>4.43e-05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HYPERLINK("http://141.218.60.56/~jnz1568/getInfo.php?workbook=14_04.xlsx&amp;sheet=U0&amp;row=2052&amp;col=6&amp;number=3.8&amp;sourceID=14","3.8")</f>
        <v>3.8</v>
      </c>
      <c r="G2052" s="4" t="str">
        <f>HYPERLINK("http://141.218.60.56/~jnz1568/getInfo.php?workbook=14_04.xlsx&amp;sheet=U0&amp;row=2052&amp;col=7&amp;number=4.43e-05&amp;sourceID=14","4.43e-05")</f>
        <v>4.43e-05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HYPERLINK("http://141.218.60.56/~jnz1568/getInfo.php?workbook=14_04.xlsx&amp;sheet=U0&amp;row=2053&amp;col=6&amp;number=3.9&amp;sourceID=14","3.9")</f>
        <v>3.9</v>
      </c>
      <c r="G2053" s="4" t="str">
        <f>HYPERLINK("http://141.218.60.56/~jnz1568/getInfo.php?workbook=14_04.xlsx&amp;sheet=U0&amp;row=2053&amp;col=7&amp;number=4.43e-05&amp;sourceID=14","4.43e-05")</f>
        <v>4.43e-05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HYPERLINK("http://141.218.60.56/~jnz1568/getInfo.php?workbook=14_04.xlsx&amp;sheet=U0&amp;row=2054&amp;col=6&amp;number=4&amp;sourceID=14","4")</f>
        <v>4</v>
      </c>
      <c r="G2054" s="4" t="str">
        <f>HYPERLINK("http://141.218.60.56/~jnz1568/getInfo.php?workbook=14_04.xlsx&amp;sheet=U0&amp;row=2054&amp;col=7&amp;number=4.42e-05&amp;sourceID=14","4.42e-05")</f>
        <v>4.42e-05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HYPERLINK("http://141.218.60.56/~jnz1568/getInfo.php?workbook=14_04.xlsx&amp;sheet=U0&amp;row=2055&amp;col=6&amp;number=4.1&amp;sourceID=14","4.1")</f>
        <v>4.1</v>
      </c>
      <c r="G2055" s="4" t="str">
        <f>HYPERLINK("http://141.218.60.56/~jnz1568/getInfo.php?workbook=14_04.xlsx&amp;sheet=U0&amp;row=2055&amp;col=7&amp;number=4.42e-05&amp;sourceID=14","4.42e-05")</f>
        <v>4.42e-05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HYPERLINK("http://141.218.60.56/~jnz1568/getInfo.php?workbook=14_04.xlsx&amp;sheet=U0&amp;row=2056&amp;col=6&amp;number=4.2&amp;sourceID=14","4.2")</f>
        <v>4.2</v>
      </c>
      <c r="G2056" s="4" t="str">
        <f>HYPERLINK("http://141.218.60.56/~jnz1568/getInfo.php?workbook=14_04.xlsx&amp;sheet=U0&amp;row=2056&amp;col=7&amp;number=4.42e-05&amp;sourceID=14","4.42e-05")</f>
        <v>4.42e-05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HYPERLINK("http://141.218.60.56/~jnz1568/getInfo.php?workbook=14_04.xlsx&amp;sheet=U0&amp;row=2057&amp;col=6&amp;number=4.3&amp;sourceID=14","4.3")</f>
        <v>4.3</v>
      </c>
      <c r="G2057" s="4" t="str">
        <f>HYPERLINK("http://141.218.60.56/~jnz1568/getInfo.php?workbook=14_04.xlsx&amp;sheet=U0&amp;row=2057&amp;col=7&amp;number=4.42e-05&amp;sourceID=14","4.42e-05")</f>
        <v>4.42e-05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HYPERLINK("http://141.218.60.56/~jnz1568/getInfo.php?workbook=14_04.xlsx&amp;sheet=U0&amp;row=2058&amp;col=6&amp;number=4.4&amp;sourceID=14","4.4")</f>
        <v>4.4</v>
      </c>
      <c r="G2058" s="4" t="str">
        <f>HYPERLINK("http://141.218.60.56/~jnz1568/getInfo.php?workbook=14_04.xlsx&amp;sheet=U0&amp;row=2058&amp;col=7&amp;number=4.41e-05&amp;sourceID=14","4.41e-05")</f>
        <v>4.41e-05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HYPERLINK("http://141.218.60.56/~jnz1568/getInfo.php?workbook=14_04.xlsx&amp;sheet=U0&amp;row=2059&amp;col=6&amp;number=4.5&amp;sourceID=14","4.5")</f>
        <v>4.5</v>
      </c>
      <c r="G2059" s="4" t="str">
        <f>HYPERLINK("http://141.218.60.56/~jnz1568/getInfo.php?workbook=14_04.xlsx&amp;sheet=U0&amp;row=2059&amp;col=7&amp;number=4.41e-05&amp;sourceID=14","4.41e-05")</f>
        <v>4.41e-05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HYPERLINK("http://141.218.60.56/~jnz1568/getInfo.php?workbook=14_04.xlsx&amp;sheet=U0&amp;row=2060&amp;col=6&amp;number=4.6&amp;sourceID=14","4.6")</f>
        <v>4.6</v>
      </c>
      <c r="G2060" s="4" t="str">
        <f>HYPERLINK("http://141.218.60.56/~jnz1568/getInfo.php?workbook=14_04.xlsx&amp;sheet=U0&amp;row=2060&amp;col=7&amp;number=4.4e-05&amp;sourceID=14","4.4e-05")</f>
        <v>4.4e-05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HYPERLINK("http://141.218.60.56/~jnz1568/getInfo.php?workbook=14_04.xlsx&amp;sheet=U0&amp;row=2061&amp;col=6&amp;number=4.7&amp;sourceID=14","4.7")</f>
        <v>4.7</v>
      </c>
      <c r="G2061" s="4" t="str">
        <f>HYPERLINK("http://141.218.60.56/~jnz1568/getInfo.php?workbook=14_04.xlsx&amp;sheet=U0&amp;row=2061&amp;col=7&amp;number=4.39e-05&amp;sourceID=14","4.39e-05")</f>
        <v>4.39e-05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HYPERLINK("http://141.218.60.56/~jnz1568/getInfo.php?workbook=14_04.xlsx&amp;sheet=U0&amp;row=2062&amp;col=6&amp;number=4.8&amp;sourceID=14","4.8")</f>
        <v>4.8</v>
      </c>
      <c r="G2062" s="4" t="str">
        <f>HYPERLINK("http://141.218.60.56/~jnz1568/getInfo.php?workbook=14_04.xlsx&amp;sheet=U0&amp;row=2062&amp;col=7&amp;number=4.38e-05&amp;sourceID=14","4.38e-05")</f>
        <v>4.38e-05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HYPERLINK("http://141.218.60.56/~jnz1568/getInfo.php?workbook=14_04.xlsx&amp;sheet=U0&amp;row=2063&amp;col=6&amp;number=4.9&amp;sourceID=14","4.9")</f>
        <v>4.9</v>
      </c>
      <c r="G2063" s="4" t="str">
        <f>HYPERLINK("http://141.218.60.56/~jnz1568/getInfo.php?workbook=14_04.xlsx&amp;sheet=U0&amp;row=2063&amp;col=7&amp;number=4.37e-05&amp;sourceID=14","4.37e-05")</f>
        <v>4.37e-05</v>
      </c>
    </row>
    <row r="2064" spans="1:7">
      <c r="A2064" s="3">
        <v>14</v>
      </c>
      <c r="B2064" s="3">
        <v>4</v>
      </c>
      <c r="C2064" s="3">
        <v>1</v>
      </c>
      <c r="D2064" s="3">
        <v>69</v>
      </c>
      <c r="E2064" s="3">
        <v>1</v>
      </c>
      <c r="F2064" s="4" t="str">
        <f>HYPERLINK("http://141.218.60.56/~jnz1568/getInfo.php?workbook=14_04.xlsx&amp;sheet=U0&amp;row=2064&amp;col=6&amp;number=3&amp;sourceID=14","3")</f>
        <v>3</v>
      </c>
      <c r="G2064" s="4" t="str">
        <f>HYPERLINK("http://141.218.60.56/~jnz1568/getInfo.php?workbook=14_04.xlsx&amp;sheet=U0&amp;row=2064&amp;col=7&amp;number=5.43e-05&amp;sourceID=14","5.43e-05")</f>
        <v>5.43e-05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HYPERLINK("http://141.218.60.56/~jnz1568/getInfo.php?workbook=14_04.xlsx&amp;sheet=U0&amp;row=2065&amp;col=6&amp;number=3.1&amp;sourceID=14","3.1")</f>
        <v>3.1</v>
      </c>
      <c r="G2065" s="4" t="str">
        <f>HYPERLINK("http://141.218.60.56/~jnz1568/getInfo.php?workbook=14_04.xlsx&amp;sheet=U0&amp;row=2065&amp;col=7&amp;number=5.43e-05&amp;sourceID=14","5.43e-05")</f>
        <v>5.43e-05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HYPERLINK("http://141.218.60.56/~jnz1568/getInfo.php?workbook=14_04.xlsx&amp;sheet=U0&amp;row=2066&amp;col=6&amp;number=3.2&amp;sourceID=14","3.2")</f>
        <v>3.2</v>
      </c>
      <c r="G2066" s="4" t="str">
        <f>HYPERLINK("http://141.218.60.56/~jnz1568/getInfo.php?workbook=14_04.xlsx&amp;sheet=U0&amp;row=2066&amp;col=7&amp;number=5.43e-05&amp;sourceID=14","5.43e-05")</f>
        <v>5.43e-05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HYPERLINK("http://141.218.60.56/~jnz1568/getInfo.php?workbook=14_04.xlsx&amp;sheet=U0&amp;row=2067&amp;col=6&amp;number=3.3&amp;sourceID=14","3.3")</f>
        <v>3.3</v>
      </c>
      <c r="G2067" s="4" t="str">
        <f>HYPERLINK("http://141.218.60.56/~jnz1568/getInfo.php?workbook=14_04.xlsx&amp;sheet=U0&amp;row=2067&amp;col=7&amp;number=5.43e-05&amp;sourceID=14","5.43e-05")</f>
        <v>5.43e-05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HYPERLINK("http://141.218.60.56/~jnz1568/getInfo.php?workbook=14_04.xlsx&amp;sheet=U0&amp;row=2068&amp;col=6&amp;number=3.4&amp;sourceID=14","3.4")</f>
        <v>3.4</v>
      </c>
      <c r="G2068" s="4" t="str">
        <f>HYPERLINK("http://141.218.60.56/~jnz1568/getInfo.php?workbook=14_04.xlsx&amp;sheet=U0&amp;row=2068&amp;col=7&amp;number=5.43e-05&amp;sourceID=14","5.43e-05")</f>
        <v>5.43e-05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HYPERLINK("http://141.218.60.56/~jnz1568/getInfo.php?workbook=14_04.xlsx&amp;sheet=U0&amp;row=2069&amp;col=6&amp;number=3.5&amp;sourceID=14","3.5")</f>
        <v>3.5</v>
      </c>
      <c r="G2069" s="4" t="str">
        <f>HYPERLINK("http://141.218.60.56/~jnz1568/getInfo.php?workbook=14_04.xlsx&amp;sheet=U0&amp;row=2069&amp;col=7&amp;number=5.43e-05&amp;sourceID=14","5.43e-05")</f>
        <v>5.43e-05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HYPERLINK("http://141.218.60.56/~jnz1568/getInfo.php?workbook=14_04.xlsx&amp;sheet=U0&amp;row=2070&amp;col=6&amp;number=3.6&amp;sourceID=14","3.6")</f>
        <v>3.6</v>
      </c>
      <c r="G2070" s="4" t="str">
        <f>HYPERLINK("http://141.218.60.56/~jnz1568/getInfo.php?workbook=14_04.xlsx&amp;sheet=U0&amp;row=2070&amp;col=7&amp;number=5.43e-05&amp;sourceID=14","5.43e-05")</f>
        <v>5.43e-05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HYPERLINK("http://141.218.60.56/~jnz1568/getInfo.php?workbook=14_04.xlsx&amp;sheet=U0&amp;row=2071&amp;col=6&amp;number=3.7&amp;sourceID=14","3.7")</f>
        <v>3.7</v>
      </c>
      <c r="G2071" s="4" t="str">
        <f>HYPERLINK("http://141.218.60.56/~jnz1568/getInfo.php?workbook=14_04.xlsx&amp;sheet=U0&amp;row=2071&amp;col=7&amp;number=5.43e-05&amp;sourceID=14","5.43e-05")</f>
        <v>5.43e-05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HYPERLINK("http://141.218.60.56/~jnz1568/getInfo.php?workbook=14_04.xlsx&amp;sheet=U0&amp;row=2072&amp;col=6&amp;number=3.8&amp;sourceID=14","3.8")</f>
        <v>3.8</v>
      </c>
      <c r="G2072" s="4" t="str">
        <f>HYPERLINK("http://141.218.60.56/~jnz1568/getInfo.php?workbook=14_04.xlsx&amp;sheet=U0&amp;row=2072&amp;col=7&amp;number=5.43e-05&amp;sourceID=14","5.43e-05")</f>
        <v>5.43e-05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HYPERLINK("http://141.218.60.56/~jnz1568/getInfo.php?workbook=14_04.xlsx&amp;sheet=U0&amp;row=2073&amp;col=6&amp;number=3.9&amp;sourceID=14","3.9")</f>
        <v>3.9</v>
      </c>
      <c r="G2073" s="4" t="str">
        <f>HYPERLINK("http://141.218.60.56/~jnz1568/getInfo.php?workbook=14_04.xlsx&amp;sheet=U0&amp;row=2073&amp;col=7&amp;number=5.43e-05&amp;sourceID=14","5.43e-05")</f>
        <v>5.43e-05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HYPERLINK("http://141.218.60.56/~jnz1568/getInfo.php?workbook=14_04.xlsx&amp;sheet=U0&amp;row=2074&amp;col=6&amp;number=4&amp;sourceID=14","4")</f>
        <v>4</v>
      </c>
      <c r="G2074" s="4" t="str">
        <f>HYPERLINK("http://141.218.60.56/~jnz1568/getInfo.php?workbook=14_04.xlsx&amp;sheet=U0&amp;row=2074&amp;col=7&amp;number=5.42e-05&amp;sourceID=14","5.42e-05")</f>
        <v>5.42e-05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HYPERLINK("http://141.218.60.56/~jnz1568/getInfo.php?workbook=14_04.xlsx&amp;sheet=U0&amp;row=2075&amp;col=6&amp;number=4.1&amp;sourceID=14","4.1")</f>
        <v>4.1</v>
      </c>
      <c r="G2075" s="4" t="str">
        <f>HYPERLINK("http://141.218.60.56/~jnz1568/getInfo.php?workbook=14_04.xlsx&amp;sheet=U0&amp;row=2075&amp;col=7&amp;number=5.42e-05&amp;sourceID=14","5.42e-05")</f>
        <v>5.42e-05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HYPERLINK("http://141.218.60.56/~jnz1568/getInfo.php?workbook=14_04.xlsx&amp;sheet=U0&amp;row=2076&amp;col=6&amp;number=4.2&amp;sourceID=14","4.2")</f>
        <v>4.2</v>
      </c>
      <c r="G2076" s="4" t="str">
        <f>HYPERLINK("http://141.218.60.56/~jnz1568/getInfo.php?workbook=14_04.xlsx&amp;sheet=U0&amp;row=2076&amp;col=7&amp;number=5.42e-05&amp;sourceID=14","5.42e-05")</f>
        <v>5.42e-05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HYPERLINK("http://141.218.60.56/~jnz1568/getInfo.php?workbook=14_04.xlsx&amp;sheet=U0&amp;row=2077&amp;col=6&amp;number=4.3&amp;sourceID=14","4.3")</f>
        <v>4.3</v>
      </c>
      <c r="G2077" s="4" t="str">
        <f>HYPERLINK("http://141.218.60.56/~jnz1568/getInfo.php?workbook=14_04.xlsx&amp;sheet=U0&amp;row=2077&amp;col=7&amp;number=5.41e-05&amp;sourceID=14","5.41e-05")</f>
        <v>5.41e-05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HYPERLINK("http://141.218.60.56/~jnz1568/getInfo.php?workbook=14_04.xlsx&amp;sheet=U0&amp;row=2078&amp;col=6&amp;number=4.4&amp;sourceID=14","4.4")</f>
        <v>4.4</v>
      </c>
      <c r="G2078" s="4" t="str">
        <f>HYPERLINK("http://141.218.60.56/~jnz1568/getInfo.php?workbook=14_04.xlsx&amp;sheet=U0&amp;row=2078&amp;col=7&amp;number=5.41e-05&amp;sourceID=14","5.41e-05")</f>
        <v>5.41e-05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HYPERLINK("http://141.218.60.56/~jnz1568/getInfo.php?workbook=14_04.xlsx&amp;sheet=U0&amp;row=2079&amp;col=6&amp;number=4.5&amp;sourceID=14","4.5")</f>
        <v>4.5</v>
      </c>
      <c r="G2079" s="4" t="str">
        <f>HYPERLINK("http://141.218.60.56/~jnz1568/getInfo.php?workbook=14_04.xlsx&amp;sheet=U0&amp;row=2079&amp;col=7&amp;number=5.4e-05&amp;sourceID=14","5.4e-05")</f>
        <v>5.4e-05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HYPERLINK("http://141.218.60.56/~jnz1568/getInfo.php?workbook=14_04.xlsx&amp;sheet=U0&amp;row=2080&amp;col=6&amp;number=4.6&amp;sourceID=14","4.6")</f>
        <v>4.6</v>
      </c>
      <c r="G2080" s="4" t="str">
        <f>HYPERLINK("http://141.218.60.56/~jnz1568/getInfo.php?workbook=14_04.xlsx&amp;sheet=U0&amp;row=2080&amp;col=7&amp;number=5.4e-05&amp;sourceID=14","5.4e-05")</f>
        <v>5.4e-05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HYPERLINK("http://141.218.60.56/~jnz1568/getInfo.php?workbook=14_04.xlsx&amp;sheet=U0&amp;row=2081&amp;col=6&amp;number=4.7&amp;sourceID=14","4.7")</f>
        <v>4.7</v>
      </c>
      <c r="G2081" s="4" t="str">
        <f>HYPERLINK("http://141.218.60.56/~jnz1568/getInfo.php?workbook=14_04.xlsx&amp;sheet=U0&amp;row=2081&amp;col=7&amp;number=5.39e-05&amp;sourceID=14","5.39e-05")</f>
        <v>5.39e-05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HYPERLINK("http://141.218.60.56/~jnz1568/getInfo.php?workbook=14_04.xlsx&amp;sheet=U0&amp;row=2082&amp;col=6&amp;number=4.8&amp;sourceID=14","4.8")</f>
        <v>4.8</v>
      </c>
      <c r="G2082" s="4" t="str">
        <f>HYPERLINK("http://141.218.60.56/~jnz1568/getInfo.php?workbook=14_04.xlsx&amp;sheet=U0&amp;row=2082&amp;col=7&amp;number=5.37e-05&amp;sourceID=14","5.37e-05")</f>
        <v>5.37e-05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HYPERLINK("http://141.218.60.56/~jnz1568/getInfo.php?workbook=14_04.xlsx&amp;sheet=U0&amp;row=2083&amp;col=6&amp;number=4.9&amp;sourceID=14","4.9")</f>
        <v>4.9</v>
      </c>
      <c r="G2083" s="4" t="str">
        <f>HYPERLINK("http://141.218.60.56/~jnz1568/getInfo.php?workbook=14_04.xlsx&amp;sheet=U0&amp;row=2083&amp;col=7&amp;number=5.36e-05&amp;sourceID=14","5.36e-05")</f>
        <v>5.36e-05</v>
      </c>
    </row>
    <row r="2084" spans="1:7">
      <c r="A2084" s="3">
        <v>14</v>
      </c>
      <c r="B2084" s="3">
        <v>4</v>
      </c>
      <c r="C2084" s="3">
        <v>1</v>
      </c>
      <c r="D2084" s="3">
        <v>70</v>
      </c>
      <c r="E2084" s="3">
        <v>1</v>
      </c>
      <c r="F2084" s="4" t="str">
        <f>HYPERLINK("http://141.218.60.56/~jnz1568/getInfo.php?workbook=14_04.xlsx&amp;sheet=U0&amp;row=2084&amp;col=6&amp;number=3&amp;sourceID=14","3")</f>
        <v>3</v>
      </c>
      <c r="G2084" s="4" t="str">
        <f>HYPERLINK("http://141.218.60.56/~jnz1568/getInfo.php?workbook=14_04.xlsx&amp;sheet=U0&amp;row=2084&amp;col=7&amp;number=7.82e-05&amp;sourceID=14","7.82e-05")</f>
        <v>7.82e-05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HYPERLINK("http://141.218.60.56/~jnz1568/getInfo.php?workbook=14_04.xlsx&amp;sheet=U0&amp;row=2085&amp;col=6&amp;number=3.1&amp;sourceID=14","3.1")</f>
        <v>3.1</v>
      </c>
      <c r="G2085" s="4" t="str">
        <f>HYPERLINK("http://141.218.60.56/~jnz1568/getInfo.php?workbook=14_04.xlsx&amp;sheet=U0&amp;row=2085&amp;col=7&amp;number=7.82e-05&amp;sourceID=14","7.82e-05")</f>
        <v>7.82e-05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HYPERLINK("http://141.218.60.56/~jnz1568/getInfo.php?workbook=14_04.xlsx&amp;sheet=U0&amp;row=2086&amp;col=6&amp;number=3.2&amp;sourceID=14","3.2")</f>
        <v>3.2</v>
      </c>
      <c r="G2086" s="4" t="str">
        <f>HYPERLINK("http://141.218.60.56/~jnz1568/getInfo.php?workbook=14_04.xlsx&amp;sheet=U0&amp;row=2086&amp;col=7&amp;number=7.82e-05&amp;sourceID=14","7.82e-05")</f>
        <v>7.82e-05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HYPERLINK("http://141.218.60.56/~jnz1568/getInfo.php?workbook=14_04.xlsx&amp;sheet=U0&amp;row=2087&amp;col=6&amp;number=3.3&amp;sourceID=14","3.3")</f>
        <v>3.3</v>
      </c>
      <c r="G2087" s="4" t="str">
        <f>HYPERLINK("http://141.218.60.56/~jnz1568/getInfo.php?workbook=14_04.xlsx&amp;sheet=U0&amp;row=2087&amp;col=7&amp;number=7.82e-05&amp;sourceID=14","7.82e-05")</f>
        <v>7.82e-05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HYPERLINK("http://141.218.60.56/~jnz1568/getInfo.php?workbook=14_04.xlsx&amp;sheet=U0&amp;row=2088&amp;col=6&amp;number=3.4&amp;sourceID=14","3.4")</f>
        <v>3.4</v>
      </c>
      <c r="G2088" s="4" t="str">
        <f>HYPERLINK("http://141.218.60.56/~jnz1568/getInfo.php?workbook=14_04.xlsx&amp;sheet=U0&amp;row=2088&amp;col=7&amp;number=7.82e-05&amp;sourceID=14","7.82e-05")</f>
        <v>7.82e-05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HYPERLINK("http://141.218.60.56/~jnz1568/getInfo.php?workbook=14_04.xlsx&amp;sheet=U0&amp;row=2089&amp;col=6&amp;number=3.5&amp;sourceID=14","3.5")</f>
        <v>3.5</v>
      </c>
      <c r="G2089" s="4" t="str">
        <f>HYPERLINK("http://141.218.60.56/~jnz1568/getInfo.php?workbook=14_04.xlsx&amp;sheet=U0&amp;row=2089&amp;col=7&amp;number=7.82e-05&amp;sourceID=14","7.82e-05")</f>
        <v>7.82e-05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HYPERLINK("http://141.218.60.56/~jnz1568/getInfo.php?workbook=14_04.xlsx&amp;sheet=U0&amp;row=2090&amp;col=6&amp;number=3.6&amp;sourceID=14","3.6")</f>
        <v>3.6</v>
      </c>
      <c r="G2090" s="4" t="str">
        <f>HYPERLINK("http://141.218.60.56/~jnz1568/getInfo.php?workbook=14_04.xlsx&amp;sheet=U0&amp;row=2090&amp;col=7&amp;number=7.82e-05&amp;sourceID=14","7.82e-05")</f>
        <v>7.82e-05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HYPERLINK("http://141.218.60.56/~jnz1568/getInfo.php?workbook=14_04.xlsx&amp;sheet=U0&amp;row=2091&amp;col=6&amp;number=3.7&amp;sourceID=14","3.7")</f>
        <v>3.7</v>
      </c>
      <c r="G2091" s="4" t="str">
        <f>HYPERLINK("http://141.218.60.56/~jnz1568/getInfo.php?workbook=14_04.xlsx&amp;sheet=U0&amp;row=2091&amp;col=7&amp;number=7.81e-05&amp;sourceID=14","7.81e-05")</f>
        <v>7.81e-05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HYPERLINK("http://141.218.60.56/~jnz1568/getInfo.php?workbook=14_04.xlsx&amp;sheet=U0&amp;row=2092&amp;col=6&amp;number=3.8&amp;sourceID=14","3.8")</f>
        <v>3.8</v>
      </c>
      <c r="G2092" s="4" t="str">
        <f>HYPERLINK("http://141.218.60.56/~jnz1568/getInfo.php?workbook=14_04.xlsx&amp;sheet=U0&amp;row=2092&amp;col=7&amp;number=7.81e-05&amp;sourceID=14","7.81e-05")</f>
        <v>7.81e-05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HYPERLINK("http://141.218.60.56/~jnz1568/getInfo.php?workbook=14_04.xlsx&amp;sheet=U0&amp;row=2093&amp;col=6&amp;number=3.9&amp;sourceID=14","3.9")</f>
        <v>3.9</v>
      </c>
      <c r="G2093" s="4" t="str">
        <f>HYPERLINK("http://141.218.60.56/~jnz1568/getInfo.php?workbook=14_04.xlsx&amp;sheet=U0&amp;row=2093&amp;col=7&amp;number=7.81e-05&amp;sourceID=14","7.81e-05")</f>
        <v>7.81e-05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HYPERLINK("http://141.218.60.56/~jnz1568/getInfo.php?workbook=14_04.xlsx&amp;sheet=U0&amp;row=2094&amp;col=6&amp;number=4&amp;sourceID=14","4")</f>
        <v>4</v>
      </c>
      <c r="G2094" s="4" t="str">
        <f>HYPERLINK("http://141.218.60.56/~jnz1568/getInfo.php?workbook=14_04.xlsx&amp;sheet=U0&amp;row=2094&amp;col=7&amp;number=7.81e-05&amp;sourceID=14","7.81e-05")</f>
        <v>7.81e-05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HYPERLINK("http://141.218.60.56/~jnz1568/getInfo.php?workbook=14_04.xlsx&amp;sheet=U0&amp;row=2095&amp;col=6&amp;number=4.1&amp;sourceID=14","4.1")</f>
        <v>4.1</v>
      </c>
      <c r="G2095" s="4" t="str">
        <f>HYPERLINK("http://141.218.60.56/~jnz1568/getInfo.php?workbook=14_04.xlsx&amp;sheet=U0&amp;row=2095&amp;col=7&amp;number=7.8e-05&amp;sourceID=14","7.8e-05")</f>
        <v>7.8e-05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HYPERLINK("http://141.218.60.56/~jnz1568/getInfo.php?workbook=14_04.xlsx&amp;sheet=U0&amp;row=2096&amp;col=6&amp;number=4.2&amp;sourceID=14","4.2")</f>
        <v>4.2</v>
      </c>
      <c r="G2096" s="4" t="str">
        <f>HYPERLINK("http://141.218.60.56/~jnz1568/getInfo.php?workbook=14_04.xlsx&amp;sheet=U0&amp;row=2096&amp;col=7&amp;number=7.8e-05&amp;sourceID=14","7.8e-05")</f>
        <v>7.8e-05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HYPERLINK("http://141.218.60.56/~jnz1568/getInfo.php?workbook=14_04.xlsx&amp;sheet=U0&amp;row=2097&amp;col=6&amp;number=4.3&amp;sourceID=14","4.3")</f>
        <v>4.3</v>
      </c>
      <c r="G2097" s="4" t="str">
        <f>HYPERLINK("http://141.218.60.56/~jnz1568/getInfo.php?workbook=14_04.xlsx&amp;sheet=U0&amp;row=2097&amp;col=7&amp;number=7.79e-05&amp;sourceID=14","7.79e-05")</f>
        <v>7.79e-05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HYPERLINK("http://141.218.60.56/~jnz1568/getInfo.php?workbook=14_04.xlsx&amp;sheet=U0&amp;row=2098&amp;col=6&amp;number=4.4&amp;sourceID=14","4.4")</f>
        <v>4.4</v>
      </c>
      <c r="G2098" s="4" t="str">
        <f>HYPERLINK("http://141.218.60.56/~jnz1568/getInfo.php?workbook=14_04.xlsx&amp;sheet=U0&amp;row=2098&amp;col=7&amp;number=7.79e-05&amp;sourceID=14","7.79e-05")</f>
        <v>7.79e-05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HYPERLINK("http://141.218.60.56/~jnz1568/getInfo.php?workbook=14_04.xlsx&amp;sheet=U0&amp;row=2099&amp;col=6&amp;number=4.5&amp;sourceID=14","4.5")</f>
        <v>4.5</v>
      </c>
      <c r="G2099" s="4" t="str">
        <f>HYPERLINK("http://141.218.60.56/~jnz1568/getInfo.php?workbook=14_04.xlsx&amp;sheet=U0&amp;row=2099&amp;col=7&amp;number=7.78e-05&amp;sourceID=14","7.78e-05")</f>
        <v>7.78e-05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HYPERLINK("http://141.218.60.56/~jnz1568/getInfo.php?workbook=14_04.xlsx&amp;sheet=U0&amp;row=2100&amp;col=6&amp;number=4.6&amp;sourceID=14","4.6")</f>
        <v>4.6</v>
      </c>
      <c r="G2100" s="4" t="str">
        <f>HYPERLINK("http://141.218.60.56/~jnz1568/getInfo.php?workbook=14_04.xlsx&amp;sheet=U0&amp;row=2100&amp;col=7&amp;number=7.77e-05&amp;sourceID=14","7.77e-05")</f>
        <v>7.77e-05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HYPERLINK("http://141.218.60.56/~jnz1568/getInfo.php?workbook=14_04.xlsx&amp;sheet=U0&amp;row=2101&amp;col=6&amp;number=4.7&amp;sourceID=14","4.7")</f>
        <v>4.7</v>
      </c>
      <c r="G2101" s="4" t="str">
        <f>HYPERLINK("http://141.218.60.56/~jnz1568/getInfo.php?workbook=14_04.xlsx&amp;sheet=U0&amp;row=2101&amp;col=7&amp;number=7.75e-05&amp;sourceID=14","7.75e-05")</f>
        <v>7.75e-05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HYPERLINK("http://141.218.60.56/~jnz1568/getInfo.php?workbook=14_04.xlsx&amp;sheet=U0&amp;row=2102&amp;col=6&amp;number=4.8&amp;sourceID=14","4.8")</f>
        <v>4.8</v>
      </c>
      <c r="G2102" s="4" t="str">
        <f>HYPERLINK("http://141.218.60.56/~jnz1568/getInfo.php?workbook=14_04.xlsx&amp;sheet=U0&amp;row=2102&amp;col=7&amp;number=7.74e-05&amp;sourceID=14","7.74e-05")</f>
        <v>7.74e-05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HYPERLINK("http://141.218.60.56/~jnz1568/getInfo.php?workbook=14_04.xlsx&amp;sheet=U0&amp;row=2103&amp;col=6&amp;number=4.9&amp;sourceID=14","4.9")</f>
        <v>4.9</v>
      </c>
      <c r="G2103" s="4" t="str">
        <f>HYPERLINK("http://141.218.60.56/~jnz1568/getInfo.php?workbook=14_04.xlsx&amp;sheet=U0&amp;row=2103&amp;col=7&amp;number=7.72e-05&amp;sourceID=14","7.72e-05")</f>
        <v>7.72e-05</v>
      </c>
    </row>
    <row r="2104" spans="1:7">
      <c r="A2104" s="3">
        <v>14</v>
      </c>
      <c r="B2104" s="3">
        <v>4</v>
      </c>
      <c r="C2104" s="3">
        <v>1</v>
      </c>
      <c r="D2104" s="3">
        <v>71</v>
      </c>
      <c r="E2104" s="3">
        <v>1</v>
      </c>
      <c r="F2104" s="4" t="str">
        <f>HYPERLINK("http://141.218.60.56/~jnz1568/getInfo.php?workbook=14_04.xlsx&amp;sheet=U0&amp;row=2104&amp;col=6&amp;number=3&amp;sourceID=14","3")</f>
        <v>3</v>
      </c>
      <c r="G2104" s="4" t="str">
        <f>HYPERLINK("http://141.218.60.56/~jnz1568/getInfo.php?workbook=14_04.xlsx&amp;sheet=U0&amp;row=2104&amp;col=7&amp;number=5.06e-05&amp;sourceID=14","5.06e-05")</f>
        <v>5.06e-05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HYPERLINK("http://141.218.60.56/~jnz1568/getInfo.php?workbook=14_04.xlsx&amp;sheet=U0&amp;row=2105&amp;col=6&amp;number=3.1&amp;sourceID=14","3.1")</f>
        <v>3.1</v>
      </c>
      <c r="G2105" s="4" t="str">
        <f>HYPERLINK("http://141.218.60.56/~jnz1568/getInfo.php?workbook=14_04.xlsx&amp;sheet=U0&amp;row=2105&amp;col=7&amp;number=5.06e-05&amp;sourceID=14","5.06e-05")</f>
        <v>5.06e-05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HYPERLINK("http://141.218.60.56/~jnz1568/getInfo.php?workbook=14_04.xlsx&amp;sheet=U0&amp;row=2106&amp;col=6&amp;number=3.2&amp;sourceID=14","3.2")</f>
        <v>3.2</v>
      </c>
      <c r="G2106" s="4" t="str">
        <f>HYPERLINK("http://141.218.60.56/~jnz1568/getInfo.php?workbook=14_04.xlsx&amp;sheet=U0&amp;row=2106&amp;col=7&amp;number=5.06e-05&amp;sourceID=14","5.06e-05")</f>
        <v>5.06e-05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HYPERLINK("http://141.218.60.56/~jnz1568/getInfo.php?workbook=14_04.xlsx&amp;sheet=U0&amp;row=2107&amp;col=6&amp;number=3.3&amp;sourceID=14","3.3")</f>
        <v>3.3</v>
      </c>
      <c r="G2107" s="4" t="str">
        <f>HYPERLINK("http://141.218.60.56/~jnz1568/getInfo.php?workbook=14_04.xlsx&amp;sheet=U0&amp;row=2107&amp;col=7&amp;number=5.06e-05&amp;sourceID=14","5.06e-05")</f>
        <v>5.06e-05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HYPERLINK("http://141.218.60.56/~jnz1568/getInfo.php?workbook=14_04.xlsx&amp;sheet=U0&amp;row=2108&amp;col=6&amp;number=3.4&amp;sourceID=14","3.4")</f>
        <v>3.4</v>
      </c>
      <c r="G2108" s="4" t="str">
        <f>HYPERLINK("http://141.218.60.56/~jnz1568/getInfo.php?workbook=14_04.xlsx&amp;sheet=U0&amp;row=2108&amp;col=7&amp;number=5.06e-05&amp;sourceID=14","5.06e-05")</f>
        <v>5.06e-05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HYPERLINK("http://141.218.60.56/~jnz1568/getInfo.php?workbook=14_04.xlsx&amp;sheet=U0&amp;row=2109&amp;col=6&amp;number=3.5&amp;sourceID=14","3.5")</f>
        <v>3.5</v>
      </c>
      <c r="G2109" s="4" t="str">
        <f>HYPERLINK("http://141.218.60.56/~jnz1568/getInfo.php?workbook=14_04.xlsx&amp;sheet=U0&amp;row=2109&amp;col=7&amp;number=5.06e-05&amp;sourceID=14","5.06e-05")</f>
        <v>5.06e-05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HYPERLINK("http://141.218.60.56/~jnz1568/getInfo.php?workbook=14_04.xlsx&amp;sheet=U0&amp;row=2110&amp;col=6&amp;number=3.6&amp;sourceID=14","3.6")</f>
        <v>3.6</v>
      </c>
      <c r="G2110" s="4" t="str">
        <f>HYPERLINK("http://141.218.60.56/~jnz1568/getInfo.php?workbook=14_04.xlsx&amp;sheet=U0&amp;row=2110&amp;col=7&amp;number=5.06e-05&amp;sourceID=14","5.06e-05")</f>
        <v>5.06e-05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HYPERLINK("http://141.218.60.56/~jnz1568/getInfo.php?workbook=14_04.xlsx&amp;sheet=U0&amp;row=2111&amp;col=6&amp;number=3.7&amp;sourceID=14","3.7")</f>
        <v>3.7</v>
      </c>
      <c r="G2111" s="4" t="str">
        <f>HYPERLINK("http://141.218.60.56/~jnz1568/getInfo.php?workbook=14_04.xlsx&amp;sheet=U0&amp;row=2111&amp;col=7&amp;number=5.06e-05&amp;sourceID=14","5.06e-05")</f>
        <v>5.06e-05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HYPERLINK("http://141.218.60.56/~jnz1568/getInfo.php?workbook=14_04.xlsx&amp;sheet=U0&amp;row=2112&amp;col=6&amp;number=3.8&amp;sourceID=14","3.8")</f>
        <v>3.8</v>
      </c>
      <c r="G2112" s="4" t="str">
        <f>HYPERLINK("http://141.218.60.56/~jnz1568/getInfo.php?workbook=14_04.xlsx&amp;sheet=U0&amp;row=2112&amp;col=7&amp;number=5.06e-05&amp;sourceID=14","5.06e-05")</f>
        <v>5.06e-05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HYPERLINK("http://141.218.60.56/~jnz1568/getInfo.php?workbook=14_04.xlsx&amp;sheet=U0&amp;row=2113&amp;col=6&amp;number=3.9&amp;sourceID=14","3.9")</f>
        <v>3.9</v>
      </c>
      <c r="G2113" s="4" t="str">
        <f>HYPERLINK("http://141.218.60.56/~jnz1568/getInfo.php?workbook=14_04.xlsx&amp;sheet=U0&amp;row=2113&amp;col=7&amp;number=5.06e-05&amp;sourceID=14","5.06e-05")</f>
        <v>5.06e-05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HYPERLINK("http://141.218.60.56/~jnz1568/getInfo.php?workbook=14_04.xlsx&amp;sheet=U0&amp;row=2114&amp;col=6&amp;number=4&amp;sourceID=14","4")</f>
        <v>4</v>
      </c>
      <c r="G2114" s="4" t="str">
        <f>HYPERLINK("http://141.218.60.56/~jnz1568/getInfo.php?workbook=14_04.xlsx&amp;sheet=U0&amp;row=2114&amp;col=7&amp;number=5.05e-05&amp;sourceID=14","5.05e-05")</f>
        <v>5.05e-05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HYPERLINK("http://141.218.60.56/~jnz1568/getInfo.php?workbook=14_04.xlsx&amp;sheet=U0&amp;row=2115&amp;col=6&amp;number=4.1&amp;sourceID=14","4.1")</f>
        <v>4.1</v>
      </c>
      <c r="G2115" s="4" t="str">
        <f>HYPERLINK("http://141.218.60.56/~jnz1568/getInfo.php?workbook=14_04.xlsx&amp;sheet=U0&amp;row=2115&amp;col=7&amp;number=5.05e-05&amp;sourceID=14","5.05e-05")</f>
        <v>5.05e-05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HYPERLINK("http://141.218.60.56/~jnz1568/getInfo.php?workbook=14_04.xlsx&amp;sheet=U0&amp;row=2116&amp;col=6&amp;number=4.2&amp;sourceID=14","4.2")</f>
        <v>4.2</v>
      </c>
      <c r="G2116" s="4" t="str">
        <f>HYPERLINK("http://141.218.60.56/~jnz1568/getInfo.php?workbook=14_04.xlsx&amp;sheet=U0&amp;row=2116&amp;col=7&amp;number=5.05e-05&amp;sourceID=14","5.05e-05")</f>
        <v>5.05e-05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HYPERLINK("http://141.218.60.56/~jnz1568/getInfo.php?workbook=14_04.xlsx&amp;sheet=U0&amp;row=2117&amp;col=6&amp;number=4.3&amp;sourceID=14","4.3")</f>
        <v>4.3</v>
      </c>
      <c r="G2117" s="4" t="str">
        <f>HYPERLINK("http://141.218.60.56/~jnz1568/getInfo.php?workbook=14_04.xlsx&amp;sheet=U0&amp;row=2117&amp;col=7&amp;number=5.05e-05&amp;sourceID=14","5.05e-05")</f>
        <v>5.05e-05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HYPERLINK("http://141.218.60.56/~jnz1568/getInfo.php?workbook=14_04.xlsx&amp;sheet=U0&amp;row=2118&amp;col=6&amp;number=4.4&amp;sourceID=14","4.4")</f>
        <v>4.4</v>
      </c>
      <c r="G2118" s="4" t="str">
        <f>HYPERLINK("http://141.218.60.56/~jnz1568/getInfo.php?workbook=14_04.xlsx&amp;sheet=U0&amp;row=2118&amp;col=7&amp;number=5.04e-05&amp;sourceID=14","5.04e-05")</f>
        <v>5.04e-05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HYPERLINK("http://141.218.60.56/~jnz1568/getInfo.php?workbook=14_04.xlsx&amp;sheet=U0&amp;row=2119&amp;col=6&amp;number=4.5&amp;sourceID=14","4.5")</f>
        <v>4.5</v>
      </c>
      <c r="G2119" s="4" t="str">
        <f>HYPERLINK("http://141.218.60.56/~jnz1568/getInfo.php?workbook=14_04.xlsx&amp;sheet=U0&amp;row=2119&amp;col=7&amp;number=5.04e-05&amp;sourceID=14","5.04e-05")</f>
        <v>5.04e-05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HYPERLINK("http://141.218.60.56/~jnz1568/getInfo.php?workbook=14_04.xlsx&amp;sheet=U0&amp;row=2120&amp;col=6&amp;number=4.6&amp;sourceID=14","4.6")</f>
        <v>4.6</v>
      </c>
      <c r="G2120" s="4" t="str">
        <f>HYPERLINK("http://141.218.60.56/~jnz1568/getInfo.php?workbook=14_04.xlsx&amp;sheet=U0&amp;row=2120&amp;col=7&amp;number=5.03e-05&amp;sourceID=14","5.03e-05")</f>
        <v>5.03e-05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HYPERLINK("http://141.218.60.56/~jnz1568/getInfo.php?workbook=14_04.xlsx&amp;sheet=U0&amp;row=2121&amp;col=6&amp;number=4.7&amp;sourceID=14","4.7")</f>
        <v>4.7</v>
      </c>
      <c r="G2121" s="4" t="str">
        <f>HYPERLINK("http://141.218.60.56/~jnz1568/getInfo.php?workbook=14_04.xlsx&amp;sheet=U0&amp;row=2121&amp;col=7&amp;number=5.02e-05&amp;sourceID=14","5.02e-05")</f>
        <v>5.02e-05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HYPERLINK("http://141.218.60.56/~jnz1568/getInfo.php?workbook=14_04.xlsx&amp;sheet=U0&amp;row=2122&amp;col=6&amp;number=4.8&amp;sourceID=14","4.8")</f>
        <v>4.8</v>
      </c>
      <c r="G2122" s="4" t="str">
        <f>HYPERLINK("http://141.218.60.56/~jnz1568/getInfo.php?workbook=14_04.xlsx&amp;sheet=U0&amp;row=2122&amp;col=7&amp;number=5.01e-05&amp;sourceID=14","5.01e-05")</f>
        <v>5.01e-05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HYPERLINK("http://141.218.60.56/~jnz1568/getInfo.php?workbook=14_04.xlsx&amp;sheet=U0&amp;row=2123&amp;col=6&amp;number=4.9&amp;sourceID=14","4.9")</f>
        <v>4.9</v>
      </c>
      <c r="G2123" s="4" t="str">
        <f>HYPERLINK("http://141.218.60.56/~jnz1568/getInfo.php?workbook=14_04.xlsx&amp;sheet=U0&amp;row=2123&amp;col=7&amp;number=5e-05&amp;sourceID=14","5e-05")</f>
        <v>5e-05</v>
      </c>
    </row>
    <row r="2124" spans="1:7">
      <c r="A2124" s="3">
        <v>14</v>
      </c>
      <c r="B2124" s="3">
        <v>4</v>
      </c>
      <c r="C2124" s="3">
        <v>1</v>
      </c>
      <c r="D2124" s="3">
        <v>72</v>
      </c>
      <c r="E2124" s="3">
        <v>1</v>
      </c>
      <c r="F2124" s="4" t="str">
        <f>HYPERLINK("http://141.218.60.56/~jnz1568/getInfo.php?workbook=14_04.xlsx&amp;sheet=U0&amp;row=2124&amp;col=6&amp;number=3&amp;sourceID=14","3")</f>
        <v>3</v>
      </c>
      <c r="G2124" s="4" t="str">
        <f>HYPERLINK("http://141.218.60.56/~jnz1568/getInfo.php?workbook=14_04.xlsx&amp;sheet=U0&amp;row=2124&amp;col=7&amp;number=5.38e-05&amp;sourceID=14","5.38e-05")</f>
        <v>5.38e-05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HYPERLINK("http://141.218.60.56/~jnz1568/getInfo.php?workbook=14_04.xlsx&amp;sheet=U0&amp;row=2125&amp;col=6&amp;number=3.1&amp;sourceID=14","3.1")</f>
        <v>3.1</v>
      </c>
      <c r="G2125" s="4" t="str">
        <f>HYPERLINK("http://141.218.60.56/~jnz1568/getInfo.php?workbook=14_04.xlsx&amp;sheet=U0&amp;row=2125&amp;col=7&amp;number=5.38e-05&amp;sourceID=14","5.38e-05")</f>
        <v>5.38e-05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HYPERLINK("http://141.218.60.56/~jnz1568/getInfo.php?workbook=14_04.xlsx&amp;sheet=U0&amp;row=2126&amp;col=6&amp;number=3.2&amp;sourceID=14","3.2")</f>
        <v>3.2</v>
      </c>
      <c r="G2126" s="4" t="str">
        <f>HYPERLINK("http://141.218.60.56/~jnz1568/getInfo.php?workbook=14_04.xlsx&amp;sheet=U0&amp;row=2126&amp;col=7&amp;number=5.38e-05&amp;sourceID=14","5.38e-05")</f>
        <v>5.38e-05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HYPERLINK("http://141.218.60.56/~jnz1568/getInfo.php?workbook=14_04.xlsx&amp;sheet=U0&amp;row=2127&amp;col=6&amp;number=3.3&amp;sourceID=14","3.3")</f>
        <v>3.3</v>
      </c>
      <c r="G2127" s="4" t="str">
        <f>HYPERLINK("http://141.218.60.56/~jnz1568/getInfo.php?workbook=14_04.xlsx&amp;sheet=U0&amp;row=2127&amp;col=7&amp;number=5.38e-05&amp;sourceID=14","5.38e-05")</f>
        <v>5.38e-05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HYPERLINK("http://141.218.60.56/~jnz1568/getInfo.php?workbook=14_04.xlsx&amp;sheet=U0&amp;row=2128&amp;col=6&amp;number=3.4&amp;sourceID=14","3.4")</f>
        <v>3.4</v>
      </c>
      <c r="G2128" s="4" t="str">
        <f>HYPERLINK("http://141.218.60.56/~jnz1568/getInfo.php?workbook=14_04.xlsx&amp;sheet=U0&amp;row=2128&amp;col=7&amp;number=5.38e-05&amp;sourceID=14","5.38e-05")</f>
        <v>5.38e-05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HYPERLINK("http://141.218.60.56/~jnz1568/getInfo.php?workbook=14_04.xlsx&amp;sheet=U0&amp;row=2129&amp;col=6&amp;number=3.5&amp;sourceID=14","3.5")</f>
        <v>3.5</v>
      </c>
      <c r="G2129" s="4" t="str">
        <f>HYPERLINK("http://141.218.60.56/~jnz1568/getInfo.php?workbook=14_04.xlsx&amp;sheet=U0&amp;row=2129&amp;col=7&amp;number=5.38e-05&amp;sourceID=14","5.38e-05")</f>
        <v>5.38e-05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HYPERLINK("http://141.218.60.56/~jnz1568/getInfo.php?workbook=14_04.xlsx&amp;sheet=U0&amp;row=2130&amp;col=6&amp;number=3.6&amp;sourceID=14","3.6")</f>
        <v>3.6</v>
      </c>
      <c r="G2130" s="4" t="str">
        <f>HYPERLINK("http://141.218.60.56/~jnz1568/getInfo.php?workbook=14_04.xlsx&amp;sheet=U0&amp;row=2130&amp;col=7&amp;number=5.39e-05&amp;sourceID=14","5.39e-05")</f>
        <v>5.39e-05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HYPERLINK("http://141.218.60.56/~jnz1568/getInfo.php?workbook=14_04.xlsx&amp;sheet=U0&amp;row=2131&amp;col=6&amp;number=3.7&amp;sourceID=14","3.7")</f>
        <v>3.7</v>
      </c>
      <c r="G2131" s="4" t="str">
        <f>HYPERLINK("http://141.218.60.56/~jnz1568/getInfo.php?workbook=14_04.xlsx&amp;sheet=U0&amp;row=2131&amp;col=7&amp;number=5.39e-05&amp;sourceID=14","5.39e-05")</f>
        <v>5.39e-05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HYPERLINK("http://141.218.60.56/~jnz1568/getInfo.php?workbook=14_04.xlsx&amp;sheet=U0&amp;row=2132&amp;col=6&amp;number=3.8&amp;sourceID=14","3.8")</f>
        <v>3.8</v>
      </c>
      <c r="G2132" s="4" t="str">
        <f>HYPERLINK("http://141.218.60.56/~jnz1568/getInfo.php?workbook=14_04.xlsx&amp;sheet=U0&amp;row=2132&amp;col=7&amp;number=5.39e-05&amp;sourceID=14","5.39e-05")</f>
        <v>5.39e-05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HYPERLINK("http://141.218.60.56/~jnz1568/getInfo.php?workbook=14_04.xlsx&amp;sheet=U0&amp;row=2133&amp;col=6&amp;number=3.9&amp;sourceID=14","3.9")</f>
        <v>3.9</v>
      </c>
      <c r="G2133" s="4" t="str">
        <f>HYPERLINK("http://141.218.60.56/~jnz1568/getInfo.php?workbook=14_04.xlsx&amp;sheet=U0&amp;row=2133&amp;col=7&amp;number=5.39e-05&amp;sourceID=14","5.39e-05")</f>
        <v>5.39e-05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HYPERLINK("http://141.218.60.56/~jnz1568/getInfo.php?workbook=14_04.xlsx&amp;sheet=U0&amp;row=2134&amp;col=6&amp;number=4&amp;sourceID=14","4")</f>
        <v>4</v>
      </c>
      <c r="G2134" s="4" t="str">
        <f>HYPERLINK("http://141.218.60.56/~jnz1568/getInfo.php?workbook=14_04.xlsx&amp;sheet=U0&amp;row=2134&amp;col=7&amp;number=5.39e-05&amp;sourceID=14","5.39e-05")</f>
        <v>5.39e-05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HYPERLINK("http://141.218.60.56/~jnz1568/getInfo.php?workbook=14_04.xlsx&amp;sheet=U0&amp;row=2135&amp;col=6&amp;number=4.1&amp;sourceID=14","4.1")</f>
        <v>4.1</v>
      </c>
      <c r="G2135" s="4" t="str">
        <f>HYPERLINK("http://141.218.60.56/~jnz1568/getInfo.php?workbook=14_04.xlsx&amp;sheet=U0&amp;row=2135&amp;col=7&amp;number=5.39e-05&amp;sourceID=14","5.39e-05")</f>
        <v>5.39e-05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HYPERLINK("http://141.218.60.56/~jnz1568/getInfo.php?workbook=14_04.xlsx&amp;sheet=U0&amp;row=2136&amp;col=6&amp;number=4.2&amp;sourceID=14","4.2")</f>
        <v>4.2</v>
      </c>
      <c r="G2136" s="4" t="str">
        <f>HYPERLINK("http://141.218.60.56/~jnz1568/getInfo.php?workbook=14_04.xlsx&amp;sheet=U0&amp;row=2136&amp;col=7&amp;number=5.39e-05&amp;sourceID=14","5.39e-05")</f>
        <v>5.39e-05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HYPERLINK("http://141.218.60.56/~jnz1568/getInfo.php?workbook=14_04.xlsx&amp;sheet=U0&amp;row=2137&amp;col=6&amp;number=4.3&amp;sourceID=14","4.3")</f>
        <v>4.3</v>
      </c>
      <c r="G2137" s="4" t="str">
        <f>HYPERLINK("http://141.218.60.56/~jnz1568/getInfo.php?workbook=14_04.xlsx&amp;sheet=U0&amp;row=2137&amp;col=7&amp;number=5.39e-05&amp;sourceID=14","5.39e-05")</f>
        <v>5.39e-05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HYPERLINK("http://141.218.60.56/~jnz1568/getInfo.php?workbook=14_04.xlsx&amp;sheet=U0&amp;row=2138&amp;col=6&amp;number=4.4&amp;sourceID=14","4.4")</f>
        <v>4.4</v>
      </c>
      <c r="G2138" s="4" t="str">
        <f>HYPERLINK("http://141.218.60.56/~jnz1568/getInfo.php?workbook=14_04.xlsx&amp;sheet=U0&amp;row=2138&amp;col=7&amp;number=5.4e-05&amp;sourceID=14","5.4e-05")</f>
        <v>5.4e-05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HYPERLINK("http://141.218.60.56/~jnz1568/getInfo.php?workbook=14_04.xlsx&amp;sheet=U0&amp;row=2139&amp;col=6&amp;number=4.5&amp;sourceID=14","4.5")</f>
        <v>4.5</v>
      </c>
      <c r="G2139" s="4" t="str">
        <f>HYPERLINK("http://141.218.60.56/~jnz1568/getInfo.php?workbook=14_04.xlsx&amp;sheet=U0&amp;row=2139&amp;col=7&amp;number=5.4e-05&amp;sourceID=14","5.4e-05")</f>
        <v>5.4e-05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HYPERLINK("http://141.218.60.56/~jnz1568/getInfo.php?workbook=14_04.xlsx&amp;sheet=U0&amp;row=2140&amp;col=6&amp;number=4.6&amp;sourceID=14","4.6")</f>
        <v>4.6</v>
      </c>
      <c r="G2140" s="4" t="str">
        <f>HYPERLINK("http://141.218.60.56/~jnz1568/getInfo.php?workbook=14_04.xlsx&amp;sheet=U0&amp;row=2140&amp;col=7&amp;number=5.4e-05&amp;sourceID=14","5.4e-05")</f>
        <v>5.4e-05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HYPERLINK("http://141.218.60.56/~jnz1568/getInfo.php?workbook=14_04.xlsx&amp;sheet=U0&amp;row=2141&amp;col=6&amp;number=4.7&amp;sourceID=14","4.7")</f>
        <v>4.7</v>
      </c>
      <c r="G2141" s="4" t="str">
        <f>HYPERLINK("http://141.218.60.56/~jnz1568/getInfo.php?workbook=14_04.xlsx&amp;sheet=U0&amp;row=2141&amp;col=7&amp;number=5.41e-05&amp;sourceID=14","5.41e-05")</f>
        <v>5.41e-05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HYPERLINK("http://141.218.60.56/~jnz1568/getInfo.php?workbook=14_04.xlsx&amp;sheet=U0&amp;row=2142&amp;col=6&amp;number=4.8&amp;sourceID=14","4.8")</f>
        <v>4.8</v>
      </c>
      <c r="G2142" s="4" t="str">
        <f>HYPERLINK("http://141.218.60.56/~jnz1568/getInfo.php?workbook=14_04.xlsx&amp;sheet=U0&amp;row=2142&amp;col=7&amp;number=5.42e-05&amp;sourceID=14","5.42e-05")</f>
        <v>5.42e-05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HYPERLINK("http://141.218.60.56/~jnz1568/getInfo.php?workbook=14_04.xlsx&amp;sheet=U0&amp;row=2143&amp;col=6&amp;number=4.9&amp;sourceID=14","4.9")</f>
        <v>4.9</v>
      </c>
      <c r="G2143" s="4" t="str">
        <f>HYPERLINK("http://141.218.60.56/~jnz1568/getInfo.php?workbook=14_04.xlsx&amp;sheet=U0&amp;row=2143&amp;col=7&amp;number=5.42e-05&amp;sourceID=14","5.42e-05")</f>
        <v>5.42e-05</v>
      </c>
    </row>
    <row r="2144" spans="1:7">
      <c r="A2144" s="3">
        <v>14</v>
      </c>
      <c r="B2144" s="3">
        <v>4</v>
      </c>
      <c r="C2144" s="3">
        <v>1</v>
      </c>
      <c r="D2144" s="3">
        <v>73</v>
      </c>
      <c r="E2144" s="3">
        <v>1</v>
      </c>
      <c r="F2144" s="4" t="str">
        <f>HYPERLINK("http://141.218.60.56/~jnz1568/getInfo.php?workbook=14_04.xlsx&amp;sheet=U0&amp;row=2144&amp;col=6&amp;number=3&amp;sourceID=14","3")</f>
        <v>3</v>
      </c>
      <c r="G2144" s="4" t="str">
        <f>HYPERLINK("http://141.218.60.56/~jnz1568/getInfo.php?workbook=14_04.xlsx&amp;sheet=U0&amp;row=2144&amp;col=7&amp;number=0.00011&amp;sourceID=14","0.00011")</f>
        <v>0.00011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HYPERLINK("http://141.218.60.56/~jnz1568/getInfo.php?workbook=14_04.xlsx&amp;sheet=U0&amp;row=2145&amp;col=6&amp;number=3.1&amp;sourceID=14","3.1")</f>
        <v>3.1</v>
      </c>
      <c r="G2145" s="4" t="str">
        <f>HYPERLINK("http://141.218.60.56/~jnz1568/getInfo.php?workbook=14_04.xlsx&amp;sheet=U0&amp;row=2145&amp;col=7&amp;number=0.00011&amp;sourceID=14","0.00011")</f>
        <v>0.00011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HYPERLINK("http://141.218.60.56/~jnz1568/getInfo.php?workbook=14_04.xlsx&amp;sheet=U0&amp;row=2146&amp;col=6&amp;number=3.2&amp;sourceID=14","3.2")</f>
        <v>3.2</v>
      </c>
      <c r="G2146" s="4" t="str">
        <f>HYPERLINK("http://141.218.60.56/~jnz1568/getInfo.php?workbook=14_04.xlsx&amp;sheet=U0&amp;row=2146&amp;col=7&amp;number=0.00011&amp;sourceID=14","0.00011")</f>
        <v>0.00011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HYPERLINK("http://141.218.60.56/~jnz1568/getInfo.php?workbook=14_04.xlsx&amp;sheet=U0&amp;row=2147&amp;col=6&amp;number=3.3&amp;sourceID=14","3.3")</f>
        <v>3.3</v>
      </c>
      <c r="G2147" s="4" t="str">
        <f>HYPERLINK("http://141.218.60.56/~jnz1568/getInfo.php?workbook=14_04.xlsx&amp;sheet=U0&amp;row=2147&amp;col=7&amp;number=0.00011&amp;sourceID=14","0.00011")</f>
        <v>0.00011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HYPERLINK("http://141.218.60.56/~jnz1568/getInfo.php?workbook=14_04.xlsx&amp;sheet=U0&amp;row=2148&amp;col=6&amp;number=3.4&amp;sourceID=14","3.4")</f>
        <v>3.4</v>
      </c>
      <c r="G2148" s="4" t="str">
        <f>HYPERLINK("http://141.218.60.56/~jnz1568/getInfo.php?workbook=14_04.xlsx&amp;sheet=U0&amp;row=2148&amp;col=7&amp;number=0.00011&amp;sourceID=14","0.00011")</f>
        <v>0.00011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HYPERLINK("http://141.218.60.56/~jnz1568/getInfo.php?workbook=14_04.xlsx&amp;sheet=U0&amp;row=2149&amp;col=6&amp;number=3.5&amp;sourceID=14","3.5")</f>
        <v>3.5</v>
      </c>
      <c r="G2149" s="4" t="str">
        <f>HYPERLINK("http://141.218.60.56/~jnz1568/getInfo.php?workbook=14_04.xlsx&amp;sheet=U0&amp;row=2149&amp;col=7&amp;number=0.00011&amp;sourceID=14","0.00011")</f>
        <v>0.00011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HYPERLINK("http://141.218.60.56/~jnz1568/getInfo.php?workbook=14_04.xlsx&amp;sheet=U0&amp;row=2150&amp;col=6&amp;number=3.6&amp;sourceID=14","3.6")</f>
        <v>3.6</v>
      </c>
      <c r="G2150" s="4" t="str">
        <f>HYPERLINK("http://141.218.60.56/~jnz1568/getInfo.php?workbook=14_04.xlsx&amp;sheet=U0&amp;row=2150&amp;col=7&amp;number=0.00011&amp;sourceID=14","0.00011")</f>
        <v>0.00011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HYPERLINK("http://141.218.60.56/~jnz1568/getInfo.php?workbook=14_04.xlsx&amp;sheet=U0&amp;row=2151&amp;col=6&amp;number=3.7&amp;sourceID=14","3.7")</f>
        <v>3.7</v>
      </c>
      <c r="G2151" s="4" t="str">
        <f>HYPERLINK("http://141.218.60.56/~jnz1568/getInfo.php?workbook=14_04.xlsx&amp;sheet=U0&amp;row=2151&amp;col=7&amp;number=0.00011&amp;sourceID=14","0.00011")</f>
        <v>0.00011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HYPERLINK("http://141.218.60.56/~jnz1568/getInfo.php?workbook=14_04.xlsx&amp;sheet=U0&amp;row=2152&amp;col=6&amp;number=3.8&amp;sourceID=14","3.8")</f>
        <v>3.8</v>
      </c>
      <c r="G2152" s="4" t="str">
        <f>HYPERLINK("http://141.218.60.56/~jnz1568/getInfo.php?workbook=14_04.xlsx&amp;sheet=U0&amp;row=2152&amp;col=7&amp;number=0.00011&amp;sourceID=14","0.00011")</f>
        <v>0.00011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HYPERLINK("http://141.218.60.56/~jnz1568/getInfo.php?workbook=14_04.xlsx&amp;sheet=U0&amp;row=2153&amp;col=6&amp;number=3.9&amp;sourceID=14","3.9")</f>
        <v>3.9</v>
      </c>
      <c r="G2153" s="4" t="str">
        <f>HYPERLINK("http://141.218.60.56/~jnz1568/getInfo.php?workbook=14_04.xlsx&amp;sheet=U0&amp;row=2153&amp;col=7&amp;number=0.00011&amp;sourceID=14","0.00011")</f>
        <v>0.00011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HYPERLINK("http://141.218.60.56/~jnz1568/getInfo.php?workbook=14_04.xlsx&amp;sheet=U0&amp;row=2154&amp;col=6&amp;number=4&amp;sourceID=14","4")</f>
        <v>4</v>
      </c>
      <c r="G2154" s="4" t="str">
        <f>HYPERLINK("http://141.218.60.56/~jnz1568/getInfo.php?workbook=14_04.xlsx&amp;sheet=U0&amp;row=2154&amp;col=7&amp;number=0.00011&amp;sourceID=14","0.00011")</f>
        <v>0.00011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HYPERLINK("http://141.218.60.56/~jnz1568/getInfo.php?workbook=14_04.xlsx&amp;sheet=U0&amp;row=2155&amp;col=6&amp;number=4.1&amp;sourceID=14","4.1")</f>
        <v>4.1</v>
      </c>
      <c r="G2155" s="4" t="str">
        <f>HYPERLINK("http://141.218.60.56/~jnz1568/getInfo.php?workbook=14_04.xlsx&amp;sheet=U0&amp;row=2155&amp;col=7&amp;number=0.00011&amp;sourceID=14","0.00011")</f>
        <v>0.00011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HYPERLINK("http://141.218.60.56/~jnz1568/getInfo.php?workbook=14_04.xlsx&amp;sheet=U0&amp;row=2156&amp;col=6&amp;number=4.2&amp;sourceID=14","4.2")</f>
        <v>4.2</v>
      </c>
      <c r="G2156" s="4" t="str">
        <f>HYPERLINK("http://141.218.60.56/~jnz1568/getInfo.php?workbook=14_04.xlsx&amp;sheet=U0&amp;row=2156&amp;col=7&amp;number=0.00011&amp;sourceID=14","0.00011")</f>
        <v>0.00011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HYPERLINK("http://141.218.60.56/~jnz1568/getInfo.php?workbook=14_04.xlsx&amp;sheet=U0&amp;row=2157&amp;col=6&amp;number=4.3&amp;sourceID=14","4.3")</f>
        <v>4.3</v>
      </c>
      <c r="G2157" s="4" t="str">
        <f>HYPERLINK("http://141.218.60.56/~jnz1568/getInfo.php?workbook=14_04.xlsx&amp;sheet=U0&amp;row=2157&amp;col=7&amp;number=0.000109&amp;sourceID=14","0.000109")</f>
        <v>0.000109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HYPERLINK("http://141.218.60.56/~jnz1568/getInfo.php?workbook=14_04.xlsx&amp;sheet=U0&amp;row=2158&amp;col=6&amp;number=4.4&amp;sourceID=14","4.4")</f>
        <v>4.4</v>
      </c>
      <c r="G2158" s="4" t="str">
        <f>HYPERLINK("http://141.218.60.56/~jnz1568/getInfo.php?workbook=14_04.xlsx&amp;sheet=U0&amp;row=2158&amp;col=7&amp;number=0.000109&amp;sourceID=14","0.000109")</f>
        <v>0.000109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HYPERLINK("http://141.218.60.56/~jnz1568/getInfo.php?workbook=14_04.xlsx&amp;sheet=U0&amp;row=2159&amp;col=6&amp;number=4.5&amp;sourceID=14","4.5")</f>
        <v>4.5</v>
      </c>
      <c r="G2159" s="4" t="str">
        <f>HYPERLINK("http://141.218.60.56/~jnz1568/getInfo.php?workbook=14_04.xlsx&amp;sheet=U0&amp;row=2159&amp;col=7&amp;number=0.000109&amp;sourceID=14","0.000109")</f>
        <v>0.000109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HYPERLINK("http://141.218.60.56/~jnz1568/getInfo.php?workbook=14_04.xlsx&amp;sheet=U0&amp;row=2160&amp;col=6&amp;number=4.6&amp;sourceID=14","4.6")</f>
        <v>4.6</v>
      </c>
      <c r="G2160" s="4" t="str">
        <f>HYPERLINK("http://141.218.60.56/~jnz1568/getInfo.php?workbook=14_04.xlsx&amp;sheet=U0&amp;row=2160&amp;col=7&amp;number=0.000109&amp;sourceID=14","0.000109")</f>
        <v>0.000109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HYPERLINK("http://141.218.60.56/~jnz1568/getInfo.php?workbook=14_04.xlsx&amp;sheet=U0&amp;row=2161&amp;col=6&amp;number=4.7&amp;sourceID=14","4.7")</f>
        <v>4.7</v>
      </c>
      <c r="G2161" s="4" t="str">
        <f>HYPERLINK("http://141.218.60.56/~jnz1568/getInfo.php?workbook=14_04.xlsx&amp;sheet=U0&amp;row=2161&amp;col=7&amp;number=0.000109&amp;sourceID=14","0.000109")</f>
        <v>0.000109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HYPERLINK("http://141.218.60.56/~jnz1568/getInfo.php?workbook=14_04.xlsx&amp;sheet=U0&amp;row=2162&amp;col=6&amp;number=4.8&amp;sourceID=14","4.8")</f>
        <v>4.8</v>
      </c>
      <c r="G2162" s="4" t="str">
        <f>HYPERLINK("http://141.218.60.56/~jnz1568/getInfo.php?workbook=14_04.xlsx&amp;sheet=U0&amp;row=2162&amp;col=7&amp;number=0.000108&amp;sourceID=14","0.000108")</f>
        <v>0.000108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HYPERLINK("http://141.218.60.56/~jnz1568/getInfo.php?workbook=14_04.xlsx&amp;sheet=U0&amp;row=2163&amp;col=6&amp;number=4.9&amp;sourceID=14","4.9")</f>
        <v>4.9</v>
      </c>
      <c r="G2163" s="4" t="str">
        <f>HYPERLINK("http://141.218.60.56/~jnz1568/getInfo.php?workbook=14_04.xlsx&amp;sheet=U0&amp;row=2163&amp;col=7&amp;number=0.000108&amp;sourceID=14","0.000108")</f>
        <v>0.000108</v>
      </c>
    </row>
    <row r="2164" spans="1:7">
      <c r="A2164" s="3">
        <v>14</v>
      </c>
      <c r="B2164" s="3">
        <v>4</v>
      </c>
      <c r="C2164" s="3">
        <v>1</v>
      </c>
      <c r="D2164" s="3">
        <v>74</v>
      </c>
      <c r="E2164" s="3">
        <v>1</v>
      </c>
      <c r="F2164" s="4" t="str">
        <f>HYPERLINK("http://141.218.60.56/~jnz1568/getInfo.php?workbook=14_04.xlsx&amp;sheet=U0&amp;row=2164&amp;col=6&amp;number=3&amp;sourceID=14","3")</f>
        <v>3</v>
      </c>
      <c r="G2164" s="4" t="str">
        <f>HYPERLINK("http://141.218.60.56/~jnz1568/getInfo.php?workbook=14_04.xlsx&amp;sheet=U0&amp;row=2164&amp;col=7&amp;number=5.69e-05&amp;sourceID=14","5.69e-05")</f>
        <v>5.69e-05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HYPERLINK("http://141.218.60.56/~jnz1568/getInfo.php?workbook=14_04.xlsx&amp;sheet=U0&amp;row=2165&amp;col=6&amp;number=3.1&amp;sourceID=14","3.1")</f>
        <v>3.1</v>
      </c>
      <c r="G2165" s="4" t="str">
        <f>HYPERLINK("http://141.218.60.56/~jnz1568/getInfo.php?workbook=14_04.xlsx&amp;sheet=U0&amp;row=2165&amp;col=7&amp;number=5.69e-05&amp;sourceID=14","5.69e-05")</f>
        <v>5.69e-05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HYPERLINK("http://141.218.60.56/~jnz1568/getInfo.php?workbook=14_04.xlsx&amp;sheet=U0&amp;row=2166&amp;col=6&amp;number=3.2&amp;sourceID=14","3.2")</f>
        <v>3.2</v>
      </c>
      <c r="G2166" s="4" t="str">
        <f>HYPERLINK("http://141.218.60.56/~jnz1568/getInfo.php?workbook=14_04.xlsx&amp;sheet=U0&amp;row=2166&amp;col=7&amp;number=5.69e-05&amp;sourceID=14","5.69e-05")</f>
        <v>5.69e-05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HYPERLINK("http://141.218.60.56/~jnz1568/getInfo.php?workbook=14_04.xlsx&amp;sheet=U0&amp;row=2167&amp;col=6&amp;number=3.3&amp;sourceID=14","3.3")</f>
        <v>3.3</v>
      </c>
      <c r="G2167" s="4" t="str">
        <f>HYPERLINK("http://141.218.60.56/~jnz1568/getInfo.php?workbook=14_04.xlsx&amp;sheet=U0&amp;row=2167&amp;col=7&amp;number=5.69e-05&amp;sourceID=14","5.69e-05")</f>
        <v>5.69e-05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HYPERLINK("http://141.218.60.56/~jnz1568/getInfo.php?workbook=14_04.xlsx&amp;sheet=U0&amp;row=2168&amp;col=6&amp;number=3.4&amp;sourceID=14","3.4")</f>
        <v>3.4</v>
      </c>
      <c r="G2168" s="4" t="str">
        <f>HYPERLINK("http://141.218.60.56/~jnz1568/getInfo.php?workbook=14_04.xlsx&amp;sheet=U0&amp;row=2168&amp;col=7&amp;number=5.69e-05&amp;sourceID=14","5.69e-05")</f>
        <v>5.69e-05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HYPERLINK("http://141.218.60.56/~jnz1568/getInfo.php?workbook=14_04.xlsx&amp;sheet=U0&amp;row=2169&amp;col=6&amp;number=3.5&amp;sourceID=14","3.5")</f>
        <v>3.5</v>
      </c>
      <c r="G2169" s="4" t="str">
        <f>HYPERLINK("http://141.218.60.56/~jnz1568/getInfo.php?workbook=14_04.xlsx&amp;sheet=U0&amp;row=2169&amp;col=7&amp;number=5.7e-05&amp;sourceID=14","5.7e-05")</f>
        <v>5.7e-05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HYPERLINK("http://141.218.60.56/~jnz1568/getInfo.php?workbook=14_04.xlsx&amp;sheet=U0&amp;row=2170&amp;col=6&amp;number=3.6&amp;sourceID=14","3.6")</f>
        <v>3.6</v>
      </c>
      <c r="G2170" s="4" t="str">
        <f>HYPERLINK("http://141.218.60.56/~jnz1568/getInfo.php?workbook=14_04.xlsx&amp;sheet=U0&amp;row=2170&amp;col=7&amp;number=5.7e-05&amp;sourceID=14","5.7e-05")</f>
        <v>5.7e-05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HYPERLINK("http://141.218.60.56/~jnz1568/getInfo.php?workbook=14_04.xlsx&amp;sheet=U0&amp;row=2171&amp;col=6&amp;number=3.7&amp;sourceID=14","3.7")</f>
        <v>3.7</v>
      </c>
      <c r="G2171" s="4" t="str">
        <f>HYPERLINK("http://141.218.60.56/~jnz1568/getInfo.php?workbook=14_04.xlsx&amp;sheet=U0&amp;row=2171&amp;col=7&amp;number=5.7e-05&amp;sourceID=14","5.7e-05")</f>
        <v>5.7e-05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HYPERLINK("http://141.218.60.56/~jnz1568/getInfo.php?workbook=14_04.xlsx&amp;sheet=U0&amp;row=2172&amp;col=6&amp;number=3.8&amp;sourceID=14","3.8")</f>
        <v>3.8</v>
      </c>
      <c r="G2172" s="4" t="str">
        <f>HYPERLINK("http://141.218.60.56/~jnz1568/getInfo.php?workbook=14_04.xlsx&amp;sheet=U0&amp;row=2172&amp;col=7&amp;number=5.7e-05&amp;sourceID=14","5.7e-05")</f>
        <v>5.7e-05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HYPERLINK("http://141.218.60.56/~jnz1568/getInfo.php?workbook=14_04.xlsx&amp;sheet=U0&amp;row=2173&amp;col=6&amp;number=3.9&amp;sourceID=14","3.9")</f>
        <v>3.9</v>
      </c>
      <c r="G2173" s="4" t="str">
        <f>HYPERLINK("http://141.218.60.56/~jnz1568/getInfo.php?workbook=14_04.xlsx&amp;sheet=U0&amp;row=2173&amp;col=7&amp;number=5.7e-05&amp;sourceID=14","5.7e-05")</f>
        <v>5.7e-05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HYPERLINK("http://141.218.60.56/~jnz1568/getInfo.php?workbook=14_04.xlsx&amp;sheet=U0&amp;row=2174&amp;col=6&amp;number=4&amp;sourceID=14","4")</f>
        <v>4</v>
      </c>
      <c r="G2174" s="4" t="str">
        <f>HYPERLINK("http://141.218.60.56/~jnz1568/getInfo.php?workbook=14_04.xlsx&amp;sheet=U0&amp;row=2174&amp;col=7&amp;number=5.7e-05&amp;sourceID=14","5.7e-05")</f>
        <v>5.7e-05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HYPERLINK("http://141.218.60.56/~jnz1568/getInfo.php?workbook=14_04.xlsx&amp;sheet=U0&amp;row=2175&amp;col=6&amp;number=4.1&amp;sourceID=14","4.1")</f>
        <v>4.1</v>
      </c>
      <c r="G2175" s="4" t="str">
        <f>HYPERLINK("http://141.218.60.56/~jnz1568/getInfo.php?workbook=14_04.xlsx&amp;sheet=U0&amp;row=2175&amp;col=7&amp;number=5.7e-05&amp;sourceID=14","5.7e-05")</f>
        <v>5.7e-05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HYPERLINK("http://141.218.60.56/~jnz1568/getInfo.php?workbook=14_04.xlsx&amp;sheet=U0&amp;row=2176&amp;col=6&amp;number=4.2&amp;sourceID=14","4.2")</f>
        <v>4.2</v>
      </c>
      <c r="G2176" s="4" t="str">
        <f>HYPERLINK("http://141.218.60.56/~jnz1568/getInfo.php?workbook=14_04.xlsx&amp;sheet=U0&amp;row=2176&amp;col=7&amp;number=5.7e-05&amp;sourceID=14","5.7e-05")</f>
        <v>5.7e-05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HYPERLINK("http://141.218.60.56/~jnz1568/getInfo.php?workbook=14_04.xlsx&amp;sheet=U0&amp;row=2177&amp;col=6&amp;number=4.3&amp;sourceID=14","4.3")</f>
        <v>4.3</v>
      </c>
      <c r="G2177" s="4" t="str">
        <f>HYPERLINK("http://141.218.60.56/~jnz1568/getInfo.php?workbook=14_04.xlsx&amp;sheet=U0&amp;row=2177&amp;col=7&amp;number=5.71e-05&amp;sourceID=14","5.71e-05")</f>
        <v>5.71e-05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HYPERLINK("http://141.218.60.56/~jnz1568/getInfo.php?workbook=14_04.xlsx&amp;sheet=U0&amp;row=2178&amp;col=6&amp;number=4.4&amp;sourceID=14","4.4")</f>
        <v>4.4</v>
      </c>
      <c r="G2178" s="4" t="str">
        <f>HYPERLINK("http://141.218.60.56/~jnz1568/getInfo.php?workbook=14_04.xlsx&amp;sheet=U0&amp;row=2178&amp;col=7&amp;number=5.71e-05&amp;sourceID=14","5.71e-05")</f>
        <v>5.71e-05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HYPERLINK("http://141.218.60.56/~jnz1568/getInfo.php?workbook=14_04.xlsx&amp;sheet=U0&amp;row=2179&amp;col=6&amp;number=4.5&amp;sourceID=14","4.5")</f>
        <v>4.5</v>
      </c>
      <c r="G2179" s="4" t="str">
        <f>HYPERLINK("http://141.218.60.56/~jnz1568/getInfo.php?workbook=14_04.xlsx&amp;sheet=U0&amp;row=2179&amp;col=7&amp;number=5.71e-05&amp;sourceID=14","5.71e-05")</f>
        <v>5.71e-05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HYPERLINK("http://141.218.60.56/~jnz1568/getInfo.php?workbook=14_04.xlsx&amp;sheet=U0&amp;row=2180&amp;col=6&amp;number=4.6&amp;sourceID=14","4.6")</f>
        <v>4.6</v>
      </c>
      <c r="G2180" s="4" t="str">
        <f>HYPERLINK("http://141.218.60.56/~jnz1568/getInfo.php?workbook=14_04.xlsx&amp;sheet=U0&amp;row=2180&amp;col=7&amp;number=5.72e-05&amp;sourceID=14","5.72e-05")</f>
        <v>5.72e-05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HYPERLINK("http://141.218.60.56/~jnz1568/getInfo.php?workbook=14_04.xlsx&amp;sheet=U0&amp;row=2181&amp;col=6&amp;number=4.7&amp;sourceID=14","4.7")</f>
        <v>4.7</v>
      </c>
      <c r="G2181" s="4" t="str">
        <f>HYPERLINK("http://141.218.60.56/~jnz1568/getInfo.php?workbook=14_04.xlsx&amp;sheet=U0&amp;row=2181&amp;col=7&amp;number=5.73e-05&amp;sourceID=14","5.73e-05")</f>
        <v>5.73e-05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HYPERLINK("http://141.218.60.56/~jnz1568/getInfo.php?workbook=14_04.xlsx&amp;sheet=U0&amp;row=2182&amp;col=6&amp;number=4.8&amp;sourceID=14","4.8")</f>
        <v>4.8</v>
      </c>
      <c r="G2182" s="4" t="str">
        <f>HYPERLINK("http://141.218.60.56/~jnz1568/getInfo.php?workbook=14_04.xlsx&amp;sheet=U0&amp;row=2182&amp;col=7&amp;number=5.74e-05&amp;sourceID=14","5.74e-05")</f>
        <v>5.74e-05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HYPERLINK("http://141.218.60.56/~jnz1568/getInfo.php?workbook=14_04.xlsx&amp;sheet=U0&amp;row=2183&amp;col=6&amp;number=4.9&amp;sourceID=14","4.9")</f>
        <v>4.9</v>
      </c>
      <c r="G2183" s="4" t="str">
        <f>HYPERLINK("http://141.218.60.56/~jnz1568/getInfo.php?workbook=14_04.xlsx&amp;sheet=U0&amp;row=2183&amp;col=7&amp;number=5.75e-05&amp;sourceID=14","5.75e-05")</f>
        <v>5.75e-05</v>
      </c>
    </row>
    <row r="2184" spans="1:7">
      <c r="A2184" s="3">
        <v>14</v>
      </c>
      <c r="B2184" s="3">
        <v>4</v>
      </c>
      <c r="C2184" s="3">
        <v>1</v>
      </c>
      <c r="D2184" s="3">
        <v>75</v>
      </c>
      <c r="E2184" s="3">
        <v>1</v>
      </c>
      <c r="F2184" s="4" t="str">
        <f>HYPERLINK("http://141.218.60.56/~jnz1568/getInfo.php?workbook=14_04.xlsx&amp;sheet=U0&amp;row=2184&amp;col=6&amp;number=3&amp;sourceID=14","3")</f>
        <v>3</v>
      </c>
      <c r="G2184" s="4" t="str">
        <f>HYPERLINK("http://141.218.60.56/~jnz1568/getInfo.php?workbook=14_04.xlsx&amp;sheet=U0&amp;row=2184&amp;col=7&amp;number=5.34e-05&amp;sourceID=14","5.34e-05")</f>
        <v>5.34e-05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HYPERLINK("http://141.218.60.56/~jnz1568/getInfo.php?workbook=14_04.xlsx&amp;sheet=U0&amp;row=2185&amp;col=6&amp;number=3.1&amp;sourceID=14","3.1")</f>
        <v>3.1</v>
      </c>
      <c r="G2185" s="4" t="str">
        <f>HYPERLINK("http://141.218.60.56/~jnz1568/getInfo.php?workbook=14_04.xlsx&amp;sheet=U0&amp;row=2185&amp;col=7&amp;number=5.34e-05&amp;sourceID=14","5.34e-05")</f>
        <v>5.34e-05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HYPERLINK("http://141.218.60.56/~jnz1568/getInfo.php?workbook=14_04.xlsx&amp;sheet=U0&amp;row=2186&amp;col=6&amp;number=3.2&amp;sourceID=14","3.2")</f>
        <v>3.2</v>
      </c>
      <c r="G2186" s="4" t="str">
        <f>HYPERLINK("http://141.218.60.56/~jnz1568/getInfo.php?workbook=14_04.xlsx&amp;sheet=U0&amp;row=2186&amp;col=7&amp;number=5.34e-05&amp;sourceID=14","5.34e-05")</f>
        <v>5.34e-05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HYPERLINK("http://141.218.60.56/~jnz1568/getInfo.php?workbook=14_04.xlsx&amp;sheet=U0&amp;row=2187&amp;col=6&amp;number=3.3&amp;sourceID=14","3.3")</f>
        <v>3.3</v>
      </c>
      <c r="G2187" s="4" t="str">
        <f>HYPERLINK("http://141.218.60.56/~jnz1568/getInfo.php?workbook=14_04.xlsx&amp;sheet=U0&amp;row=2187&amp;col=7&amp;number=5.34e-05&amp;sourceID=14","5.34e-05")</f>
        <v>5.34e-05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HYPERLINK("http://141.218.60.56/~jnz1568/getInfo.php?workbook=14_04.xlsx&amp;sheet=U0&amp;row=2188&amp;col=6&amp;number=3.4&amp;sourceID=14","3.4")</f>
        <v>3.4</v>
      </c>
      <c r="G2188" s="4" t="str">
        <f>HYPERLINK("http://141.218.60.56/~jnz1568/getInfo.php?workbook=14_04.xlsx&amp;sheet=U0&amp;row=2188&amp;col=7&amp;number=5.34e-05&amp;sourceID=14","5.34e-05")</f>
        <v>5.34e-05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HYPERLINK("http://141.218.60.56/~jnz1568/getInfo.php?workbook=14_04.xlsx&amp;sheet=U0&amp;row=2189&amp;col=6&amp;number=3.5&amp;sourceID=14","3.5")</f>
        <v>3.5</v>
      </c>
      <c r="G2189" s="4" t="str">
        <f>HYPERLINK("http://141.218.60.56/~jnz1568/getInfo.php?workbook=14_04.xlsx&amp;sheet=U0&amp;row=2189&amp;col=7&amp;number=5.34e-05&amp;sourceID=14","5.34e-05")</f>
        <v>5.34e-05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HYPERLINK("http://141.218.60.56/~jnz1568/getInfo.php?workbook=14_04.xlsx&amp;sheet=U0&amp;row=2190&amp;col=6&amp;number=3.6&amp;sourceID=14","3.6")</f>
        <v>3.6</v>
      </c>
      <c r="G2190" s="4" t="str">
        <f>HYPERLINK("http://141.218.60.56/~jnz1568/getInfo.php?workbook=14_04.xlsx&amp;sheet=U0&amp;row=2190&amp;col=7&amp;number=5.34e-05&amp;sourceID=14","5.34e-05")</f>
        <v>5.34e-05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HYPERLINK("http://141.218.60.56/~jnz1568/getInfo.php?workbook=14_04.xlsx&amp;sheet=U0&amp;row=2191&amp;col=6&amp;number=3.7&amp;sourceID=14","3.7")</f>
        <v>3.7</v>
      </c>
      <c r="G2191" s="4" t="str">
        <f>HYPERLINK("http://141.218.60.56/~jnz1568/getInfo.php?workbook=14_04.xlsx&amp;sheet=U0&amp;row=2191&amp;col=7&amp;number=5.33e-05&amp;sourceID=14","5.33e-05")</f>
        <v>5.33e-05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HYPERLINK("http://141.218.60.56/~jnz1568/getInfo.php?workbook=14_04.xlsx&amp;sheet=U0&amp;row=2192&amp;col=6&amp;number=3.8&amp;sourceID=14","3.8")</f>
        <v>3.8</v>
      </c>
      <c r="G2192" s="4" t="str">
        <f>HYPERLINK("http://141.218.60.56/~jnz1568/getInfo.php?workbook=14_04.xlsx&amp;sheet=U0&amp;row=2192&amp;col=7&amp;number=5.33e-05&amp;sourceID=14","5.33e-05")</f>
        <v>5.33e-05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HYPERLINK("http://141.218.60.56/~jnz1568/getInfo.php?workbook=14_04.xlsx&amp;sheet=U0&amp;row=2193&amp;col=6&amp;number=3.9&amp;sourceID=14","3.9")</f>
        <v>3.9</v>
      </c>
      <c r="G2193" s="4" t="str">
        <f>HYPERLINK("http://141.218.60.56/~jnz1568/getInfo.php?workbook=14_04.xlsx&amp;sheet=U0&amp;row=2193&amp;col=7&amp;number=5.33e-05&amp;sourceID=14","5.33e-05")</f>
        <v>5.33e-05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HYPERLINK("http://141.218.60.56/~jnz1568/getInfo.php?workbook=14_04.xlsx&amp;sheet=U0&amp;row=2194&amp;col=6&amp;number=4&amp;sourceID=14","4")</f>
        <v>4</v>
      </c>
      <c r="G2194" s="4" t="str">
        <f>HYPERLINK("http://141.218.60.56/~jnz1568/getInfo.php?workbook=14_04.xlsx&amp;sheet=U0&amp;row=2194&amp;col=7&amp;number=5.33e-05&amp;sourceID=14","5.33e-05")</f>
        <v>5.33e-05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HYPERLINK("http://141.218.60.56/~jnz1568/getInfo.php?workbook=14_04.xlsx&amp;sheet=U0&amp;row=2195&amp;col=6&amp;number=4.1&amp;sourceID=14","4.1")</f>
        <v>4.1</v>
      </c>
      <c r="G2195" s="4" t="str">
        <f>HYPERLINK("http://141.218.60.56/~jnz1568/getInfo.php?workbook=14_04.xlsx&amp;sheet=U0&amp;row=2195&amp;col=7&amp;number=5.33e-05&amp;sourceID=14","5.33e-05")</f>
        <v>5.33e-05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HYPERLINK("http://141.218.60.56/~jnz1568/getInfo.php?workbook=14_04.xlsx&amp;sheet=U0&amp;row=2196&amp;col=6&amp;number=4.2&amp;sourceID=14","4.2")</f>
        <v>4.2</v>
      </c>
      <c r="G2196" s="4" t="str">
        <f>HYPERLINK("http://141.218.60.56/~jnz1568/getInfo.php?workbook=14_04.xlsx&amp;sheet=U0&amp;row=2196&amp;col=7&amp;number=5.32e-05&amp;sourceID=14","5.32e-05")</f>
        <v>5.32e-05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HYPERLINK("http://141.218.60.56/~jnz1568/getInfo.php?workbook=14_04.xlsx&amp;sheet=U0&amp;row=2197&amp;col=6&amp;number=4.3&amp;sourceID=14","4.3")</f>
        <v>4.3</v>
      </c>
      <c r="G2197" s="4" t="str">
        <f>HYPERLINK("http://141.218.60.56/~jnz1568/getInfo.php?workbook=14_04.xlsx&amp;sheet=U0&amp;row=2197&amp;col=7&amp;number=5.32e-05&amp;sourceID=14","5.32e-05")</f>
        <v>5.32e-05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HYPERLINK("http://141.218.60.56/~jnz1568/getInfo.php?workbook=14_04.xlsx&amp;sheet=U0&amp;row=2198&amp;col=6&amp;number=4.4&amp;sourceID=14","4.4")</f>
        <v>4.4</v>
      </c>
      <c r="G2198" s="4" t="str">
        <f>HYPERLINK("http://141.218.60.56/~jnz1568/getInfo.php?workbook=14_04.xlsx&amp;sheet=U0&amp;row=2198&amp;col=7&amp;number=5.32e-05&amp;sourceID=14","5.32e-05")</f>
        <v>5.32e-05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HYPERLINK("http://141.218.60.56/~jnz1568/getInfo.php?workbook=14_04.xlsx&amp;sheet=U0&amp;row=2199&amp;col=6&amp;number=4.5&amp;sourceID=14","4.5")</f>
        <v>4.5</v>
      </c>
      <c r="G2199" s="4" t="str">
        <f>HYPERLINK("http://141.218.60.56/~jnz1568/getInfo.php?workbook=14_04.xlsx&amp;sheet=U0&amp;row=2199&amp;col=7&amp;number=5.31e-05&amp;sourceID=14","5.31e-05")</f>
        <v>5.31e-05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HYPERLINK("http://141.218.60.56/~jnz1568/getInfo.php?workbook=14_04.xlsx&amp;sheet=U0&amp;row=2200&amp;col=6&amp;number=4.6&amp;sourceID=14","4.6")</f>
        <v>4.6</v>
      </c>
      <c r="G2200" s="4" t="str">
        <f>HYPERLINK("http://141.218.60.56/~jnz1568/getInfo.php?workbook=14_04.xlsx&amp;sheet=U0&amp;row=2200&amp;col=7&amp;number=5.3e-05&amp;sourceID=14","5.3e-05")</f>
        <v>5.3e-05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HYPERLINK("http://141.218.60.56/~jnz1568/getInfo.php?workbook=14_04.xlsx&amp;sheet=U0&amp;row=2201&amp;col=6&amp;number=4.7&amp;sourceID=14","4.7")</f>
        <v>4.7</v>
      </c>
      <c r="G2201" s="4" t="str">
        <f>HYPERLINK("http://141.218.60.56/~jnz1568/getInfo.php?workbook=14_04.xlsx&amp;sheet=U0&amp;row=2201&amp;col=7&amp;number=5.29e-05&amp;sourceID=14","5.29e-05")</f>
        <v>5.29e-05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HYPERLINK("http://141.218.60.56/~jnz1568/getInfo.php?workbook=14_04.xlsx&amp;sheet=U0&amp;row=2202&amp;col=6&amp;number=4.8&amp;sourceID=14","4.8")</f>
        <v>4.8</v>
      </c>
      <c r="G2202" s="4" t="str">
        <f>HYPERLINK("http://141.218.60.56/~jnz1568/getInfo.php?workbook=14_04.xlsx&amp;sheet=U0&amp;row=2202&amp;col=7&amp;number=5.28e-05&amp;sourceID=14","5.28e-05")</f>
        <v>5.28e-05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HYPERLINK("http://141.218.60.56/~jnz1568/getInfo.php?workbook=14_04.xlsx&amp;sheet=U0&amp;row=2203&amp;col=6&amp;number=4.9&amp;sourceID=14","4.9")</f>
        <v>4.9</v>
      </c>
      <c r="G2203" s="4" t="str">
        <f>HYPERLINK("http://141.218.60.56/~jnz1568/getInfo.php?workbook=14_04.xlsx&amp;sheet=U0&amp;row=2203&amp;col=7&amp;number=5.27e-05&amp;sourceID=14","5.27e-05")</f>
        <v>5.27e-05</v>
      </c>
    </row>
    <row r="2204" spans="1:7">
      <c r="A2204" s="3">
        <v>14</v>
      </c>
      <c r="B2204" s="3">
        <v>4</v>
      </c>
      <c r="C2204" s="3">
        <v>1</v>
      </c>
      <c r="D2204" s="3">
        <v>76</v>
      </c>
      <c r="E2204" s="3">
        <v>1</v>
      </c>
      <c r="F2204" s="4" t="str">
        <f>HYPERLINK("http://141.218.60.56/~jnz1568/getInfo.php?workbook=14_04.xlsx&amp;sheet=U0&amp;row=2204&amp;col=6&amp;number=3&amp;sourceID=14","3")</f>
        <v>3</v>
      </c>
      <c r="G2204" s="4" t="str">
        <f>HYPERLINK("http://141.218.60.56/~jnz1568/getInfo.php?workbook=14_04.xlsx&amp;sheet=U0&amp;row=2204&amp;col=7&amp;number=4.36e-05&amp;sourceID=14","4.36e-05")</f>
        <v>4.36e-05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HYPERLINK("http://141.218.60.56/~jnz1568/getInfo.php?workbook=14_04.xlsx&amp;sheet=U0&amp;row=2205&amp;col=6&amp;number=3.1&amp;sourceID=14","3.1")</f>
        <v>3.1</v>
      </c>
      <c r="G2205" s="4" t="str">
        <f>HYPERLINK("http://141.218.60.56/~jnz1568/getInfo.php?workbook=14_04.xlsx&amp;sheet=U0&amp;row=2205&amp;col=7&amp;number=4.36e-05&amp;sourceID=14","4.36e-05")</f>
        <v>4.36e-05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HYPERLINK("http://141.218.60.56/~jnz1568/getInfo.php?workbook=14_04.xlsx&amp;sheet=U0&amp;row=2206&amp;col=6&amp;number=3.2&amp;sourceID=14","3.2")</f>
        <v>3.2</v>
      </c>
      <c r="G2206" s="4" t="str">
        <f>HYPERLINK("http://141.218.60.56/~jnz1568/getInfo.php?workbook=14_04.xlsx&amp;sheet=U0&amp;row=2206&amp;col=7&amp;number=4.36e-05&amp;sourceID=14","4.36e-05")</f>
        <v>4.36e-05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HYPERLINK("http://141.218.60.56/~jnz1568/getInfo.php?workbook=14_04.xlsx&amp;sheet=U0&amp;row=2207&amp;col=6&amp;number=3.3&amp;sourceID=14","3.3")</f>
        <v>3.3</v>
      </c>
      <c r="G2207" s="4" t="str">
        <f>HYPERLINK("http://141.218.60.56/~jnz1568/getInfo.php?workbook=14_04.xlsx&amp;sheet=U0&amp;row=2207&amp;col=7&amp;number=4.36e-05&amp;sourceID=14","4.36e-05")</f>
        <v>4.36e-05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HYPERLINK("http://141.218.60.56/~jnz1568/getInfo.php?workbook=14_04.xlsx&amp;sheet=U0&amp;row=2208&amp;col=6&amp;number=3.4&amp;sourceID=14","3.4")</f>
        <v>3.4</v>
      </c>
      <c r="G2208" s="4" t="str">
        <f>HYPERLINK("http://141.218.60.56/~jnz1568/getInfo.php?workbook=14_04.xlsx&amp;sheet=U0&amp;row=2208&amp;col=7&amp;number=4.36e-05&amp;sourceID=14","4.36e-05")</f>
        <v>4.36e-05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HYPERLINK("http://141.218.60.56/~jnz1568/getInfo.php?workbook=14_04.xlsx&amp;sheet=U0&amp;row=2209&amp;col=6&amp;number=3.5&amp;sourceID=14","3.5")</f>
        <v>3.5</v>
      </c>
      <c r="G2209" s="4" t="str">
        <f>HYPERLINK("http://141.218.60.56/~jnz1568/getInfo.php?workbook=14_04.xlsx&amp;sheet=U0&amp;row=2209&amp;col=7&amp;number=4.36e-05&amp;sourceID=14","4.36e-05")</f>
        <v>4.36e-05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HYPERLINK("http://141.218.60.56/~jnz1568/getInfo.php?workbook=14_04.xlsx&amp;sheet=U0&amp;row=2210&amp;col=6&amp;number=3.6&amp;sourceID=14","3.6")</f>
        <v>3.6</v>
      </c>
      <c r="G2210" s="4" t="str">
        <f>HYPERLINK("http://141.218.60.56/~jnz1568/getInfo.php?workbook=14_04.xlsx&amp;sheet=U0&amp;row=2210&amp;col=7&amp;number=4.36e-05&amp;sourceID=14","4.36e-05")</f>
        <v>4.36e-05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HYPERLINK("http://141.218.60.56/~jnz1568/getInfo.php?workbook=14_04.xlsx&amp;sheet=U0&amp;row=2211&amp;col=6&amp;number=3.7&amp;sourceID=14","3.7")</f>
        <v>3.7</v>
      </c>
      <c r="G2211" s="4" t="str">
        <f>HYPERLINK("http://141.218.60.56/~jnz1568/getInfo.php?workbook=14_04.xlsx&amp;sheet=U0&amp;row=2211&amp;col=7&amp;number=4.36e-05&amp;sourceID=14","4.36e-05")</f>
        <v>4.36e-05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HYPERLINK("http://141.218.60.56/~jnz1568/getInfo.php?workbook=14_04.xlsx&amp;sheet=U0&amp;row=2212&amp;col=6&amp;number=3.8&amp;sourceID=14","3.8")</f>
        <v>3.8</v>
      </c>
      <c r="G2212" s="4" t="str">
        <f>HYPERLINK("http://141.218.60.56/~jnz1568/getInfo.php?workbook=14_04.xlsx&amp;sheet=U0&amp;row=2212&amp;col=7&amp;number=4.35e-05&amp;sourceID=14","4.35e-05")</f>
        <v>4.35e-05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HYPERLINK("http://141.218.60.56/~jnz1568/getInfo.php?workbook=14_04.xlsx&amp;sheet=U0&amp;row=2213&amp;col=6&amp;number=3.9&amp;sourceID=14","3.9")</f>
        <v>3.9</v>
      </c>
      <c r="G2213" s="4" t="str">
        <f>HYPERLINK("http://141.218.60.56/~jnz1568/getInfo.php?workbook=14_04.xlsx&amp;sheet=U0&amp;row=2213&amp;col=7&amp;number=4.35e-05&amp;sourceID=14","4.35e-05")</f>
        <v>4.35e-05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HYPERLINK("http://141.218.60.56/~jnz1568/getInfo.php?workbook=14_04.xlsx&amp;sheet=U0&amp;row=2214&amp;col=6&amp;number=4&amp;sourceID=14","4")</f>
        <v>4</v>
      </c>
      <c r="G2214" s="4" t="str">
        <f>HYPERLINK("http://141.218.60.56/~jnz1568/getInfo.php?workbook=14_04.xlsx&amp;sheet=U0&amp;row=2214&amp;col=7&amp;number=4.35e-05&amp;sourceID=14","4.35e-05")</f>
        <v>4.35e-05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HYPERLINK("http://141.218.60.56/~jnz1568/getInfo.php?workbook=14_04.xlsx&amp;sheet=U0&amp;row=2215&amp;col=6&amp;number=4.1&amp;sourceID=14","4.1")</f>
        <v>4.1</v>
      </c>
      <c r="G2215" s="4" t="str">
        <f>HYPERLINK("http://141.218.60.56/~jnz1568/getInfo.php?workbook=14_04.xlsx&amp;sheet=U0&amp;row=2215&amp;col=7&amp;number=4.35e-05&amp;sourceID=14","4.35e-05")</f>
        <v>4.35e-05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HYPERLINK("http://141.218.60.56/~jnz1568/getInfo.php?workbook=14_04.xlsx&amp;sheet=U0&amp;row=2216&amp;col=6&amp;number=4.2&amp;sourceID=14","4.2")</f>
        <v>4.2</v>
      </c>
      <c r="G2216" s="4" t="str">
        <f>HYPERLINK("http://141.218.60.56/~jnz1568/getInfo.php?workbook=14_04.xlsx&amp;sheet=U0&amp;row=2216&amp;col=7&amp;number=4.35e-05&amp;sourceID=14","4.35e-05")</f>
        <v>4.35e-05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HYPERLINK("http://141.218.60.56/~jnz1568/getInfo.php?workbook=14_04.xlsx&amp;sheet=U0&amp;row=2217&amp;col=6&amp;number=4.3&amp;sourceID=14","4.3")</f>
        <v>4.3</v>
      </c>
      <c r="G2217" s="4" t="str">
        <f>HYPERLINK("http://141.218.60.56/~jnz1568/getInfo.php?workbook=14_04.xlsx&amp;sheet=U0&amp;row=2217&amp;col=7&amp;number=4.34e-05&amp;sourceID=14","4.34e-05")</f>
        <v>4.34e-05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HYPERLINK("http://141.218.60.56/~jnz1568/getInfo.php?workbook=14_04.xlsx&amp;sheet=U0&amp;row=2218&amp;col=6&amp;number=4.4&amp;sourceID=14","4.4")</f>
        <v>4.4</v>
      </c>
      <c r="G2218" s="4" t="str">
        <f>HYPERLINK("http://141.218.60.56/~jnz1568/getInfo.php?workbook=14_04.xlsx&amp;sheet=U0&amp;row=2218&amp;col=7&amp;number=4.34e-05&amp;sourceID=14","4.34e-05")</f>
        <v>4.34e-05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HYPERLINK("http://141.218.60.56/~jnz1568/getInfo.php?workbook=14_04.xlsx&amp;sheet=U0&amp;row=2219&amp;col=6&amp;number=4.5&amp;sourceID=14","4.5")</f>
        <v>4.5</v>
      </c>
      <c r="G2219" s="4" t="str">
        <f>HYPERLINK("http://141.218.60.56/~jnz1568/getInfo.php?workbook=14_04.xlsx&amp;sheet=U0&amp;row=2219&amp;col=7&amp;number=4.33e-05&amp;sourceID=14","4.33e-05")</f>
        <v>4.33e-05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HYPERLINK("http://141.218.60.56/~jnz1568/getInfo.php?workbook=14_04.xlsx&amp;sheet=U0&amp;row=2220&amp;col=6&amp;number=4.6&amp;sourceID=14","4.6")</f>
        <v>4.6</v>
      </c>
      <c r="G2220" s="4" t="str">
        <f>HYPERLINK("http://141.218.60.56/~jnz1568/getInfo.php?workbook=14_04.xlsx&amp;sheet=U0&amp;row=2220&amp;col=7&amp;number=4.33e-05&amp;sourceID=14","4.33e-05")</f>
        <v>4.33e-05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HYPERLINK("http://141.218.60.56/~jnz1568/getInfo.php?workbook=14_04.xlsx&amp;sheet=U0&amp;row=2221&amp;col=6&amp;number=4.7&amp;sourceID=14","4.7")</f>
        <v>4.7</v>
      </c>
      <c r="G2221" s="4" t="str">
        <f>HYPERLINK("http://141.218.60.56/~jnz1568/getInfo.php?workbook=14_04.xlsx&amp;sheet=U0&amp;row=2221&amp;col=7&amp;number=4.32e-05&amp;sourceID=14","4.32e-05")</f>
        <v>4.32e-05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HYPERLINK("http://141.218.60.56/~jnz1568/getInfo.php?workbook=14_04.xlsx&amp;sheet=U0&amp;row=2222&amp;col=6&amp;number=4.8&amp;sourceID=14","4.8")</f>
        <v>4.8</v>
      </c>
      <c r="G2222" s="4" t="str">
        <f>HYPERLINK("http://141.218.60.56/~jnz1568/getInfo.php?workbook=14_04.xlsx&amp;sheet=U0&amp;row=2222&amp;col=7&amp;number=4.31e-05&amp;sourceID=14","4.31e-05")</f>
        <v>4.31e-05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HYPERLINK("http://141.218.60.56/~jnz1568/getInfo.php?workbook=14_04.xlsx&amp;sheet=U0&amp;row=2223&amp;col=6&amp;number=4.9&amp;sourceID=14","4.9")</f>
        <v>4.9</v>
      </c>
      <c r="G2223" s="4" t="str">
        <f>HYPERLINK("http://141.218.60.56/~jnz1568/getInfo.php?workbook=14_04.xlsx&amp;sheet=U0&amp;row=2223&amp;col=7&amp;number=4.29e-05&amp;sourceID=14","4.29e-05")</f>
        <v>4.29e-05</v>
      </c>
    </row>
    <row r="2224" spans="1:7">
      <c r="A2224" s="3">
        <v>14</v>
      </c>
      <c r="B2224" s="3">
        <v>4</v>
      </c>
      <c r="C2224" s="3">
        <v>1</v>
      </c>
      <c r="D2224" s="3">
        <v>77</v>
      </c>
      <c r="E2224" s="3">
        <v>1</v>
      </c>
      <c r="F2224" s="4" t="str">
        <f>HYPERLINK("http://141.218.60.56/~jnz1568/getInfo.php?workbook=14_04.xlsx&amp;sheet=U0&amp;row=2224&amp;col=6&amp;number=3&amp;sourceID=14","3")</f>
        <v>3</v>
      </c>
      <c r="G2224" s="4" t="str">
        <f>HYPERLINK("http://141.218.60.56/~jnz1568/getInfo.php?workbook=14_04.xlsx&amp;sheet=U0&amp;row=2224&amp;col=7&amp;number=9.72e-05&amp;sourceID=14","9.72e-05")</f>
        <v>9.72e-05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HYPERLINK("http://141.218.60.56/~jnz1568/getInfo.php?workbook=14_04.xlsx&amp;sheet=U0&amp;row=2225&amp;col=6&amp;number=3.1&amp;sourceID=14","3.1")</f>
        <v>3.1</v>
      </c>
      <c r="G2225" s="4" t="str">
        <f>HYPERLINK("http://141.218.60.56/~jnz1568/getInfo.php?workbook=14_04.xlsx&amp;sheet=U0&amp;row=2225&amp;col=7&amp;number=9.72e-05&amp;sourceID=14","9.72e-05")</f>
        <v>9.72e-05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HYPERLINK("http://141.218.60.56/~jnz1568/getInfo.php?workbook=14_04.xlsx&amp;sheet=U0&amp;row=2226&amp;col=6&amp;number=3.2&amp;sourceID=14","3.2")</f>
        <v>3.2</v>
      </c>
      <c r="G2226" s="4" t="str">
        <f>HYPERLINK("http://141.218.60.56/~jnz1568/getInfo.php?workbook=14_04.xlsx&amp;sheet=U0&amp;row=2226&amp;col=7&amp;number=9.72e-05&amp;sourceID=14","9.72e-05")</f>
        <v>9.72e-05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HYPERLINK("http://141.218.60.56/~jnz1568/getInfo.php?workbook=14_04.xlsx&amp;sheet=U0&amp;row=2227&amp;col=6&amp;number=3.3&amp;sourceID=14","3.3")</f>
        <v>3.3</v>
      </c>
      <c r="G2227" s="4" t="str">
        <f>HYPERLINK("http://141.218.60.56/~jnz1568/getInfo.php?workbook=14_04.xlsx&amp;sheet=U0&amp;row=2227&amp;col=7&amp;number=9.72e-05&amp;sourceID=14","9.72e-05")</f>
        <v>9.72e-05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HYPERLINK("http://141.218.60.56/~jnz1568/getInfo.php?workbook=14_04.xlsx&amp;sheet=U0&amp;row=2228&amp;col=6&amp;number=3.4&amp;sourceID=14","3.4")</f>
        <v>3.4</v>
      </c>
      <c r="G2228" s="4" t="str">
        <f>HYPERLINK("http://141.218.60.56/~jnz1568/getInfo.php?workbook=14_04.xlsx&amp;sheet=U0&amp;row=2228&amp;col=7&amp;number=9.72e-05&amp;sourceID=14","9.72e-05")</f>
        <v>9.72e-05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HYPERLINK("http://141.218.60.56/~jnz1568/getInfo.php?workbook=14_04.xlsx&amp;sheet=U0&amp;row=2229&amp;col=6&amp;number=3.5&amp;sourceID=14","3.5")</f>
        <v>3.5</v>
      </c>
      <c r="G2229" s="4" t="str">
        <f>HYPERLINK("http://141.218.60.56/~jnz1568/getInfo.php?workbook=14_04.xlsx&amp;sheet=U0&amp;row=2229&amp;col=7&amp;number=9.72e-05&amp;sourceID=14","9.72e-05")</f>
        <v>9.72e-05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HYPERLINK("http://141.218.60.56/~jnz1568/getInfo.php?workbook=14_04.xlsx&amp;sheet=U0&amp;row=2230&amp;col=6&amp;number=3.6&amp;sourceID=14","3.6")</f>
        <v>3.6</v>
      </c>
      <c r="G2230" s="4" t="str">
        <f>HYPERLINK("http://141.218.60.56/~jnz1568/getInfo.php?workbook=14_04.xlsx&amp;sheet=U0&amp;row=2230&amp;col=7&amp;number=9.71e-05&amp;sourceID=14","9.71e-05")</f>
        <v>9.71e-05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HYPERLINK("http://141.218.60.56/~jnz1568/getInfo.php?workbook=14_04.xlsx&amp;sheet=U0&amp;row=2231&amp;col=6&amp;number=3.7&amp;sourceID=14","3.7")</f>
        <v>3.7</v>
      </c>
      <c r="G2231" s="4" t="str">
        <f>HYPERLINK("http://141.218.60.56/~jnz1568/getInfo.php?workbook=14_04.xlsx&amp;sheet=U0&amp;row=2231&amp;col=7&amp;number=9.71e-05&amp;sourceID=14","9.71e-05")</f>
        <v>9.71e-05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HYPERLINK("http://141.218.60.56/~jnz1568/getInfo.php?workbook=14_04.xlsx&amp;sheet=U0&amp;row=2232&amp;col=6&amp;number=3.8&amp;sourceID=14","3.8")</f>
        <v>3.8</v>
      </c>
      <c r="G2232" s="4" t="str">
        <f>HYPERLINK("http://141.218.60.56/~jnz1568/getInfo.php?workbook=14_04.xlsx&amp;sheet=U0&amp;row=2232&amp;col=7&amp;number=9.71e-05&amp;sourceID=14","9.71e-05")</f>
        <v>9.71e-05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HYPERLINK("http://141.218.60.56/~jnz1568/getInfo.php?workbook=14_04.xlsx&amp;sheet=U0&amp;row=2233&amp;col=6&amp;number=3.9&amp;sourceID=14","3.9")</f>
        <v>3.9</v>
      </c>
      <c r="G2233" s="4" t="str">
        <f>HYPERLINK("http://141.218.60.56/~jnz1568/getInfo.php?workbook=14_04.xlsx&amp;sheet=U0&amp;row=2233&amp;col=7&amp;number=9.7e-05&amp;sourceID=14","9.7e-05")</f>
        <v>9.7e-05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HYPERLINK("http://141.218.60.56/~jnz1568/getInfo.php?workbook=14_04.xlsx&amp;sheet=U0&amp;row=2234&amp;col=6&amp;number=4&amp;sourceID=14","4")</f>
        <v>4</v>
      </c>
      <c r="G2234" s="4" t="str">
        <f>HYPERLINK("http://141.218.60.56/~jnz1568/getInfo.php?workbook=14_04.xlsx&amp;sheet=U0&amp;row=2234&amp;col=7&amp;number=9.7e-05&amp;sourceID=14","9.7e-05")</f>
        <v>9.7e-05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HYPERLINK("http://141.218.60.56/~jnz1568/getInfo.php?workbook=14_04.xlsx&amp;sheet=U0&amp;row=2235&amp;col=6&amp;number=4.1&amp;sourceID=14","4.1")</f>
        <v>4.1</v>
      </c>
      <c r="G2235" s="4" t="str">
        <f>HYPERLINK("http://141.218.60.56/~jnz1568/getInfo.php?workbook=14_04.xlsx&amp;sheet=U0&amp;row=2235&amp;col=7&amp;number=9.69e-05&amp;sourceID=14","9.69e-05")</f>
        <v>9.69e-05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HYPERLINK("http://141.218.60.56/~jnz1568/getInfo.php?workbook=14_04.xlsx&amp;sheet=U0&amp;row=2236&amp;col=6&amp;number=4.2&amp;sourceID=14","4.2")</f>
        <v>4.2</v>
      </c>
      <c r="G2236" s="4" t="str">
        <f>HYPERLINK("http://141.218.60.56/~jnz1568/getInfo.php?workbook=14_04.xlsx&amp;sheet=U0&amp;row=2236&amp;col=7&amp;number=9.68e-05&amp;sourceID=14","9.68e-05")</f>
        <v>9.68e-05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HYPERLINK("http://141.218.60.56/~jnz1568/getInfo.php?workbook=14_04.xlsx&amp;sheet=U0&amp;row=2237&amp;col=6&amp;number=4.3&amp;sourceID=14","4.3")</f>
        <v>4.3</v>
      </c>
      <c r="G2237" s="4" t="str">
        <f>HYPERLINK("http://141.218.60.56/~jnz1568/getInfo.php?workbook=14_04.xlsx&amp;sheet=U0&amp;row=2237&amp;col=7&amp;number=9.67e-05&amp;sourceID=14","9.67e-05")</f>
        <v>9.67e-05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HYPERLINK("http://141.218.60.56/~jnz1568/getInfo.php?workbook=14_04.xlsx&amp;sheet=U0&amp;row=2238&amp;col=6&amp;number=4.4&amp;sourceID=14","4.4")</f>
        <v>4.4</v>
      </c>
      <c r="G2238" s="4" t="str">
        <f>HYPERLINK("http://141.218.60.56/~jnz1568/getInfo.php?workbook=14_04.xlsx&amp;sheet=U0&amp;row=2238&amp;col=7&amp;number=9.66e-05&amp;sourceID=14","9.66e-05")</f>
        <v>9.66e-05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HYPERLINK("http://141.218.60.56/~jnz1568/getInfo.php?workbook=14_04.xlsx&amp;sheet=U0&amp;row=2239&amp;col=6&amp;number=4.5&amp;sourceID=14","4.5")</f>
        <v>4.5</v>
      </c>
      <c r="G2239" s="4" t="str">
        <f>HYPERLINK("http://141.218.60.56/~jnz1568/getInfo.php?workbook=14_04.xlsx&amp;sheet=U0&amp;row=2239&amp;col=7&amp;number=9.64e-05&amp;sourceID=14","9.64e-05")</f>
        <v>9.64e-05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HYPERLINK("http://141.218.60.56/~jnz1568/getInfo.php?workbook=14_04.xlsx&amp;sheet=U0&amp;row=2240&amp;col=6&amp;number=4.6&amp;sourceID=14","4.6")</f>
        <v>4.6</v>
      </c>
      <c r="G2240" s="4" t="str">
        <f>HYPERLINK("http://141.218.60.56/~jnz1568/getInfo.php?workbook=14_04.xlsx&amp;sheet=U0&amp;row=2240&amp;col=7&amp;number=9.62e-05&amp;sourceID=14","9.62e-05")</f>
        <v>9.62e-05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HYPERLINK("http://141.218.60.56/~jnz1568/getInfo.php?workbook=14_04.xlsx&amp;sheet=U0&amp;row=2241&amp;col=6&amp;number=4.7&amp;sourceID=14","4.7")</f>
        <v>4.7</v>
      </c>
      <c r="G2241" s="4" t="str">
        <f>HYPERLINK("http://141.218.60.56/~jnz1568/getInfo.php?workbook=14_04.xlsx&amp;sheet=U0&amp;row=2241&amp;col=7&amp;number=9.6e-05&amp;sourceID=14","9.6e-05")</f>
        <v>9.6e-05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HYPERLINK("http://141.218.60.56/~jnz1568/getInfo.php?workbook=14_04.xlsx&amp;sheet=U0&amp;row=2242&amp;col=6&amp;number=4.8&amp;sourceID=14","4.8")</f>
        <v>4.8</v>
      </c>
      <c r="G2242" s="4" t="str">
        <f>HYPERLINK("http://141.218.60.56/~jnz1568/getInfo.php?workbook=14_04.xlsx&amp;sheet=U0&amp;row=2242&amp;col=7&amp;number=9.57e-05&amp;sourceID=14","9.57e-05")</f>
        <v>9.57e-05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HYPERLINK("http://141.218.60.56/~jnz1568/getInfo.php?workbook=14_04.xlsx&amp;sheet=U0&amp;row=2243&amp;col=6&amp;number=4.9&amp;sourceID=14","4.9")</f>
        <v>4.9</v>
      </c>
      <c r="G2243" s="4" t="str">
        <f>HYPERLINK("http://141.218.60.56/~jnz1568/getInfo.php?workbook=14_04.xlsx&amp;sheet=U0&amp;row=2243&amp;col=7&amp;number=9.53e-05&amp;sourceID=14","9.53e-05")</f>
        <v>9.53e-05</v>
      </c>
    </row>
    <row r="2244" spans="1:7">
      <c r="A2244" s="3">
        <v>14</v>
      </c>
      <c r="B2244" s="3">
        <v>4</v>
      </c>
      <c r="C2244" s="3">
        <v>1</v>
      </c>
      <c r="D2244" s="3">
        <v>78</v>
      </c>
      <c r="E2244" s="3">
        <v>1</v>
      </c>
      <c r="F2244" s="4" t="str">
        <f>HYPERLINK("http://141.218.60.56/~jnz1568/getInfo.php?workbook=14_04.xlsx&amp;sheet=U0&amp;row=2244&amp;col=6&amp;number=3&amp;sourceID=14","3")</f>
        <v>3</v>
      </c>
      <c r="G2244" s="4" t="str">
        <f>HYPERLINK("http://141.218.60.56/~jnz1568/getInfo.php?workbook=14_04.xlsx&amp;sheet=U0&amp;row=2244&amp;col=7&amp;number=6.59e-05&amp;sourceID=14","6.59e-05")</f>
        <v>6.59e-05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HYPERLINK("http://141.218.60.56/~jnz1568/getInfo.php?workbook=14_04.xlsx&amp;sheet=U0&amp;row=2245&amp;col=6&amp;number=3.1&amp;sourceID=14","3.1")</f>
        <v>3.1</v>
      </c>
      <c r="G2245" s="4" t="str">
        <f>HYPERLINK("http://141.218.60.56/~jnz1568/getInfo.php?workbook=14_04.xlsx&amp;sheet=U0&amp;row=2245&amp;col=7&amp;number=6.58e-05&amp;sourceID=14","6.58e-05")</f>
        <v>6.58e-05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HYPERLINK("http://141.218.60.56/~jnz1568/getInfo.php?workbook=14_04.xlsx&amp;sheet=U0&amp;row=2246&amp;col=6&amp;number=3.2&amp;sourceID=14","3.2")</f>
        <v>3.2</v>
      </c>
      <c r="G2246" s="4" t="str">
        <f>HYPERLINK("http://141.218.60.56/~jnz1568/getInfo.php?workbook=14_04.xlsx&amp;sheet=U0&amp;row=2246&amp;col=7&amp;number=6.58e-05&amp;sourceID=14","6.58e-05")</f>
        <v>6.58e-05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HYPERLINK("http://141.218.60.56/~jnz1568/getInfo.php?workbook=14_04.xlsx&amp;sheet=U0&amp;row=2247&amp;col=6&amp;number=3.3&amp;sourceID=14","3.3")</f>
        <v>3.3</v>
      </c>
      <c r="G2247" s="4" t="str">
        <f>HYPERLINK("http://141.218.60.56/~jnz1568/getInfo.php?workbook=14_04.xlsx&amp;sheet=U0&amp;row=2247&amp;col=7&amp;number=6.58e-05&amp;sourceID=14","6.58e-05")</f>
        <v>6.58e-05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HYPERLINK("http://141.218.60.56/~jnz1568/getInfo.php?workbook=14_04.xlsx&amp;sheet=U0&amp;row=2248&amp;col=6&amp;number=3.4&amp;sourceID=14","3.4")</f>
        <v>3.4</v>
      </c>
      <c r="G2248" s="4" t="str">
        <f>HYPERLINK("http://141.218.60.56/~jnz1568/getInfo.php?workbook=14_04.xlsx&amp;sheet=U0&amp;row=2248&amp;col=7&amp;number=6.58e-05&amp;sourceID=14","6.58e-05")</f>
        <v>6.58e-05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HYPERLINK("http://141.218.60.56/~jnz1568/getInfo.php?workbook=14_04.xlsx&amp;sheet=U0&amp;row=2249&amp;col=6&amp;number=3.5&amp;sourceID=14","3.5")</f>
        <v>3.5</v>
      </c>
      <c r="G2249" s="4" t="str">
        <f>HYPERLINK("http://141.218.60.56/~jnz1568/getInfo.php?workbook=14_04.xlsx&amp;sheet=U0&amp;row=2249&amp;col=7&amp;number=6.58e-05&amp;sourceID=14","6.58e-05")</f>
        <v>6.58e-05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HYPERLINK("http://141.218.60.56/~jnz1568/getInfo.php?workbook=14_04.xlsx&amp;sheet=U0&amp;row=2250&amp;col=6&amp;number=3.6&amp;sourceID=14","3.6")</f>
        <v>3.6</v>
      </c>
      <c r="G2250" s="4" t="str">
        <f>HYPERLINK("http://141.218.60.56/~jnz1568/getInfo.php?workbook=14_04.xlsx&amp;sheet=U0&amp;row=2250&amp;col=7&amp;number=6.58e-05&amp;sourceID=14","6.58e-05")</f>
        <v>6.58e-05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HYPERLINK("http://141.218.60.56/~jnz1568/getInfo.php?workbook=14_04.xlsx&amp;sheet=U0&amp;row=2251&amp;col=6&amp;number=3.7&amp;sourceID=14","3.7")</f>
        <v>3.7</v>
      </c>
      <c r="G2251" s="4" t="str">
        <f>HYPERLINK("http://141.218.60.56/~jnz1568/getInfo.php?workbook=14_04.xlsx&amp;sheet=U0&amp;row=2251&amp;col=7&amp;number=6.58e-05&amp;sourceID=14","6.58e-05")</f>
        <v>6.58e-05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HYPERLINK("http://141.218.60.56/~jnz1568/getInfo.php?workbook=14_04.xlsx&amp;sheet=U0&amp;row=2252&amp;col=6&amp;number=3.8&amp;sourceID=14","3.8")</f>
        <v>3.8</v>
      </c>
      <c r="G2252" s="4" t="str">
        <f>HYPERLINK("http://141.218.60.56/~jnz1568/getInfo.php?workbook=14_04.xlsx&amp;sheet=U0&amp;row=2252&amp;col=7&amp;number=6.58e-05&amp;sourceID=14","6.58e-05")</f>
        <v>6.58e-05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HYPERLINK("http://141.218.60.56/~jnz1568/getInfo.php?workbook=14_04.xlsx&amp;sheet=U0&amp;row=2253&amp;col=6&amp;number=3.9&amp;sourceID=14","3.9")</f>
        <v>3.9</v>
      </c>
      <c r="G2253" s="4" t="str">
        <f>HYPERLINK("http://141.218.60.56/~jnz1568/getInfo.php?workbook=14_04.xlsx&amp;sheet=U0&amp;row=2253&amp;col=7&amp;number=6.58e-05&amp;sourceID=14","6.58e-05")</f>
        <v>6.58e-05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HYPERLINK("http://141.218.60.56/~jnz1568/getInfo.php?workbook=14_04.xlsx&amp;sheet=U0&amp;row=2254&amp;col=6&amp;number=4&amp;sourceID=14","4")</f>
        <v>4</v>
      </c>
      <c r="G2254" s="4" t="str">
        <f>HYPERLINK("http://141.218.60.56/~jnz1568/getInfo.php?workbook=14_04.xlsx&amp;sheet=U0&amp;row=2254&amp;col=7&amp;number=6.58e-05&amp;sourceID=14","6.58e-05")</f>
        <v>6.58e-05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HYPERLINK("http://141.218.60.56/~jnz1568/getInfo.php?workbook=14_04.xlsx&amp;sheet=U0&amp;row=2255&amp;col=6&amp;number=4.1&amp;sourceID=14","4.1")</f>
        <v>4.1</v>
      </c>
      <c r="G2255" s="4" t="str">
        <f>HYPERLINK("http://141.218.60.56/~jnz1568/getInfo.php?workbook=14_04.xlsx&amp;sheet=U0&amp;row=2255&amp;col=7&amp;number=6.57e-05&amp;sourceID=14","6.57e-05")</f>
        <v>6.57e-05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HYPERLINK("http://141.218.60.56/~jnz1568/getInfo.php?workbook=14_04.xlsx&amp;sheet=U0&amp;row=2256&amp;col=6&amp;number=4.2&amp;sourceID=14","4.2")</f>
        <v>4.2</v>
      </c>
      <c r="G2256" s="4" t="str">
        <f>HYPERLINK("http://141.218.60.56/~jnz1568/getInfo.php?workbook=14_04.xlsx&amp;sheet=U0&amp;row=2256&amp;col=7&amp;number=6.57e-05&amp;sourceID=14","6.57e-05")</f>
        <v>6.57e-05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HYPERLINK("http://141.218.60.56/~jnz1568/getInfo.php?workbook=14_04.xlsx&amp;sheet=U0&amp;row=2257&amp;col=6&amp;number=4.3&amp;sourceID=14","4.3")</f>
        <v>4.3</v>
      </c>
      <c r="G2257" s="4" t="str">
        <f>HYPERLINK("http://141.218.60.56/~jnz1568/getInfo.php?workbook=14_04.xlsx&amp;sheet=U0&amp;row=2257&amp;col=7&amp;number=6.57e-05&amp;sourceID=14","6.57e-05")</f>
        <v>6.57e-05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HYPERLINK("http://141.218.60.56/~jnz1568/getInfo.php?workbook=14_04.xlsx&amp;sheet=U0&amp;row=2258&amp;col=6&amp;number=4.4&amp;sourceID=14","4.4")</f>
        <v>4.4</v>
      </c>
      <c r="G2258" s="4" t="str">
        <f>HYPERLINK("http://141.218.60.56/~jnz1568/getInfo.php?workbook=14_04.xlsx&amp;sheet=U0&amp;row=2258&amp;col=7&amp;number=6.56e-05&amp;sourceID=14","6.56e-05")</f>
        <v>6.56e-05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HYPERLINK("http://141.218.60.56/~jnz1568/getInfo.php?workbook=14_04.xlsx&amp;sheet=U0&amp;row=2259&amp;col=6&amp;number=4.5&amp;sourceID=14","4.5")</f>
        <v>4.5</v>
      </c>
      <c r="G2259" s="4" t="str">
        <f>HYPERLINK("http://141.218.60.56/~jnz1568/getInfo.php?workbook=14_04.xlsx&amp;sheet=U0&amp;row=2259&amp;col=7&amp;number=6.56e-05&amp;sourceID=14","6.56e-05")</f>
        <v>6.56e-05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HYPERLINK("http://141.218.60.56/~jnz1568/getInfo.php?workbook=14_04.xlsx&amp;sheet=U0&amp;row=2260&amp;col=6&amp;number=4.6&amp;sourceID=14","4.6")</f>
        <v>4.6</v>
      </c>
      <c r="G2260" s="4" t="str">
        <f>HYPERLINK("http://141.218.60.56/~jnz1568/getInfo.php?workbook=14_04.xlsx&amp;sheet=U0&amp;row=2260&amp;col=7&amp;number=6.55e-05&amp;sourceID=14","6.55e-05")</f>
        <v>6.55e-05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HYPERLINK("http://141.218.60.56/~jnz1568/getInfo.php?workbook=14_04.xlsx&amp;sheet=U0&amp;row=2261&amp;col=6&amp;number=4.7&amp;sourceID=14","4.7")</f>
        <v>4.7</v>
      </c>
      <c r="G2261" s="4" t="str">
        <f>HYPERLINK("http://141.218.60.56/~jnz1568/getInfo.php?workbook=14_04.xlsx&amp;sheet=U0&amp;row=2261&amp;col=7&amp;number=6.54e-05&amp;sourceID=14","6.54e-05")</f>
        <v>6.54e-05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HYPERLINK("http://141.218.60.56/~jnz1568/getInfo.php?workbook=14_04.xlsx&amp;sheet=U0&amp;row=2262&amp;col=6&amp;number=4.8&amp;sourceID=14","4.8")</f>
        <v>4.8</v>
      </c>
      <c r="G2262" s="4" t="str">
        <f>HYPERLINK("http://141.218.60.56/~jnz1568/getInfo.php?workbook=14_04.xlsx&amp;sheet=U0&amp;row=2262&amp;col=7&amp;number=6.53e-05&amp;sourceID=14","6.53e-05")</f>
        <v>6.53e-05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HYPERLINK("http://141.218.60.56/~jnz1568/getInfo.php?workbook=14_04.xlsx&amp;sheet=U0&amp;row=2263&amp;col=6&amp;number=4.9&amp;sourceID=14","4.9")</f>
        <v>4.9</v>
      </c>
      <c r="G2263" s="4" t="str">
        <f>HYPERLINK("http://141.218.60.56/~jnz1568/getInfo.php?workbook=14_04.xlsx&amp;sheet=U0&amp;row=2263&amp;col=7&amp;number=6.51e-05&amp;sourceID=14","6.51e-05")</f>
        <v>6.51e-05</v>
      </c>
    </row>
    <row r="2264" spans="1:7">
      <c r="A2264" s="3">
        <v>14</v>
      </c>
      <c r="B2264" s="3">
        <v>4</v>
      </c>
      <c r="C2264" s="3">
        <v>1</v>
      </c>
      <c r="D2264" s="3">
        <v>79</v>
      </c>
      <c r="E2264" s="3">
        <v>1</v>
      </c>
      <c r="F2264" s="4" t="str">
        <f>HYPERLINK("http://141.218.60.56/~jnz1568/getInfo.php?workbook=14_04.xlsx&amp;sheet=U0&amp;row=2264&amp;col=6&amp;number=3&amp;sourceID=14","3")</f>
        <v>3</v>
      </c>
      <c r="G2264" s="4" t="str">
        <f>HYPERLINK("http://141.218.60.56/~jnz1568/getInfo.php?workbook=14_04.xlsx&amp;sheet=U0&amp;row=2264&amp;col=7&amp;number=2.55e-05&amp;sourceID=14","2.55e-05")</f>
        <v>2.55e-05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HYPERLINK("http://141.218.60.56/~jnz1568/getInfo.php?workbook=14_04.xlsx&amp;sheet=U0&amp;row=2265&amp;col=6&amp;number=3.1&amp;sourceID=14","3.1")</f>
        <v>3.1</v>
      </c>
      <c r="G2265" s="4" t="str">
        <f>HYPERLINK("http://141.218.60.56/~jnz1568/getInfo.php?workbook=14_04.xlsx&amp;sheet=U0&amp;row=2265&amp;col=7&amp;number=2.55e-05&amp;sourceID=14","2.55e-05")</f>
        <v>2.55e-05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HYPERLINK("http://141.218.60.56/~jnz1568/getInfo.php?workbook=14_04.xlsx&amp;sheet=U0&amp;row=2266&amp;col=6&amp;number=3.2&amp;sourceID=14","3.2")</f>
        <v>3.2</v>
      </c>
      <c r="G2266" s="4" t="str">
        <f>HYPERLINK("http://141.218.60.56/~jnz1568/getInfo.php?workbook=14_04.xlsx&amp;sheet=U0&amp;row=2266&amp;col=7&amp;number=2.55e-05&amp;sourceID=14","2.55e-05")</f>
        <v>2.55e-05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HYPERLINK("http://141.218.60.56/~jnz1568/getInfo.php?workbook=14_04.xlsx&amp;sheet=U0&amp;row=2267&amp;col=6&amp;number=3.3&amp;sourceID=14","3.3")</f>
        <v>3.3</v>
      </c>
      <c r="G2267" s="4" t="str">
        <f>HYPERLINK("http://141.218.60.56/~jnz1568/getInfo.php?workbook=14_04.xlsx&amp;sheet=U0&amp;row=2267&amp;col=7&amp;number=2.55e-05&amp;sourceID=14","2.55e-05")</f>
        <v>2.55e-05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HYPERLINK("http://141.218.60.56/~jnz1568/getInfo.php?workbook=14_04.xlsx&amp;sheet=U0&amp;row=2268&amp;col=6&amp;number=3.4&amp;sourceID=14","3.4")</f>
        <v>3.4</v>
      </c>
      <c r="G2268" s="4" t="str">
        <f>HYPERLINK("http://141.218.60.56/~jnz1568/getInfo.php?workbook=14_04.xlsx&amp;sheet=U0&amp;row=2268&amp;col=7&amp;number=2.55e-05&amp;sourceID=14","2.55e-05")</f>
        <v>2.55e-05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HYPERLINK("http://141.218.60.56/~jnz1568/getInfo.php?workbook=14_04.xlsx&amp;sheet=U0&amp;row=2269&amp;col=6&amp;number=3.5&amp;sourceID=14","3.5")</f>
        <v>3.5</v>
      </c>
      <c r="G2269" s="4" t="str">
        <f>HYPERLINK("http://141.218.60.56/~jnz1568/getInfo.php?workbook=14_04.xlsx&amp;sheet=U0&amp;row=2269&amp;col=7&amp;number=2.55e-05&amp;sourceID=14","2.55e-05")</f>
        <v>2.55e-05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HYPERLINK("http://141.218.60.56/~jnz1568/getInfo.php?workbook=14_04.xlsx&amp;sheet=U0&amp;row=2270&amp;col=6&amp;number=3.6&amp;sourceID=14","3.6")</f>
        <v>3.6</v>
      </c>
      <c r="G2270" s="4" t="str">
        <f>HYPERLINK("http://141.218.60.56/~jnz1568/getInfo.php?workbook=14_04.xlsx&amp;sheet=U0&amp;row=2270&amp;col=7&amp;number=2.55e-05&amp;sourceID=14","2.55e-05")</f>
        <v>2.55e-05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HYPERLINK("http://141.218.60.56/~jnz1568/getInfo.php?workbook=14_04.xlsx&amp;sheet=U0&amp;row=2271&amp;col=6&amp;number=3.7&amp;sourceID=14","3.7")</f>
        <v>3.7</v>
      </c>
      <c r="G2271" s="4" t="str">
        <f>HYPERLINK("http://141.218.60.56/~jnz1568/getInfo.php?workbook=14_04.xlsx&amp;sheet=U0&amp;row=2271&amp;col=7&amp;number=2.55e-05&amp;sourceID=14","2.55e-05")</f>
        <v>2.55e-05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HYPERLINK("http://141.218.60.56/~jnz1568/getInfo.php?workbook=14_04.xlsx&amp;sheet=U0&amp;row=2272&amp;col=6&amp;number=3.8&amp;sourceID=14","3.8")</f>
        <v>3.8</v>
      </c>
      <c r="G2272" s="4" t="str">
        <f>HYPERLINK("http://141.218.60.56/~jnz1568/getInfo.php?workbook=14_04.xlsx&amp;sheet=U0&amp;row=2272&amp;col=7&amp;number=2.54e-05&amp;sourceID=14","2.54e-05")</f>
        <v>2.54e-05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HYPERLINK("http://141.218.60.56/~jnz1568/getInfo.php?workbook=14_04.xlsx&amp;sheet=U0&amp;row=2273&amp;col=6&amp;number=3.9&amp;sourceID=14","3.9")</f>
        <v>3.9</v>
      </c>
      <c r="G2273" s="4" t="str">
        <f>HYPERLINK("http://141.218.60.56/~jnz1568/getInfo.php?workbook=14_04.xlsx&amp;sheet=U0&amp;row=2273&amp;col=7&amp;number=2.54e-05&amp;sourceID=14","2.54e-05")</f>
        <v>2.54e-05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HYPERLINK("http://141.218.60.56/~jnz1568/getInfo.php?workbook=14_04.xlsx&amp;sheet=U0&amp;row=2274&amp;col=6&amp;number=4&amp;sourceID=14","4")</f>
        <v>4</v>
      </c>
      <c r="G2274" s="4" t="str">
        <f>HYPERLINK("http://141.218.60.56/~jnz1568/getInfo.php?workbook=14_04.xlsx&amp;sheet=U0&amp;row=2274&amp;col=7&amp;number=2.54e-05&amp;sourceID=14","2.54e-05")</f>
        <v>2.54e-05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HYPERLINK("http://141.218.60.56/~jnz1568/getInfo.php?workbook=14_04.xlsx&amp;sheet=U0&amp;row=2275&amp;col=6&amp;number=4.1&amp;sourceID=14","4.1")</f>
        <v>4.1</v>
      </c>
      <c r="G2275" s="4" t="str">
        <f>HYPERLINK("http://141.218.60.56/~jnz1568/getInfo.php?workbook=14_04.xlsx&amp;sheet=U0&amp;row=2275&amp;col=7&amp;number=2.54e-05&amp;sourceID=14","2.54e-05")</f>
        <v>2.54e-05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HYPERLINK("http://141.218.60.56/~jnz1568/getInfo.php?workbook=14_04.xlsx&amp;sheet=U0&amp;row=2276&amp;col=6&amp;number=4.2&amp;sourceID=14","4.2")</f>
        <v>4.2</v>
      </c>
      <c r="G2276" s="4" t="str">
        <f>HYPERLINK("http://141.218.60.56/~jnz1568/getInfo.php?workbook=14_04.xlsx&amp;sheet=U0&amp;row=2276&amp;col=7&amp;number=2.54e-05&amp;sourceID=14","2.54e-05")</f>
        <v>2.54e-05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HYPERLINK("http://141.218.60.56/~jnz1568/getInfo.php?workbook=14_04.xlsx&amp;sheet=U0&amp;row=2277&amp;col=6&amp;number=4.3&amp;sourceID=14","4.3")</f>
        <v>4.3</v>
      </c>
      <c r="G2277" s="4" t="str">
        <f>HYPERLINK("http://141.218.60.56/~jnz1568/getInfo.php?workbook=14_04.xlsx&amp;sheet=U0&amp;row=2277&amp;col=7&amp;number=2.54e-05&amp;sourceID=14","2.54e-05")</f>
        <v>2.54e-05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HYPERLINK("http://141.218.60.56/~jnz1568/getInfo.php?workbook=14_04.xlsx&amp;sheet=U0&amp;row=2278&amp;col=6&amp;number=4.4&amp;sourceID=14","4.4")</f>
        <v>4.4</v>
      </c>
      <c r="G2278" s="4" t="str">
        <f>HYPERLINK("http://141.218.60.56/~jnz1568/getInfo.php?workbook=14_04.xlsx&amp;sheet=U0&amp;row=2278&amp;col=7&amp;number=2.53e-05&amp;sourceID=14","2.53e-05")</f>
        <v>2.53e-05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HYPERLINK("http://141.218.60.56/~jnz1568/getInfo.php?workbook=14_04.xlsx&amp;sheet=U0&amp;row=2279&amp;col=6&amp;number=4.5&amp;sourceID=14","4.5")</f>
        <v>4.5</v>
      </c>
      <c r="G2279" s="4" t="str">
        <f>HYPERLINK("http://141.218.60.56/~jnz1568/getInfo.php?workbook=14_04.xlsx&amp;sheet=U0&amp;row=2279&amp;col=7&amp;number=2.53e-05&amp;sourceID=14","2.53e-05")</f>
        <v>2.53e-05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HYPERLINK("http://141.218.60.56/~jnz1568/getInfo.php?workbook=14_04.xlsx&amp;sheet=U0&amp;row=2280&amp;col=6&amp;number=4.6&amp;sourceID=14","4.6")</f>
        <v>4.6</v>
      </c>
      <c r="G2280" s="4" t="str">
        <f>HYPERLINK("http://141.218.60.56/~jnz1568/getInfo.php?workbook=14_04.xlsx&amp;sheet=U0&amp;row=2280&amp;col=7&amp;number=2.52e-05&amp;sourceID=14","2.52e-05")</f>
        <v>2.52e-05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HYPERLINK("http://141.218.60.56/~jnz1568/getInfo.php?workbook=14_04.xlsx&amp;sheet=U0&amp;row=2281&amp;col=6&amp;number=4.7&amp;sourceID=14","4.7")</f>
        <v>4.7</v>
      </c>
      <c r="G2281" s="4" t="str">
        <f>HYPERLINK("http://141.218.60.56/~jnz1568/getInfo.php?workbook=14_04.xlsx&amp;sheet=U0&amp;row=2281&amp;col=7&amp;number=2.52e-05&amp;sourceID=14","2.52e-05")</f>
        <v>2.52e-05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HYPERLINK("http://141.218.60.56/~jnz1568/getInfo.php?workbook=14_04.xlsx&amp;sheet=U0&amp;row=2282&amp;col=6&amp;number=4.8&amp;sourceID=14","4.8")</f>
        <v>4.8</v>
      </c>
      <c r="G2282" s="4" t="str">
        <f>HYPERLINK("http://141.218.60.56/~jnz1568/getInfo.php?workbook=14_04.xlsx&amp;sheet=U0&amp;row=2282&amp;col=7&amp;number=2.51e-05&amp;sourceID=14","2.51e-05")</f>
        <v>2.51e-05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HYPERLINK("http://141.218.60.56/~jnz1568/getInfo.php?workbook=14_04.xlsx&amp;sheet=U0&amp;row=2283&amp;col=6&amp;number=4.9&amp;sourceID=14","4.9")</f>
        <v>4.9</v>
      </c>
      <c r="G2283" s="4" t="str">
        <f>HYPERLINK("http://141.218.60.56/~jnz1568/getInfo.php?workbook=14_04.xlsx&amp;sheet=U0&amp;row=2283&amp;col=7&amp;number=2.5e-05&amp;sourceID=14","2.5e-05")</f>
        <v>2.5e-05</v>
      </c>
    </row>
    <row r="2284" spans="1:7">
      <c r="A2284" s="3">
        <v>14</v>
      </c>
      <c r="B2284" s="3">
        <v>4</v>
      </c>
      <c r="C2284" s="3">
        <v>1</v>
      </c>
      <c r="D2284" s="3">
        <v>80</v>
      </c>
      <c r="E2284" s="3">
        <v>1</v>
      </c>
      <c r="F2284" s="4" t="str">
        <f>HYPERLINK("http://141.218.60.56/~jnz1568/getInfo.php?workbook=14_04.xlsx&amp;sheet=U0&amp;row=2284&amp;col=6&amp;number=3&amp;sourceID=14","3")</f>
        <v>3</v>
      </c>
      <c r="G2284" s="4" t="str">
        <f>HYPERLINK("http://141.218.60.56/~jnz1568/getInfo.php?workbook=14_04.xlsx&amp;sheet=U0&amp;row=2284&amp;col=7&amp;number=0.000564&amp;sourceID=14","0.000564")</f>
        <v>0.000564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HYPERLINK("http://141.218.60.56/~jnz1568/getInfo.php?workbook=14_04.xlsx&amp;sheet=U0&amp;row=2285&amp;col=6&amp;number=3.1&amp;sourceID=14","3.1")</f>
        <v>3.1</v>
      </c>
      <c r="G2285" s="4" t="str">
        <f>HYPERLINK("http://141.218.60.56/~jnz1568/getInfo.php?workbook=14_04.xlsx&amp;sheet=U0&amp;row=2285&amp;col=7&amp;number=0.000564&amp;sourceID=14","0.000564")</f>
        <v>0.000564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HYPERLINK("http://141.218.60.56/~jnz1568/getInfo.php?workbook=14_04.xlsx&amp;sheet=U0&amp;row=2286&amp;col=6&amp;number=3.2&amp;sourceID=14","3.2")</f>
        <v>3.2</v>
      </c>
      <c r="G2286" s="4" t="str">
        <f>HYPERLINK("http://141.218.60.56/~jnz1568/getInfo.php?workbook=14_04.xlsx&amp;sheet=U0&amp;row=2286&amp;col=7&amp;number=0.000564&amp;sourceID=14","0.000564")</f>
        <v>0.000564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HYPERLINK("http://141.218.60.56/~jnz1568/getInfo.php?workbook=14_04.xlsx&amp;sheet=U0&amp;row=2287&amp;col=6&amp;number=3.3&amp;sourceID=14","3.3")</f>
        <v>3.3</v>
      </c>
      <c r="G2287" s="4" t="str">
        <f>HYPERLINK("http://141.218.60.56/~jnz1568/getInfo.php?workbook=14_04.xlsx&amp;sheet=U0&amp;row=2287&amp;col=7&amp;number=0.000564&amp;sourceID=14","0.000564")</f>
        <v>0.000564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HYPERLINK("http://141.218.60.56/~jnz1568/getInfo.php?workbook=14_04.xlsx&amp;sheet=U0&amp;row=2288&amp;col=6&amp;number=3.4&amp;sourceID=14","3.4")</f>
        <v>3.4</v>
      </c>
      <c r="G2288" s="4" t="str">
        <f>HYPERLINK("http://141.218.60.56/~jnz1568/getInfo.php?workbook=14_04.xlsx&amp;sheet=U0&amp;row=2288&amp;col=7&amp;number=0.000564&amp;sourceID=14","0.000564")</f>
        <v>0.000564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HYPERLINK("http://141.218.60.56/~jnz1568/getInfo.php?workbook=14_04.xlsx&amp;sheet=U0&amp;row=2289&amp;col=6&amp;number=3.5&amp;sourceID=14","3.5")</f>
        <v>3.5</v>
      </c>
      <c r="G2289" s="4" t="str">
        <f>HYPERLINK("http://141.218.60.56/~jnz1568/getInfo.php?workbook=14_04.xlsx&amp;sheet=U0&amp;row=2289&amp;col=7&amp;number=0.000564&amp;sourceID=14","0.000564")</f>
        <v>0.000564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HYPERLINK("http://141.218.60.56/~jnz1568/getInfo.php?workbook=14_04.xlsx&amp;sheet=U0&amp;row=2290&amp;col=6&amp;number=3.6&amp;sourceID=14","3.6")</f>
        <v>3.6</v>
      </c>
      <c r="G2290" s="4" t="str">
        <f>HYPERLINK("http://141.218.60.56/~jnz1568/getInfo.php?workbook=14_04.xlsx&amp;sheet=U0&amp;row=2290&amp;col=7&amp;number=0.000564&amp;sourceID=14","0.000564")</f>
        <v>0.000564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HYPERLINK("http://141.218.60.56/~jnz1568/getInfo.php?workbook=14_04.xlsx&amp;sheet=U0&amp;row=2291&amp;col=6&amp;number=3.7&amp;sourceID=14","3.7")</f>
        <v>3.7</v>
      </c>
      <c r="G2291" s="4" t="str">
        <f>HYPERLINK("http://141.218.60.56/~jnz1568/getInfo.php?workbook=14_04.xlsx&amp;sheet=U0&amp;row=2291&amp;col=7&amp;number=0.000564&amp;sourceID=14","0.000564")</f>
        <v>0.000564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HYPERLINK("http://141.218.60.56/~jnz1568/getInfo.php?workbook=14_04.xlsx&amp;sheet=U0&amp;row=2292&amp;col=6&amp;number=3.8&amp;sourceID=14","3.8")</f>
        <v>3.8</v>
      </c>
      <c r="G2292" s="4" t="str">
        <f>HYPERLINK("http://141.218.60.56/~jnz1568/getInfo.php?workbook=14_04.xlsx&amp;sheet=U0&amp;row=2292&amp;col=7&amp;number=0.000564&amp;sourceID=14","0.000564")</f>
        <v>0.000564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HYPERLINK("http://141.218.60.56/~jnz1568/getInfo.php?workbook=14_04.xlsx&amp;sheet=U0&amp;row=2293&amp;col=6&amp;number=3.9&amp;sourceID=14","3.9")</f>
        <v>3.9</v>
      </c>
      <c r="G2293" s="4" t="str">
        <f>HYPERLINK("http://141.218.60.56/~jnz1568/getInfo.php?workbook=14_04.xlsx&amp;sheet=U0&amp;row=2293&amp;col=7&amp;number=0.000564&amp;sourceID=14","0.000564")</f>
        <v>0.000564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HYPERLINK("http://141.218.60.56/~jnz1568/getInfo.php?workbook=14_04.xlsx&amp;sheet=U0&amp;row=2294&amp;col=6&amp;number=4&amp;sourceID=14","4")</f>
        <v>4</v>
      </c>
      <c r="G2294" s="4" t="str">
        <f>HYPERLINK("http://141.218.60.56/~jnz1568/getInfo.php?workbook=14_04.xlsx&amp;sheet=U0&amp;row=2294&amp;col=7&amp;number=0.000564&amp;sourceID=14","0.000564")</f>
        <v>0.000564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HYPERLINK("http://141.218.60.56/~jnz1568/getInfo.php?workbook=14_04.xlsx&amp;sheet=U0&amp;row=2295&amp;col=6&amp;number=4.1&amp;sourceID=14","4.1")</f>
        <v>4.1</v>
      </c>
      <c r="G2295" s="4" t="str">
        <f>HYPERLINK("http://141.218.60.56/~jnz1568/getInfo.php?workbook=14_04.xlsx&amp;sheet=U0&amp;row=2295&amp;col=7&amp;number=0.000564&amp;sourceID=14","0.000564")</f>
        <v>0.000564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HYPERLINK("http://141.218.60.56/~jnz1568/getInfo.php?workbook=14_04.xlsx&amp;sheet=U0&amp;row=2296&amp;col=6&amp;number=4.2&amp;sourceID=14","4.2")</f>
        <v>4.2</v>
      </c>
      <c r="G2296" s="4" t="str">
        <f>HYPERLINK("http://141.218.60.56/~jnz1568/getInfo.php?workbook=14_04.xlsx&amp;sheet=U0&amp;row=2296&amp;col=7&amp;number=0.000564&amp;sourceID=14","0.000564")</f>
        <v>0.000564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HYPERLINK("http://141.218.60.56/~jnz1568/getInfo.php?workbook=14_04.xlsx&amp;sheet=U0&amp;row=2297&amp;col=6&amp;number=4.3&amp;sourceID=14","4.3")</f>
        <v>4.3</v>
      </c>
      <c r="G2297" s="4" t="str">
        <f>HYPERLINK("http://141.218.60.56/~jnz1568/getInfo.php?workbook=14_04.xlsx&amp;sheet=U0&amp;row=2297&amp;col=7&amp;number=0.000564&amp;sourceID=14","0.000564")</f>
        <v>0.000564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HYPERLINK("http://141.218.60.56/~jnz1568/getInfo.php?workbook=14_04.xlsx&amp;sheet=U0&amp;row=2298&amp;col=6&amp;number=4.4&amp;sourceID=14","4.4")</f>
        <v>4.4</v>
      </c>
      <c r="G2298" s="4" t="str">
        <f>HYPERLINK("http://141.218.60.56/~jnz1568/getInfo.php?workbook=14_04.xlsx&amp;sheet=U0&amp;row=2298&amp;col=7&amp;number=0.000564&amp;sourceID=14","0.000564")</f>
        <v>0.000564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HYPERLINK("http://141.218.60.56/~jnz1568/getInfo.php?workbook=14_04.xlsx&amp;sheet=U0&amp;row=2299&amp;col=6&amp;number=4.5&amp;sourceID=14","4.5")</f>
        <v>4.5</v>
      </c>
      <c r="G2299" s="4" t="str">
        <f>HYPERLINK("http://141.218.60.56/~jnz1568/getInfo.php?workbook=14_04.xlsx&amp;sheet=U0&amp;row=2299&amp;col=7&amp;number=0.000565&amp;sourceID=14","0.000565")</f>
        <v>0.000565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HYPERLINK("http://141.218.60.56/~jnz1568/getInfo.php?workbook=14_04.xlsx&amp;sheet=U0&amp;row=2300&amp;col=6&amp;number=4.6&amp;sourceID=14","4.6")</f>
        <v>4.6</v>
      </c>
      <c r="G2300" s="4" t="str">
        <f>HYPERLINK("http://141.218.60.56/~jnz1568/getInfo.php?workbook=14_04.xlsx&amp;sheet=U0&amp;row=2300&amp;col=7&amp;number=0.000565&amp;sourceID=14","0.000565")</f>
        <v>0.000565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HYPERLINK("http://141.218.60.56/~jnz1568/getInfo.php?workbook=14_04.xlsx&amp;sheet=U0&amp;row=2301&amp;col=6&amp;number=4.7&amp;sourceID=14","4.7")</f>
        <v>4.7</v>
      </c>
      <c r="G2301" s="4" t="str">
        <f>HYPERLINK("http://141.218.60.56/~jnz1568/getInfo.php?workbook=14_04.xlsx&amp;sheet=U0&amp;row=2301&amp;col=7&amp;number=0.000565&amp;sourceID=14","0.000565")</f>
        <v>0.000565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HYPERLINK("http://141.218.60.56/~jnz1568/getInfo.php?workbook=14_04.xlsx&amp;sheet=U0&amp;row=2302&amp;col=6&amp;number=4.8&amp;sourceID=14","4.8")</f>
        <v>4.8</v>
      </c>
      <c r="G2302" s="4" t="str">
        <f>HYPERLINK("http://141.218.60.56/~jnz1568/getInfo.php?workbook=14_04.xlsx&amp;sheet=U0&amp;row=2302&amp;col=7&amp;number=0.000566&amp;sourceID=14","0.000566")</f>
        <v>0.000566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HYPERLINK("http://141.218.60.56/~jnz1568/getInfo.php?workbook=14_04.xlsx&amp;sheet=U0&amp;row=2303&amp;col=6&amp;number=4.9&amp;sourceID=14","4.9")</f>
        <v>4.9</v>
      </c>
      <c r="G2303" s="4" t="str">
        <f>HYPERLINK("http://141.218.60.56/~jnz1568/getInfo.php?workbook=14_04.xlsx&amp;sheet=U0&amp;row=2303&amp;col=7&amp;number=0.000566&amp;sourceID=14","0.000566")</f>
        <v>0.000566</v>
      </c>
    </row>
    <row r="2304" spans="1:7">
      <c r="A2304" s="3">
        <v>14</v>
      </c>
      <c r="B2304" s="3">
        <v>4</v>
      </c>
      <c r="C2304" s="3">
        <v>1</v>
      </c>
      <c r="D2304" s="3">
        <v>81</v>
      </c>
      <c r="E2304" s="3">
        <v>1</v>
      </c>
      <c r="F2304" s="4" t="str">
        <f>HYPERLINK("http://141.218.60.56/~jnz1568/getInfo.php?workbook=14_04.xlsx&amp;sheet=U0&amp;row=2304&amp;col=6&amp;number=3&amp;sourceID=14","3")</f>
        <v>3</v>
      </c>
      <c r="G2304" s="4" t="str">
        <f>HYPERLINK("http://141.218.60.56/~jnz1568/getInfo.php?workbook=14_04.xlsx&amp;sheet=U0&amp;row=2304&amp;col=7&amp;number=0.000102&amp;sourceID=14","0.000102")</f>
        <v>0.000102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HYPERLINK("http://141.218.60.56/~jnz1568/getInfo.php?workbook=14_04.xlsx&amp;sheet=U0&amp;row=2305&amp;col=6&amp;number=3.1&amp;sourceID=14","3.1")</f>
        <v>3.1</v>
      </c>
      <c r="G2305" s="4" t="str">
        <f>HYPERLINK("http://141.218.60.56/~jnz1568/getInfo.php?workbook=14_04.xlsx&amp;sheet=U0&amp;row=2305&amp;col=7&amp;number=0.000102&amp;sourceID=14","0.000102")</f>
        <v>0.000102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HYPERLINK("http://141.218.60.56/~jnz1568/getInfo.php?workbook=14_04.xlsx&amp;sheet=U0&amp;row=2306&amp;col=6&amp;number=3.2&amp;sourceID=14","3.2")</f>
        <v>3.2</v>
      </c>
      <c r="G2306" s="4" t="str">
        <f>HYPERLINK("http://141.218.60.56/~jnz1568/getInfo.php?workbook=14_04.xlsx&amp;sheet=U0&amp;row=2306&amp;col=7&amp;number=0.000102&amp;sourceID=14","0.000102")</f>
        <v>0.000102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HYPERLINK("http://141.218.60.56/~jnz1568/getInfo.php?workbook=14_04.xlsx&amp;sheet=U0&amp;row=2307&amp;col=6&amp;number=3.3&amp;sourceID=14","3.3")</f>
        <v>3.3</v>
      </c>
      <c r="G2307" s="4" t="str">
        <f>HYPERLINK("http://141.218.60.56/~jnz1568/getInfo.php?workbook=14_04.xlsx&amp;sheet=U0&amp;row=2307&amp;col=7&amp;number=0.000102&amp;sourceID=14","0.000102")</f>
        <v>0.000102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HYPERLINK("http://141.218.60.56/~jnz1568/getInfo.php?workbook=14_04.xlsx&amp;sheet=U0&amp;row=2308&amp;col=6&amp;number=3.4&amp;sourceID=14","3.4")</f>
        <v>3.4</v>
      </c>
      <c r="G2308" s="4" t="str">
        <f>HYPERLINK("http://141.218.60.56/~jnz1568/getInfo.php?workbook=14_04.xlsx&amp;sheet=U0&amp;row=2308&amp;col=7&amp;number=0.000102&amp;sourceID=14","0.000102")</f>
        <v>0.000102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HYPERLINK("http://141.218.60.56/~jnz1568/getInfo.php?workbook=14_04.xlsx&amp;sheet=U0&amp;row=2309&amp;col=6&amp;number=3.5&amp;sourceID=14","3.5")</f>
        <v>3.5</v>
      </c>
      <c r="G2309" s="4" t="str">
        <f>HYPERLINK("http://141.218.60.56/~jnz1568/getInfo.php?workbook=14_04.xlsx&amp;sheet=U0&amp;row=2309&amp;col=7&amp;number=0.000102&amp;sourceID=14","0.000102")</f>
        <v>0.000102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HYPERLINK("http://141.218.60.56/~jnz1568/getInfo.php?workbook=14_04.xlsx&amp;sheet=U0&amp;row=2310&amp;col=6&amp;number=3.6&amp;sourceID=14","3.6")</f>
        <v>3.6</v>
      </c>
      <c r="G2310" s="4" t="str">
        <f>HYPERLINK("http://141.218.60.56/~jnz1568/getInfo.php?workbook=14_04.xlsx&amp;sheet=U0&amp;row=2310&amp;col=7&amp;number=0.000102&amp;sourceID=14","0.000102")</f>
        <v>0.000102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HYPERLINK("http://141.218.60.56/~jnz1568/getInfo.php?workbook=14_04.xlsx&amp;sheet=U0&amp;row=2311&amp;col=6&amp;number=3.7&amp;sourceID=14","3.7")</f>
        <v>3.7</v>
      </c>
      <c r="G2311" s="4" t="str">
        <f>HYPERLINK("http://141.218.60.56/~jnz1568/getInfo.php?workbook=14_04.xlsx&amp;sheet=U0&amp;row=2311&amp;col=7&amp;number=0.000102&amp;sourceID=14","0.000102")</f>
        <v>0.000102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HYPERLINK("http://141.218.60.56/~jnz1568/getInfo.php?workbook=14_04.xlsx&amp;sheet=U0&amp;row=2312&amp;col=6&amp;number=3.8&amp;sourceID=14","3.8")</f>
        <v>3.8</v>
      </c>
      <c r="G2312" s="4" t="str">
        <f>HYPERLINK("http://141.218.60.56/~jnz1568/getInfo.php?workbook=14_04.xlsx&amp;sheet=U0&amp;row=2312&amp;col=7&amp;number=0.000102&amp;sourceID=14","0.000102")</f>
        <v>0.000102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HYPERLINK("http://141.218.60.56/~jnz1568/getInfo.php?workbook=14_04.xlsx&amp;sheet=U0&amp;row=2313&amp;col=6&amp;number=3.9&amp;sourceID=14","3.9")</f>
        <v>3.9</v>
      </c>
      <c r="G2313" s="4" t="str">
        <f>HYPERLINK("http://141.218.60.56/~jnz1568/getInfo.php?workbook=14_04.xlsx&amp;sheet=U0&amp;row=2313&amp;col=7&amp;number=0.000102&amp;sourceID=14","0.000102")</f>
        <v>0.000102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HYPERLINK("http://141.218.60.56/~jnz1568/getInfo.php?workbook=14_04.xlsx&amp;sheet=U0&amp;row=2314&amp;col=6&amp;number=4&amp;sourceID=14","4")</f>
        <v>4</v>
      </c>
      <c r="G2314" s="4" t="str">
        <f>HYPERLINK("http://141.218.60.56/~jnz1568/getInfo.php?workbook=14_04.xlsx&amp;sheet=U0&amp;row=2314&amp;col=7&amp;number=0.000102&amp;sourceID=14","0.000102")</f>
        <v>0.000102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HYPERLINK("http://141.218.60.56/~jnz1568/getInfo.php?workbook=14_04.xlsx&amp;sheet=U0&amp;row=2315&amp;col=6&amp;number=4.1&amp;sourceID=14","4.1")</f>
        <v>4.1</v>
      </c>
      <c r="G2315" s="4" t="str">
        <f>HYPERLINK("http://141.218.60.56/~jnz1568/getInfo.php?workbook=14_04.xlsx&amp;sheet=U0&amp;row=2315&amp;col=7&amp;number=0.000102&amp;sourceID=14","0.000102")</f>
        <v>0.000102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HYPERLINK("http://141.218.60.56/~jnz1568/getInfo.php?workbook=14_04.xlsx&amp;sheet=U0&amp;row=2316&amp;col=6&amp;number=4.2&amp;sourceID=14","4.2")</f>
        <v>4.2</v>
      </c>
      <c r="G2316" s="4" t="str">
        <f>HYPERLINK("http://141.218.60.56/~jnz1568/getInfo.php?workbook=14_04.xlsx&amp;sheet=U0&amp;row=2316&amp;col=7&amp;number=0.000102&amp;sourceID=14","0.000102")</f>
        <v>0.000102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HYPERLINK("http://141.218.60.56/~jnz1568/getInfo.php?workbook=14_04.xlsx&amp;sheet=U0&amp;row=2317&amp;col=6&amp;number=4.3&amp;sourceID=14","4.3")</f>
        <v>4.3</v>
      </c>
      <c r="G2317" s="4" t="str">
        <f>HYPERLINK("http://141.218.60.56/~jnz1568/getInfo.php?workbook=14_04.xlsx&amp;sheet=U0&amp;row=2317&amp;col=7&amp;number=0.000102&amp;sourceID=14","0.000102")</f>
        <v>0.000102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HYPERLINK("http://141.218.60.56/~jnz1568/getInfo.php?workbook=14_04.xlsx&amp;sheet=U0&amp;row=2318&amp;col=6&amp;number=4.4&amp;sourceID=14","4.4")</f>
        <v>4.4</v>
      </c>
      <c r="G2318" s="4" t="str">
        <f>HYPERLINK("http://141.218.60.56/~jnz1568/getInfo.php?workbook=14_04.xlsx&amp;sheet=U0&amp;row=2318&amp;col=7&amp;number=0.000102&amp;sourceID=14","0.000102")</f>
        <v>0.000102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HYPERLINK("http://141.218.60.56/~jnz1568/getInfo.php?workbook=14_04.xlsx&amp;sheet=U0&amp;row=2319&amp;col=6&amp;number=4.5&amp;sourceID=14","4.5")</f>
        <v>4.5</v>
      </c>
      <c r="G2319" s="4" t="str">
        <f>HYPERLINK("http://141.218.60.56/~jnz1568/getInfo.php?workbook=14_04.xlsx&amp;sheet=U0&amp;row=2319&amp;col=7&amp;number=0.000102&amp;sourceID=14","0.000102")</f>
        <v>0.000102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HYPERLINK("http://141.218.60.56/~jnz1568/getInfo.php?workbook=14_04.xlsx&amp;sheet=U0&amp;row=2320&amp;col=6&amp;number=4.6&amp;sourceID=14","4.6")</f>
        <v>4.6</v>
      </c>
      <c r="G2320" s="4" t="str">
        <f>HYPERLINK("http://141.218.60.56/~jnz1568/getInfo.php?workbook=14_04.xlsx&amp;sheet=U0&amp;row=2320&amp;col=7&amp;number=0.000102&amp;sourceID=14","0.000102")</f>
        <v>0.000102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HYPERLINK("http://141.218.60.56/~jnz1568/getInfo.php?workbook=14_04.xlsx&amp;sheet=U0&amp;row=2321&amp;col=6&amp;number=4.7&amp;sourceID=14","4.7")</f>
        <v>4.7</v>
      </c>
      <c r="G2321" s="4" t="str">
        <f>HYPERLINK("http://141.218.60.56/~jnz1568/getInfo.php?workbook=14_04.xlsx&amp;sheet=U0&amp;row=2321&amp;col=7&amp;number=0.000102&amp;sourceID=14","0.000102")</f>
        <v>0.000102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HYPERLINK("http://141.218.60.56/~jnz1568/getInfo.php?workbook=14_04.xlsx&amp;sheet=U0&amp;row=2322&amp;col=6&amp;number=4.8&amp;sourceID=14","4.8")</f>
        <v>4.8</v>
      </c>
      <c r="G2322" s="4" t="str">
        <f>HYPERLINK("http://141.218.60.56/~jnz1568/getInfo.php?workbook=14_04.xlsx&amp;sheet=U0&amp;row=2322&amp;col=7&amp;number=0.000102&amp;sourceID=14","0.000102")</f>
        <v>0.000102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HYPERLINK("http://141.218.60.56/~jnz1568/getInfo.php?workbook=14_04.xlsx&amp;sheet=U0&amp;row=2323&amp;col=6&amp;number=4.9&amp;sourceID=14","4.9")</f>
        <v>4.9</v>
      </c>
      <c r="G2323" s="4" t="str">
        <f>HYPERLINK("http://141.218.60.56/~jnz1568/getInfo.php?workbook=14_04.xlsx&amp;sheet=U0&amp;row=2323&amp;col=7&amp;number=0.000103&amp;sourceID=14","0.000103")</f>
        <v>0.000103</v>
      </c>
    </row>
    <row r="2324" spans="1:7">
      <c r="A2324" s="3">
        <v>14</v>
      </c>
      <c r="B2324" s="3">
        <v>4</v>
      </c>
      <c r="C2324" s="3">
        <v>1</v>
      </c>
      <c r="D2324" s="3">
        <v>82</v>
      </c>
      <c r="E2324" s="3">
        <v>1</v>
      </c>
      <c r="F2324" s="4" t="str">
        <f>HYPERLINK("http://141.218.60.56/~jnz1568/getInfo.php?workbook=14_04.xlsx&amp;sheet=U0&amp;row=2324&amp;col=6&amp;number=3&amp;sourceID=14","3")</f>
        <v>3</v>
      </c>
      <c r="G2324" s="4" t="str">
        <f>HYPERLINK("http://141.218.60.56/~jnz1568/getInfo.php?workbook=14_04.xlsx&amp;sheet=U0&amp;row=2324&amp;col=7&amp;number=0.000641&amp;sourceID=14","0.000641")</f>
        <v>0.000641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HYPERLINK("http://141.218.60.56/~jnz1568/getInfo.php?workbook=14_04.xlsx&amp;sheet=U0&amp;row=2325&amp;col=6&amp;number=3.1&amp;sourceID=14","3.1")</f>
        <v>3.1</v>
      </c>
      <c r="G2325" s="4" t="str">
        <f>HYPERLINK("http://141.218.60.56/~jnz1568/getInfo.php?workbook=14_04.xlsx&amp;sheet=U0&amp;row=2325&amp;col=7&amp;number=0.000641&amp;sourceID=14","0.000641")</f>
        <v>0.000641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HYPERLINK("http://141.218.60.56/~jnz1568/getInfo.php?workbook=14_04.xlsx&amp;sheet=U0&amp;row=2326&amp;col=6&amp;number=3.2&amp;sourceID=14","3.2")</f>
        <v>3.2</v>
      </c>
      <c r="G2326" s="4" t="str">
        <f>HYPERLINK("http://141.218.60.56/~jnz1568/getInfo.php?workbook=14_04.xlsx&amp;sheet=U0&amp;row=2326&amp;col=7&amp;number=0.000641&amp;sourceID=14","0.000641")</f>
        <v>0.000641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HYPERLINK("http://141.218.60.56/~jnz1568/getInfo.php?workbook=14_04.xlsx&amp;sheet=U0&amp;row=2327&amp;col=6&amp;number=3.3&amp;sourceID=14","3.3")</f>
        <v>3.3</v>
      </c>
      <c r="G2327" s="4" t="str">
        <f>HYPERLINK("http://141.218.60.56/~jnz1568/getInfo.php?workbook=14_04.xlsx&amp;sheet=U0&amp;row=2327&amp;col=7&amp;number=0.000641&amp;sourceID=14","0.000641")</f>
        <v>0.000641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HYPERLINK("http://141.218.60.56/~jnz1568/getInfo.php?workbook=14_04.xlsx&amp;sheet=U0&amp;row=2328&amp;col=6&amp;number=3.4&amp;sourceID=14","3.4")</f>
        <v>3.4</v>
      </c>
      <c r="G2328" s="4" t="str">
        <f>HYPERLINK("http://141.218.60.56/~jnz1568/getInfo.php?workbook=14_04.xlsx&amp;sheet=U0&amp;row=2328&amp;col=7&amp;number=0.000642&amp;sourceID=14","0.000642")</f>
        <v>0.000642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HYPERLINK("http://141.218.60.56/~jnz1568/getInfo.php?workbook=14_04.xlsx&amp;sheet=U0&amp;row=2329&amp;col=6&amp;number=3.5&amp;sourceID=14","3.5")</f>
        <v>3.5</v>
      </c>
      <c r="G2329" s="4" t="str">
        <f>HYPERLINK("http://141.218.60.56/~jnz1568/getInfo.php?workbook=14_04.xlsx&amp;sheet=U0&amp;row=2329&amp;col=7&amp;number=0.000642&amp;sourceID=14","0.000642")</f>
        <v>0.000642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HYPERLINK("http://141.218.60.56/~jnz1568/getInfo.php?workbook=14_04.xlsx&amp;sheet=U0&amp;row=2330&amp;col=6&amp;number=3.6&amp;sourceID=14","3.6")</f>
        <v>3.6</v>
      </c>
      <c r="G2330" s="4" t="str">
        <f>HYPERLINK("http://141.218.60.56/~jnz1568/getInfo.php?workbook=14_04.xlsx&amp;sheet=U0&amp;row=2330&amp;col=7&amp;number=0.000642&amp;sourceID=14","0.000642")</f>
        <v>0.000642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HYPERLINK("http://141.218.60.56/~jnz1568/getInfo.php?workbook=14_04.xlsx&amp;sheet=U0&amp;row=2331&amp;col=6&amp;number=3.7&amp;sourceID=14","3.7")</f>
        <v>3.7</v>
      </c>
      <c r="G2331" s="4" t="str">
        <f>HYPERLINK("http://141.218.60.56/~jnz1568/getInfo.php?workbook=14_04.xlsx&amp;sheet=U0&amp;row=2331&amp;col=7&amp;number=0.000642&amp;sourceID=14","0.000642")</f>
        <v>0.000642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HYPERLINK("http://141.218.60.56/~jnz1568/getInfo.php?workbook=14_04.xlsx&amp;sheet=U0&amp;row=2332&amp;col=6&amp;number=3.8&amp;sourceID=14","3.8")</f>
        <v>3.8</v>
      </c>
      <c r="G2332" s="4" t="str">
        <f>HYPERLINK("http://141.218.60.56/~jnz1568/getInfo.php?workbook=14_04.xlsx&amp;sheet=U0&amp;row=2332&amp;col=7&amp;number=0.000643&amp;sourceID=14","0.000643")</f>
        <v>0.000643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HYPERLINK("http://141.218.60.56/~jnz1568/getInfo.php?workbook=14_04.xlsx&amp;sheet=U0&amp;row=2333&amp;col=6&amp;number=3.9&amp;sourceID=14","3.9")</f>
        <v>3.9</v>
      </c>
      <c r="G2333" s="4" t="str">
        <f>HYPERLINK("http://141.218.60.56/~jnz1568/getInfo.php?workbook=14_04.xlsx&amp;sheet=U0&amp;row=2333&amp;col=7&amp;number=0.000643&amp;sourceID=14","0.000643")</f>
        <v>0.000643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HYPERLINK("http://141.218.60.56/~jnz1568/getInfo.php?workbook=14_04.xlsx&amp;sheet=U0&amp;row=2334&amp;col=6&amp;number=4&amp;sourceID=14","4")</f>
        <v>4</v>
      </c>
      <c r="G2334" s="4" t="str">
        <f>HYPERLINK("http://141.218.60.56/~jnz1568/getInfo.php?workbook=14_04.xlsx&amp;sheet=U0&amp;row=2334&amp;col=7&amp;number=0.000644&amp;sourceID=14","0.000644")</f>
        <v>0.000644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HYPERLINK("http://141.218.60.56/~jnz1568/getInfo.php?workbook=14_04.xlsx&amp;sheet=U0&amp;row=2335&amp;col=6&amp;number=4.1&amp;sourceID=14","4.1")</f>
        <v>4.1</v>
      </c>
      <c r="G2335" s="4" t="str">
        <f>HYPERLINK("http://141.218.60.56/~jnz1568/getInfo.php?workbook=14_04.xlsx&amp;sheet=U0&amp;row=2335&amp;col=7&amp;number=0.000644&amp;sourceID=14","0.000644")</f>
        <v>0.000644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HYPERLINK("http://141.218.60.56/~jnz1568/getInfo.php?workbook=14_04.xlsx&amp;sheet=U0&amp;row=2336&amp;col=6&amp;number=4.2&amp;sourceID=14","4.2")</f>
        <v>4.2</v>
      </c>
      <c r="G2336" s="4" t="str">
        <f>HYPERLINK("http://141.218.60.56/~jnz1568/getInfo.php?workbook=14_04.xlsx&amp;sheet=U0&amp;row=2336&amp;col=7&amp;number=0.000645&amp;sourceID=14","0.000645")</f>
        <v>0.000645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HYPERLINK("http://141.218.60.56/~jnz1568/getInfo.php?workbook=14_04.xlsx&amp;sheet=U0&amp;row=2337&amp;col=6&amp;number=4.3&amp;sourceID=14","4.3")</f>
        <v>4.3</v>
      </c>
      <c r="G2337" s="4" t="str">
        <f>HYPERLINK("http://141.218.60.56/~jnz1568/getInfo.php?workbook=14_04.xlsx&amp;sheet=U0&amp;row=2337&amp;col=7&amp;number=0.000646&amp;sourceID=14","0.000646")</f>
        <v>0.000646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HYPERLINK("http://141.218.60.56/~jnz1568/getInfo.php?workbook=14_04.xlsx&amp;sheet=U0&amp;row=2338&amp;col=6&amp;number=4.4&amp;sourceID=14","4.4")</f>
        <v>4.4</v>
      </c>
      <c r="G2338" s="4" t="str">
        <f>HYPERLINK("http://141.218.60.56/~jnz1568/getInfo.php?workbook=14_04.xlsx&amp;sheet=U0&amp;row=2338&amp;col=7&amp;number=0.000648&amp;sourceID=14","0.000648")</f>
        <v>0.000648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HYPERLINK("http://141.218.60.56/~jnz1568/getInfo.php?workbook=14_04.xlsx&amp;sheet=U0&amp;row=2339&amp;col=6&amp;number=4.5&amp;sourceID=14","4.5")</f>
        <v>4.5</v>
      </c>
      <c r="G2339" s="4" t="str">
        <f>HYPERLINK("http://141.218.60.56/~jnz1568/getInfo.php?workbook=14_04.xlsx&amp;sheet=U0&amp;row=2339&amp;col=7&amp;number=0.00065&amp;sourceID=14","0.00065")</f>
        <v>0.00065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HYPERLINK("http://141.218.60.56/~jnz1568/getInfo.php?workbook=14_04.xlsx&amp;sheet=U0&amp;row=2340&amp;col=6&amp;number=4.6&amp;sourceID=14","4.6")</f>
        <v>4.6</v>
      </c>
      <c r="G2340" s="4" t="str">
        <f>HYPERLINK("http://141.218.60.56/~jnz1568/getInfo.php?workbook=14_04.xlsx&amp;sheet=U0&amp;row=2340&amp;col=7&amp;number=0.000652&amp;sourceID=14","0.000652")</f>
        <v>0.000652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HYPERLINK("http://141.218.60.56/~jnz1568/getInfo.php?workbook=14_04.xlsx&amp;sheet=U0&amp;row=2341&amp;col=6&amp;number=4.7&amp;sourceID=14","4.7")</f>
        <v>4.7</v>
      </c>
      <c r="G2341" s="4" t="str">
        <f>HYPERLINK("http://141.218.60.56/~jnz1568/getInfo.php?workbook=14_04.xlsx&amp;sheet=U0&amp;row=2341&amp;col=7&amp;number=0.000655&amp;sourceID=14","0.000655")</f>
        <v>0.000655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HYPERLINK("http://141.218.60.56/~jnz1568/getInfo.php?workbook=14_04.xlsx&amp;sheet=U0&amp;row=2342&amp;col=6&amp;number=4.8&amp;sourceID=14","4.8")</f>
        <v>4.8</v>
      </c>
      <c r="G2342" s="4" t="str">
        <f>HYPERLINK("http://141.218.60.56/~jnz1568/getInfo.php?workbook=14_04.xlsx&amp;sheet=U0&amp;row=2342&amp;col=7&amp;number=0.000658&amp;sourceID=14","0.000658")</f>
        <v>0.000658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HYPERLINK("http://141.218.60.56/~jnz1568/getInfo.php?workbook=14_04.xlsx&amp;sheet=U0&amp;row=2343&amp;col=6&amp;number=4.9&amp;sourceID=14","4.9")</f>
        <v>4.9</v>
      </c>
      <c r="G2343" s="4" t="str">
        <f>HYPERLINK("http://141.218.60.56/~jnz1568/getInfo.php?workbook=14_04.xlsx&amp;sheet=U0&amp;row=2343&amp;col=7&amp;number=0.000663&amp;sourceID=14","0.000663")</f>
        <v>0.000663</v>
      </c>
    </row>
    <row r="2344" spans="1:7">
      <c r="A2344" s="3">
        <v>14</v>
      </c>
      <c r="B2344" s="3">
        <v>4</v>
      </c>
      <c r="C2344" s="3">
        <v>1</v>
      </c>
      <c r="D2344" s="3">
        <v>83</v>
      </c>
      <c r="E2344" s="3">
        <v>1</v>
      </c>
      <c r="F2344" s="4" t="str">
        <f>HYPERLINK("http://141.218.60.56/~jnz1568/getInfo.php?workbook=14_04.xlsx&amp;sheet=U0&amp;row=2344&amp;col=6&amp;number=3&amp;sourceID=14","3")</f>
        <v>3</v>
      </c>
      <c r="G2344" s="4" t="str">
        <f>HYPERLINK("http://141.218.60.56/~jnz1568/getInfo.php?workbook=14_04.xlsx&amp;sheet=U0&amp;row=2344&amp;col=7&amp;number=0.000459&amp;sourceID=14","0.000459")</f>
        <v>0.000459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HYPERLINK("http://141.218.60.56/~jnz1568/getInfo.php?workbook=14_04.xlsx&amp;sheet=U0&amp;row=2345&amp;col=6&amp;number=3.1&amp;sourceID=14","3.1")</f>
        <v>3.1</v>
      </c>
      <c r="G2345" s="4" t="str">
        <f>HYPERLINK("http://141.218.60.56/~jnz1568/getInfo.php?workbook=14_04.xlsx&amp;sheet=U0&amp;row=2345&amp;col=7&amp;number=0.000459&amp;sourceID=14","0.000459")</f>
        <v>0.000459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HYPERLINK("http://141.218.60.56/~jnz1568/getInfo.php?workbook=14_04.xlsx&amp;sheet=U0&amp;row=2346&amp;col=6&amp;number=3.2&amp;sourceID=14","3.2")</f>
        <v>3.2</v>
      </c>
      <c r="G2346" s="4" t="str">
        <f>HYPERLINK("http://141.218.60.56/~jnz1568/getInfo.php?workbook=14_04.xlsx&amp;sheet=U0&amp;row=2346&amp;col=7&amp;number=0.000459&amp;sourceID=14","0.000459")</f>
        <v>0.000459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HYPERLINK("http://141.218.60.56/~jnz1568/getInfo.php?workbook=14_04.xlsx&amp;sheet=U0&amp;row=2347&amp;col=6&amp;number=3.3&amp;sourceID=14","3.3")</f>
        <v>3.3</v>
      </c>
      <c r="G2347" s="4" t="str">
        <f>HYPERLINK("http://141.218.60.56/~jnz1568/getInfo.php?workbook=14_04.xlsx&amp;sheet=U0&amp;row=2347&amp;col=7&amp;number=0.000459&amp;sourceID=14","0.000459")</f>
        <v>0.000459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HYPERLINK("http://141.218.60.56/~jnz1568/getInfo.php?workbook=14_04.xlsx&amp;sheet=U0&amp;row=2348&amp;col=6&amp;number=3.4&amp;sourceID=14","3.4")</f>
        <v>3.4</v>
      </c>
      <c r="G2348" s="4" t="str">
        <f>HYPERLINK("http://141.218.60.56/~jnz1568/getInfo.php?workbook=14_04.xlsx&amp;sheet=U0&amp;row=2348&amp;col=7&amp;number=0.000459&amp;sourceID=14","0.000459")</f>
        <v>0.000459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HYPERLINK("http://141.218.60.56/~jnz1568/getInfo.php?workbook=14_04.xlsx&amp;sheet=U0&amp;row=2349&amp;col=6&amp;number=3.5&amp;sourceID=14","3.5")</f>
        <v>3.5</v>
      </c>
      <c r="G2349" s="4" t="str">
        <f>HYPERLINK("http://141.218.60.56/~jnz1568/getInfo.php?workbook=14_04.xlsx&amp;sheet=U0&amp;row=2349&amp;col=7&amp;number=0.000459&amp;sourceID=14","0.000459")</f>
        <v>0.000459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HYPERLINK("http://141.218.60.56/~jnz1568/getInfo.php?workbook=14_04.xlsx&amp;sheet=U0&amp;row=2350&amp;col=6&amp;number=3.6&amp;sourceID=14","3.6")</f>
        <v>3.6</v>
      </c>
      <c r="G2350" s="4" t="str">
        <f>HYPERLINK("http://141.218.60.56/~jnz1568/getInfo.php?workbook=14_04.xlsx&amp;sheet=U0&amp;row=2350&amp;col=7&amp;number=0.000459&amp;sourceID=14","0.000459")</f>
        <v>0.000459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HYPERLINK("http://141.218.60.56/~jnz1568/getInfo.php?workbook=14_04.xlsx&amp;sheet=U0&amp;row=2351&amp;col=6&amp;number=3.7&amp;sourceID=14","3.7")</f>
        <v>3.7</v>
      </c>
      <c r="G2351" s="4" t="str">
        <f>HYPERLINK("http://141.218.60.56/~jnz1568/getInfo.php?workbook=14_04.xlsx&amp;sheet=U0&amp;row=2351&amp;col=7&amp;number=0.000459&amp;sourceID=14","0.000459")</f>
        <v>0.000459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HYPERLINK("http://141.218.60.56/~jnz1568/getInfo.php?workbook=14_04.xlsx&amp;sheet=U0&amp;row=2352&amp;col=6&amp;number=3.8&amp;sourceID=14","3.8")</f>
        <v>3.8</v>
      </c>
      <c r="G2352" s="4" t="str">
        <f>HYPERLINK("http://141.218.60.56/~jnz1568/getInfo.php?workbook=14_04.xlsx&amp;sheet=U0&amp;row=2352&amp;col=7&amp;number=0.000459&amp;sourceID=14","0.000459")</f>
        <v>0.000459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HYPERLINK("http://141.218.60.56/~jnz1568/getInfo.php?workbook=14_04.xlsx&amp;sheet=U0&amp;row=2353&amp;col=6&amp;number=3.9&amp;sourceID=14","3.9")</f>
        <v>3.9</v>
      </c>
      <c r="G2353" s="4" t="str">
        <f>HYPERLINK("http://141.218.60.56/~jnz1568/getInfo.php?workbook=14_04.xlsx&amp;sheet=U0&amp;row=2353&amp;col=7&amp;number=0.000458&amp;sourceID=14","0.000458")</f>
        <v>0.000458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HYPERLINK("http://141.218.60.56/~jnz1568/getInfo.php?workbook=14_04.xlsx&amp;sheet=U0&amp;row=2354&amp;col=6&amp;number=4&amp;sourceID=14","4")</f>
        <v>4</v>
      </c>
      <c r="G2354" s="4" t="str">
        <f>HYPERLINK("http://141.218.60.56/~jnz1568/getInfo.php?workbook=14_04.xlsx&amp;sheet=U0&amp;row=2354&amp;col=7&amp;number=0.000458&amp;sourceID=14","0.000458")</f>
        <v>0.000458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HYPERLINK("http://141.218.60.56/~jnz1568/getInfo.php?workbook=14_04.xlsx&amp;sheet=U0&amp;row=2355&amp;col=6&amp;number=4.1&amp;sourceID=14","4.1")</f>
        <v>4.1</v>
      </c>
      <c r="G2355" s="4" t="str">
        <f>HYPERLINK("http://141.218.60.56/~jnz1568/getInfo.php?workbook=14_04.xlsx&amp;sheet=U0&amp;row=2355&amp;col=7&amp;number=0.000458&amp;sourceID=14","0.000458")</f>
        <v>0.000458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HYPERLINK("http://141.218.60.56/~jnz1568/getInfo.php?workbook=14_04.xlsx&amp;sheet=U0&amp;row=2356&amp;col=6&amp;number=4.2&amp;sourceID=14","4.2")</f>
        <v>4.2</v>
      </c>
      <c r="G2356" s="4" t="str">
        <f>HYPERLINK("http://141.218.60.56/~jnz1568/getInfo.php?workbook=14_04.xlsx&amp;sheet=U0&amp;row=2356&amp;col=7&amp;number=0.000458&amp;sourceID=14","0.000458")</f>
        <v>0.000458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HYPERLINK("http://141.218.60.56/~jnz1568/getInfo.php?workbook=14_04.xlsx&amp;sheet=U0&amp;row=2357&amp;col=6&amp;number=4.3&amp;sourceID=14","4.3")</f>
        <v>4.3</v>
      </c>
      <c r="G2357" s="4" t="str">
        <f>HYPERLINK("http://141.218.60.56/~jnz1568/getInfo.php?workbook=14_04.xlsx&amp;sheet=U0&amp;row=2357&amp;col=7&amp;number=0.000457&amp;sourceID=14","0.000457")</f>
        <v>0.000457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HYPERLINK("http://141.218.60.56/~jnz1568/getInfo.php?workbook=14_04.xlsx&amp;sheet=U0&amp;row=2358&amp;col=6&amp;number=4.4&amp;sourceID=14","4.4")</f>
        <v>4.4</v>
      </c>
      <c r="G2358" s="4" t="str">
        <f>HYPERLINK("http://141.218.60.56/~jnz1568/getInfo.php?workbook=14_04.xlsx&amp;sheet=U0&amp;row=2358&amp;col=7&amp;number=0.000457&amp;sourceID=14","0.000457")</f>
        <v>0.000457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HYPERLINK("http://141.218.60.56/~jnz1568/getInfo.php?workbook=14_04.xlsx&amp;sheet=U0&amp;row=2359&amp;col=6&amp;number=4.5&amp;sourceID=14","4.5")</f>
        <v>4.5</v>
      </c>
      <c r="G2359" s="4" t="str">
        <f>HYPERLINK("http://141.218.60.56/~jnz1568/getInfo.php?workbook=14_04.xlsx&amp;sheet=U0&amp;row=2359&amp;col=7&amp;number=0.000456&amp;sourceID=14","0.000456")</f>
        <v>0.000456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HYPERLINK("http://141.218.60.56/~jnz1568/getInfo.php?workbook=14_04.xlsx&amp;sheet=U0&amp;row=2360&amp;col=6&amp;number=4.6&amp;sourceID=14","4.6")</f>
        <v>4.6</v>
      </c>
      <c r="G2360" s="4" t="str">
        <f>HYPERLINK("http://141.218.60.56/~jnz1568/getInfo.php?workbook=14_04.xlsx&amp;sheet=U0&amp;row=2360&amp;col=7&amp;number=0.000456&amp;sourceID=14","0.000456")</f>
        <v>0.000456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HYPERLINK("http://141.218.60.56/~jnz1568/getInfo.php?workbook=14_04.xlsx&amp;sheet=U0&amp;row=2361&amp;col=6&amp;number=4.7&amp;sourceID=14","4.7")</f>
        <v>4.7</v>
      </c>
      <c r="G2361" s="4" t="str">
        <f>HYPERLINK("http://141.218.60.56/~jnz1568/getInfo.php?workbook=14_04.xlsx&amp;sheet=U0&amp;row=2361&amp;col=7&amp;number=0.000455&amp;sourceID=14","0.000455")</f>
        <v>0.000455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HYPERLINK("http://141.218.60.56/~jnz1568/getInfo.php?workbook=14_04.xlsx&amp;sheet=U0&amp;row=2362&amp;col=6&amp;number=4.8&amp;sourceID=14","4.8")</f>
        <v>4.8</v>
      </c>
      <c r="G2362" s="4" t="str">
        <f>HYPERLINK("http://141.218.60.56/~jnz1568/getInfo.php?workbook=14_04.xlsx&amp;sheet=U0&amp;row=2362&amp;col=7&amp;number=0.000454&amp;sourceID=14","0.000454")</f>
        <v>0.000454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HYPERLINK("http://141.218.60.56/~jnz1568/getInfo.php?workbook=14_04.xlsx&amp;sheet=U0&amp;row=2363&amp;col=6&amp;number=4.9&amp;sourceID=14","4.9")</f>
        <v>4.9</v>
      </c>
      <c r="G2363" s="4" t="str">
        <f>HYPERLINK("http://141.218.60.56/~jnz1568/getInfo.php?workbook=14_04.xlsx&amp;sheet=U0&amp;row=2363&amp;col=7&amp;number=0.000452&amp;sourceID=14","0.000452")</f>
        <v>0.000452</v>
      </c>
    </row>
    <row r="2364" spans="1:7">
      <c r="A2364" s="3">
        <v>14</v>
      </c>
      <c r="B2364" s="3">
        <v>4</v>
      </c>
      <c r="C2364" s="3">
        <v>1</v>
      </c>
      <c r="D2364" s="3">
        <v>84</v>
      </c>
      <c r="E2364" s="3">
        <v>1</v>
      </c>
      <c r="F2364" s="4" t="str">
        <f>HYPERLINK("http://141.218.60.56/~jnz1568/getInfo.php?workbook=14_04.xlsx&amp;sheet=U0&amp;row=2364&amp;col=6&amp;number=3&amp;sourceID=14","3")</f>
        <v>3</v>
      </c>
      <c r="G2364" s="4" t="str">
        <f>HYPERLINK("http://141.218.60.56/~jnz1568/getInfo.php?workbook=14_04.xlsx&amp;sheet=U0&amp;row=2364&amp;col=7&amp;number=0.00239&amp;sourceID=14","0.00239")</f>
        <v>0.00239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HYPERLINK("http://141.218.60.56/~jnz1568/getInfo.php?workbook=14_04.xlsx&amp;sheet=U0&amp;row=2365&amp;col=6&amp;number=3.1&amp;sourceID=14","3.1")</f>
        <v>3.1</v>
      </c>
      <c r="G2365" s="4" t="str">
        <f>HYPERLINK("http://141.218.60.56/~jnz1568/getInfo.php?workbook=14_04.xlsx&amp;sheet=U0&amp;row=2365&amp;col=7&amp;number=0.00239&amp;sourceID=14","0.00239")</f>
        <v>0.00239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HYPERLINK("http://141.218.60.56/~jnz1568/getInfo.php?workbook=14_04.xlsx&amp;sheet=U0&amp;row=2366&amp;col=6&amp;number=3.2&amp;sourceID=14","3.2")</f>
        <v>3.2</v>
      </c>
      <c r="G2366" s="4" t="str">
        <f>HYPERLINK("http://141.218.60.56/~jnz1568/getInfo.php?workbook=14_04.xlsx&amp;sheet=U0&amp;row=2366&amp;col=7&amp;number=0.00239&amp;sourceID=14","0.00239")</f>
        <v>0.00239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HYPERLINK("http://141.218.60.56/~jnz1568/getInfo.php?workbook=14_04.xlsx&amp;sheet=U0&amp;row=2367&amp;col=6&amp;number=3.3&amp;sourceID=14","3.3")</f>
        <v>3.3</v>
      </c>
      <c r="G2367" s="4" t="str">
        <f>HYPERLINK("http://141.218.60.56/~jnz1568/getInfo.php?workbook=14_04.xlsx&amp;sheet=U0&amp;row=2367&amp;col=7&amp;number=0.00239&amp;sourceID=14","0.00239")</f>
        <v>0.00239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HYPERLINK("http://141.218.60.56/~jnz1568/getInfo.php?workbook=14_04.xlsx&amp;sheet=U0&amp;row=2368&amp;col=6&amp;number=3.4&amp;sourceID=14","3.4")</f>
        <v>3.4</v>
      </c>
      <c r="G2368" s="4" t="str">
        <f>HYPERLINK("http://141.218.60.56/~jnz1568/getInfo.php?workbook=14_04.xlsx&amp;sheet=U0&amp;row=2368&amp;col=7&amp;number=0.00239&amp;sourceID=14","0.00239")</f>
        <v>0.00239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HYPERLINK("http://141.218.60.56/~jnz1568/getInfo.php?workbook=14_04.xlsx&amp;sheet=U0&amp;row=2369&amp;col=6&amp;number=3.5&amp;sourceID=14","3.5")</f>
        <v>3.5</v>
      </c>
      <c r="G2369" s="4" t="str">
        <f>HYPERLINK("http://141.218.60.56/~jnz1568/getInfo.php?workbook=14_04.xlsx&amp;sheet=U0&amp;row=2369&amp;col=7&amp;number=0.00239&amp;sourceID=14","0.00239")</f>
        <v>0.00239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HYPERLINK("http://141.218.60.56/~jnz1568/getInfo.php?workbook=14_04.xlsx&amp;sheet=U0&amp;row=2370&amp;col=6&amp;number=3.6&amp;sourceID=14","3.6")</f>
        <v>3.6</v>
      </c>
      <c r="G2370" s="4" t="str">
        <f>HYPERLINK("http://141.218.60.56/~jnz1568/getInfo.php?workbook=14_04.xlsx&amp;sheet=U0&amp;row=2370&amp;col=7&amp;number=0.00239&amp;sourceID=14","0.00239")</f>
        <v>0.00239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HYPERLINK("http://141.218.60.56/~jnz1568/getInfo.php?workbook=14_04.xlsx&amp;sheet=U0&amp;row=2371&amp;col=6&amp;number=3.7&amp;sourceID=14","3.7")</f>
        <v>3.7</v>
      </c>
      <c r="G2371" s="4" t="str">
        <f>HYPERLINK("http://141.218.60.56/~jnz1568/getInfo.php?workbook=14_04.xlsx&amp;sheet=U0&amp;row=2371&amp;col=7&amp;number=0.00239&amp;sourceID=14","0.00239")</f>
        <v>0.00239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HYPERLINK("http://141.218.60.56/~jnz1568/getInfo.php?workbook=14_04.xlsx&amp;sheet=U0&amp;row=2372&amp;col=6&amp;number=3.8&amp;sourceID=14","3.8")</f>
        <v>3.8</v>
      </c>
      <c r="G2372" s="4" t="str">
        <f>HYPERLINK("http://141.218.60.56/~jnz1568/getInfo.php?workbook=14_04.xlsx&amp;sheet=U0&amp;row=2372&amp;col=7&amp;number=0.00239&amp;sourceID=14","0.00239")</f>
        <v>0.00239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HYPERLINK("http://141.218.60.56/~jnz1568/getInfo.php?workbook=14_04.xlsx&amp;sheet=U0&amp;row=2373&amp;col=6&amp;number=3.9&amp;sourceID=14","3.9")</f>
        <v>3.9</v>
      </c>
      <c r="G2373" s="4" t="str">
        <f>HYPERLINK("http://141.218.60.56/~jnz1568/getInfo.php?workbook=14_04.xlsx&amp;sheet=U0&amp;row=2373&amp;col=7&amp;number=0.00239&amp;sourceID=14","0.00239")</f>
        <v>0.00239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HYPERLINK("http://141.218.60.56/~jnz1568/getInfo.php?workbook=14_04.xlsx&amp;sheet=U0&amp;row=2374&amp;col=6&amp;number=4&amp;sourceID=14","4")</f>
        <v>4</v>
      </c>
      <c r="G2374" s="4" t="str">
        <f>HYPERLINK("http://141.218.60.56/~jnz1568/getInfo.php?workbook=14_04.xlsx&amp;sheet=U0&amp;row=2374&amp;col=7&amp;number=0.00239&amp;sourceID=14","0.00239")</f>
        <v>0.00239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HYPERLINK("http://141.218.60.56/~jnz1568/getInfo.php?workbook=14_04.xlsx&amp;sheet=U0&amp;row=2375&amp;col=6&amp;number=4.1&amp;sourceID=14","4.1")</f>
        <v>4.1</v>
      </c>
      <c r="G2375" s="4" t="str">
        <f>HYPERLINK("http://141.218.60.56/~jnz1568/getInfo.php?workbook=14_04.xlsx&amp;sheet=U0&amp;row=2375&amp;col=7&amp;number=0.00239&amp;sourceID=14","0.00239")</f>
        <v>0.00239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HYPERLINK("http://141.218.60.56/~jnz1568/getInfo.php?workbook=14_04.xlsx&amp;sheet=U0&amp;row=2376&amp;col=6&amp;number=4.2&amp;sourceID=14","4.2")</f>
        <v>4.2</v>
      </c>
      <c r="G2376" s="4" t="str">
        <f>HYPERLINK("http://141.218.60.56/~jnz1568/getInfo.php?workbook=14_04.xlsx&amp;sheet=U0&amp;row=2376&amp;col=7&amp;number=0.00239&amp;sourceID=14","0.00239")</f>
        <v>0.00239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HYPERLINK("http://141.218.60.56/~jnz1568/getInfo.php?workbook=14_04.xlsx&amp;sheet=U0&amp;row=2377&amp;col=6&amp;number=4.3&amp;sourceID=14","4.3")</f>
        <v>4.3</v>
      </c>
      <c r="G2377" s="4" t="str">
        <f>HYPERLINK("http://141.218.60.56/~jnz1568/getInfo.php?workbook=14_04.xlsx&amp;sheet=U0&amp;row=2377&amp;col=7&amp;number=0.00239&amp;sourceID=14","0.00239")</f>
        <v>0.00239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HYPERLINK("http://141.218.60.56/~jnz1568/getInfo.php?workbook=14_04.xlsx&amp;sheet=U0&amp;row=2378&amp;col=6&amp;number=4.4&amp;sourceID=14","4.4")</f>
        <v>4.4</v>
      </c>
      <c r="G2378" s="4" t="str">
        <f>HYPERLINK("http://141.218.60.56/~jnz1568/getInfo.php?workbook=14_04.xlsx&amp;sheet=U0&amp;row=2378&amp;col=7&amp;number=0.00239&amp;sourceID=14","0.00239")</f>
        <v>0.00239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HYPERLINK("http://141.218.60.56/~jnz1568/getInfo.php?workbook=14_04.xlsx&amp;sheet=U0&amp;row=2379&amp;col=6&amp;number=4.5&amp;sourceID=14","4.5")</f>
        <v>4.5</v>
      </c>
      <c r="G2379" s="4" t="str">
        <f>HYPERLINK("http://141.218.60.56/~jnz1568/getInfo.php?workbook=14_04.xlsx&amp;sheet=U0&amp;row=2379&amp;col=7&amp;number=0.00239&amp;sourceID=14","0.00239")</f>
        <v>0.00239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HYPERLINK("http://141.218.60.56/~jnz1568/getInfo.php?workbook=14_04.xlsx&amp;sheet=U0&amp;row=2380&amp;col=6&amp;number=4.6&amp;sourceID=14","4.6")</f>
        <v>4.6</v>
      </c>
      <c r="G2380" s="4" t="str">
        <f>HYPERLINK("http://141.218.60.56/~jnz1568/getInfo.php?workbook=14_04.xlsx&amp;sheet=U0&amp;row=2380&amp;col=7&amp;number=0.0024&amp;sourceID=14","0.0024")</f>
        <v>0.0024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HYPERLINK("http://141.218.60.56/~jnz1568/getInfo.php?workbook=14_04.xlsx&amp;sheet=U0&amp;row=2381&amp;col=6&amp;number=4.7&amp;sourceID=14","4.7")</f>
        <v>4.7</v>
      </c>
      <c r="G2381" s="4" t="str">
        <f>HYPERLINK("http://141.218.60.56/~jnz1568/getInfo.php?workbook=14_04.xlsx&amp;sheet=U0&amp;row=2381&amp;col=7&amp;number=0.0024&amp;sourceID=14","0.0024")</f>
        <v>0.0024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HYPERLINK("http://141.218.60.56/~jnz1568/getInfo.php?workbook=14_04.xlsx&amp;sheet=U0&amp;row=2382&amp;col=6&amp;number=4.8&amp;sourceID=14","4.8")</f>
        <v>4.8</v>
      </c>
      <c r="G2382" s="4" t="str">
        <f>HYPERLINK("http://141.218.60.56/~jnz1568/getInfo.php?workbook=14_04.xlsx&amp;sheet=U0&amp;row=2382&amp;col=7&amp;number=0.0024&amp;sourceID=14","0.0024")</f>
        <v>0.0024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HYPERLINK("http://141.218.60.56/~jnz1568/getInfo.php?workbook=14_04.xlsx&amp;sheet=U0&amp;row=2383&amp;col=6&amp;number=4.9&amp;sourceID=14","4.9")</f>
        <v>4.9</v>
      </c>
      <c r="G2383" s="4" t="str">
        <f>HYPERLINK("http://141.218.60.56/~jnz1568/getInfo.php?workbook=14_04.xlsx&amp;sheet=U0&amp;row=2383&amp;col=7&amp;number=0.00241&amp;sourceID=14","0.00241")</f>
        <v>0.00241</v>
      </c>
    </row>
    <row r="2384" spans="1:7">
      <c r="A2384" s="3">
        <v>14</v>
      </c>
      <c r="B2384" s="3">
        <v>4</v>
      </c>
      <c r="C2384" s="3">
        <v>1</v>
      </c>
      <c r="D2384" s="3">
        <v>85</v>
      </c>
      <c r="E2384" s="3">
        <v>1</v>
      </c>
      <c r="F2384" s="4" t="str">
        <f>HYPERLINK("http://141.218.60.56/~jnz1568/getInfo.php?workbook=14_04.xlsx&amp;sheet=U0&amp;row=2384&amp;col=6&amp;number=3&amp;sourceID=14","3")</f>
        <v>3</v>
      </c>
      <c r="G2384" s="4" t="str">
        <f>HYPERLINK("http://141.218.60.56/~jnz1568/getInfo.php?workbook=14_04.xlsx&amp;sheet=U0&amp;row=2384&amp;col=7&amp;number=0.00021&amp;sourceID=14","0.00021")</f>
        <v>0.00021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HYPERLINK("http://141.218.60.56/~jnz1568/getInfo.php?workbook=14_04.xlsx&amp;sheet=U0&amp;row=2385&amp;col=6&amp;number=3.1&amp;sourceID=14","3.1")</f>
        <v>3.1</v>
      </c>
      <c r="G2385" s="4" t="str">
        <f>HYPERLINK("http://141.218.60.56/~jnz1568/getInfo.php?workbook=14_04.xlsx&amp;sheet=U0&amp;row=2385&amp;col=7&amp;number=0.00021&amp;sourceID=14","0.00021")</f>
        <v>0.00021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HYPERLINK("http://141.218.60.56/~jnz1568/getInfo.php?workbook=14_04.xlsx&amp;sheet=U0&amp;row=2386&amp;col=6&amp;number=3.2&amp;sourceID=14","3.2")</f>
        <v>3.2</v>
      </c>
      <c r="G2386" s="4" t="str">
        <f>HYPERLINK("http://141.218.60.56/~jnz1568/getInfo.php?workbook=14_04.xlsx&amp;sheet=U0&amp;row=2386&amp;col=7&amp;number=0.00021&amp;sourceID=14","0.00021")</f>
        <v>0.00021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HYPERLINK("http://141.218.60.56/~jnz1568/getInfo.php?workbook=14_04.xlsx&amp;sheet=U0&amp;row=2387&amp;col=6&amp;number=3.3&amp;sourceID=14","3.3")</f>
        <v>3.3</v>
      </c>
      <c r="G2387" s="4" t="str">
        <f>HYPERLINK("http://141.218.60.56/~jnz1568/getInfo.php?workbook=14_04.xlsx&amp;sheet=U0&amp;row=2387&amp;col=7&amp;number=0.00021&amp;sourceID=14","0.00021")</f>
        <v>0.00021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HYPERLINK("http://141.218.60.56/~jnz1568/getInfo.php?workbook=14_04.xlsx&amp;sheet=U0&amp;row=2388&amp;col=6&amp;number=3.4&amp;sourceID=14","3.4")</f>
        <v>3.4</v>
      </c>
      <c r="G2388" s="4" t="str">
        <f>HYPERLINK("http://141.218.60.56/~jnz1568/getInfo.php?workbook=14_04.xlsx&amp;sheet=U0&amp;row=2388&amp;col=7&amp;number=0.00021&amp;sourceID=14","0.00021")</f>
        <v>0.00021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HYPERLINK("http://141.218.60.56/~jnz1568/getInfo.php?workbook=14_04.xlsx&amp;sheet=U0&amp;row=2389&amp;col=6&amp;number=3.5&amp;sourceID=14","3.5")</f>
        <v>3.5</v>
      </c>
      <c r="G2389" s="4" t="str">
        <f>HYPERLINK("http://141.218.60.56/~jnz1568/getInfo.php?workbook=14_04.xlsx&amp;sheet=U0&amp;row=2389&amp;col=7&amp;number=0.00021&amp;sourceID=14","0.00021")</f>
        <v>0.00021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HYPERLINK("http://141.218.60.56/~jnz1568/getInfo.php?workbook=14_04.xlsx&amp;sheet=U0&amp;row=2390&amp;col=6&amp;number=3.6&amp;sourceID=14","3.6")</f>
        <v>3.6</v>
      </c>
      <c r="G2390" s="4" t="str">
        <f>HYPERLINK("http://141.218.60.56/~jnz1568/getInfo.php?workbook=14_04.xlsx&amp;sheet=U0&amp;row=2390&amp;col=7&amp;number=0.00021&amp;sourceID=14","0.00021")</f>
        <v>0.00021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HYPERLINK("http://141.218.60.56/~jnz1568/getInfo.php?workbook=14_04.xlsx&amp;sheet=U0&amp;row=2391&amp;col=6&amp;number=3.7&amp;sourceID=14","3.7")</f>
        <v>3.7</v>
      </c>
      <c r="G2391" s="4" t="str">
        <f>HYPERLINK("http://141.218.60.56/~jnz1568/getInfo.php?workbook=14_04.xlsx&amp;sheet=U0&amp;row=2391&amp;col=7&amp;number=0.00021&amp;sourceID=14","0.00021")</f>
        <v>0.00021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HYPERLINK("http://141.218.60.56/~jnz1568/getInfo.php?workbook=14_04.xlsx&amp;sheet=U0&amp;row=2392&amp;col=6&amp;number=3.8&amp;sourceID=14","3.8")</f>
        <v>3.8</v>
      </c>
      <c r="G2392" s="4" t="str">
        <f>HYPERLINK("http://141.218.60.56/~jnz1568/getInfo.php?workbook=14_04.xlsx&amp;sheet=U0&amp;row=2392&amp;col=7&amp;number=0.00021&amp;sourceID=14","0.00021")</f>
        <v>0.00021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HYPERLINK("http://141.218.60.56/~jnz1568/getInfo.php?workbook=14_04.xlsx&amp;sheet=U0&amp;row=2393&amp;col=6&amp;number=3.9&amp;sourceID=14","3.9")</f>
        <v>3.9</v>
      </c>
      <c r="G2393" s="4" t="str">
        <f>HYPERLINK("http://141.218.60.56/~jnz1568/getInfo.php?workbook=14_04.xlsx&amp;sheet=U0&amp;row=2393&amp;col=7&amp;number=0.000209&amp;sourceID=14","0.000209")</f>
        <v>0.000209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HYPERLINK("http://141.218.60.56/~jnz1568/getInfo.php?workbook=14_04.xlsx&amp;sheet=U0&amp;row=2394&amp;col=6&amp;number=4&amp;sourceID=14","4")</f>
        <v>4</v>
      </c>
      <c r="G2394" s="4" t="str">
        <f>HYPERLINK("http://141.218.60.56/~jnz1568/getInfo.php?workbook=14_04.xlsx&amp;sheet=U0&amp;row=2394&amp;col=7&amp;number=0.000209&amp;sourceID=14","0.000209")</f>
        <v>0.000209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HYPERLINK("http://141.218.60.56/~jnz1568/getInfo.php?workbook=14_04.xlsx&amp;sheet=U0&amp;row=2395&amp;col=6&amp;number=4.1&amp;sourceID=14","4.1")</f>
        <v>4.1</v>
      </c>
      <c r="G2395" s="4" t="str">
        <f>HYPERLINK("http://141.218.60.56/~jnz1568/getInfo.php?workbook=14_04.xlsx&amp;sheet=U0&amp;row=2395&amp;col=7&amp;number=0.000209&amp;sourceID=14","0.000209")</f>
        <v>0.000209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HYPERLINK("http://141.218.60.56/~jnz1568/getInfo.php?workbook=14_04.xlsx&amp;sheet=U0&amp;row=2396&amp;col=6&amp;number=4.2&amp;sourceID=14","4.2")</f>
        <v>4.2</v>
      </c>
      <c r="G2396" s="4" t="str">
        <f>HYPERLINK("http://141.218.60.56/~jnz1568/getInfo.php?workbook=14_04.xlsx&amp;sheet=U0&amp;row=2396&amp;col=7&amp;number=0.000209&amp;sourceID=14","0.000209")</f>
        <v>0.000209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HYPERLINK("http://141.218.60.56/~jnz1568/getInfo.php?workbook=14_04.xlsx&amp;sheet=U0&amp;row=2397&amp;col=6&amp;number=4.3&amp;sourceID=14","4.3")</f>
        <v>4.3</v>
      </c>
      <c r="G2397" s="4" t="str">
        <f>HYPERLINK("http://141.218.60.56/~jnz1568/getInfo.php?workbook=14_04.xlsx&amp;sheet=U0&amp;row=2397&amp;col=7&amp;number=0.000209&amp;sourceID=14","0.000209")</f>
        <v>0.000209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HYPERLINK("http://141.218.60.56/~jnz1568/getInfo.php?workbook=14_04.xlsx&amp;sheet=U0&amp;row=2398&amp;col=6&amp;number=4.4&amp;sourceID=14","4.4")</f>
        <v>4.4</v>
      </c>
      <c r="G2398" s="4" t="str">
        <f>HYPERLINK("http://141.218.60.56/~jnz1568/getInfo.php?workbook=14_04.xlsx&amp;sheet=U0&amp;row=2398&amp;col=7&amp;number=0.000208&amp;sourceID=14","0.000208")</f>
        <v>0.000208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HYPERLINK("http://141.218.60.56/~jnz1568/getInfo.php?workbook=14_04.xlsx&amp;sheet=U0&amp;row=2399&amp;col=6&amp;number=4.5&amp;sourceID=14","4.5")</f>
        <v>4.5</v>
      </c>
      <c r="G2399" s="4" t="str">
        <f>HYPERLINK("http://141.218.60.56/~jnz1568/getInfo.php?workbook=14_04.xlsx&amp;sheet=U0&amp;row=2399&amp;col=7&amp;number=0.000208&amp;sourceID=14","0.000208")</f>
        <v>0.000208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HYPERLINK("http://141.218.60.56/~jnz1568/getInfo.php?workbook=14_04.xlsx&amp;sheet=U0&amp;row=2400&amp;col=6&amp;number=4.6&amp;sourceID=14","4.6")</f>
        <v>4.6</v>
      </c>
      <c r="G2400" s="4" t="str">
        <f>HYPERLINK("http://141.218.60.56/~jnz1568/getInfo.php?workbook=14_04.xlsx&amp;sheet=U0&amp;row=2400&amp;col=7&amp;number=0.000208&amp;sourceID=14","0.000208")</f>
        <v>0.000208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HYPERLINK("http://141.218.60.56/~jnz1568/getInfo.php?workbook=14_04.xlsx&amp;sheet=U0&amp;row=2401&amp;col=6&amp;number=4.7&amp;sourceID=14","4.7")</f>
        <v>4.7</v>
      </c>
      <c r="G2401" s="4" t="str">
        <f>HYPERLINK("http://141.218.60.56/~jnz1568/getInfo.php?workbook=14_04.xlsx&amp;sheet=U0&amp;row=2401&amp;col=7&amp;number=0.000207&amp;sourceID=14","0.000207")</f>
        <v>0.000207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HYPERLINK("http://141.218.60.56/~jnz1568/getInfo.php?workbook=14_04.xlsx&amp;sheet=U0&amp;row=2402&amp;col=6&amp;number=4.8&amp;sourceID=14","4.8")</f>
        <v>4.8</v>
      </c>
      <c r="G2402" s="4" t="str">
        <f>HYPERLINK("http://141.218.60.56/~jnz1568/getInfo.php?workbook=14_04.xlsx&amp;sheet=U0&amp;row=2402&amp;col=7&amp;number=0.000206&amp;sourceID=14","0.000206")</f>
        <v>0.000206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HYPERLINK("http://141.218.60.56/~jnz1568/getInfo.php?workbook=14_04.xlsx&amp;sheet=U0&amp;row=2403&amp;col=6&amp;number=4.9&amp;sourceID=14","4.9")</f>
        <v>4.9</v>
      </c>
      <c r="G2403" s="4" t="str">
        <f>HYPERLINK("http://141.218.60.56/~jnz1568/getInfo.php?workbook=14_04.xlsx&amp;sheet=U0&amp;row=2403&amp;col=7&amp;number=0.000205&amp;sourceID=14","0.000205")</f>
        <v>0.000205</v>
      </c>
    </row>
    <row r="2404" spans="1:7">
      <c r="A2404" s="3">
        <v>14</v>
      </c>
      <c r="B2404" s="3">
        <v>4</v>
      </c>
      <c r="C2404" s="3">
        <v>1</v>
      </c>
      <c r="D2404" s="3">
        <v>86</v>
      </c>
      <c r="E2404" s="3">
        <v>1</v>
      </c>
      <c r="F2404" s="4" t="str">
        <f>HYPERLINK("http://141.218.60.56/~jnz1568/getInfo.php?workbook=14_04.xlsx&amp;sheet=U0&amp;row=2404&amp;col=6&amp;number=3&amp;sourceID=14","3")</f>
        <v>3</v>
      </c>
      <c r="G2404" s="4" t="str">
        <f>HYPERLINK("http://141.218.60.56/~jnz1568/getInfo.php?workbook=14_04.xlsx&amp;sheet=U0&amp;row=2404&amp;col=7&amp;number=0.000578&amp;sourceID=14","0.000578")</f>
        <v>0.000578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HYPERLINK("http://141.218.60.56/~jnz1568/getInfo.php?workbook=14_04.xlsx&amp;sheet=U0&amp;row=2405&amp;col=6&amp;number=3.1&amp;sourceID=14","3.1")</f>
        <v>3.1</v>
      </c>
      <c r="G2405" s="4" t="str">
        <f>HYPERLINK("http://141.218.60.56/~jnz1568/getInfo.php?workbook=14_04.xlsx&amp;sheet=U0&amp;row=2405&amp;col=7&amp;number=0.000578&amp;sourceID=14","0.000578")</f>
        <v>0.000578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HYPERLINK("http://141.218.60.56/~jnz1568/getInfo.php?workbook=14_04.xlsx&amp;sheet=U0&amp;row=2406&amp;col=6&amp;number=3.2&amp;sourceID=14","3.2")</f>
        <v>3.2</v>
      </c>
      <c r="G2406" s="4" t="str">
        <f>HYPERLINK("http://141.218.60.56/~jnz1568/getInfo.php?workbook=14_04.xlsx&amp;sheet=U0&amp;row=2406&amp;col=7&amp;number=0.000578&amp;sourceID=14","0.000578")</f>
        <v>0.000578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HYPERLINK("http://141.218.60.56/~jnz1568/getInfo.php?workbook=14_04.xlsx&amp;sheet=U0&amp;row=2407&amp;col=6&amp;number=3.3&amp;sourceID=14","3.3")</f>
        <v>3.3</v>
      </c>
      <c r="G2407" s="4" t="str">
        <f>HYPERLINK("http://141.218.60.56/~jnz1568/getInfo.php?workbook=14_04.xlsx&amp;sheet=U0&amp;row=2407&amp;col=7&amp;number=0.000578&amp;sourceID=14","0.000578")</f>
        <v>0.000578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HYPERLINK("http://141.218.60.56/~jnz1568/getInfo.php?workbook=14_04.xlsx&amp;sheet=U0&amp;row=2408&amp;col=6&amp;number=3.4&amp;sourceID=14","3.4")</f>
        <v>3.4</v>
      </c>
      <c r="G2408" s="4" t="str">
        <f>HYPERLINK("http://141.218.60.56/~jnz1568/getInfo.php?workbook=14_04.xlsx&amp;sheet=U0&amp;row=2408&amp;col=7&amp;number=0.000578&amp;sourceID=14","0.000578")</f>
        <v>0.000578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HYPERLINK("http://141.218.60.56/~jnz1568/getInfo.php?workbook=14_04.xlsx&amp;sheet=U0&amp;row=2409&amp;col=6&amp;number=3.5&amp;sourceID=14","3.5")</f>
        <v>3.5</v>
      </c>
      <c r="G2409" s="4" t="str">
        <f>HYPERLINK("http://141.218.60.56/~jnz1568/getInfo.php?workbook=14_04.xlsx&amp;sheet=U0&amp;row=2409&amp;col=7&amp;number=0.000578&amp;sourceID=14","0.000578")</f>
        <v>0.000578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HYPERLINK("http://141.218.60.56/~jnz1568/getInfo.php?workbook=14_04.xlsx&amp;sheet=U0&amp;row=2410&amp;col=6&amp;number=3.6&amp;sourceID=14","3.6")</f>
        <v>3.6</v>
      </c>
      <c r="G2410" s="4" t="str">
        <f>HYPERLINK("http://141.218.60.56/~jnz1568/getInfo.php?workbook=14_04.xlsx&amp;sheet=U0&amp;row=2410&amp;col=7&amp;number=0.000578&amp;sourceID=14","0.000578")</f>
        <v>0.000578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HYPERLINK("http://141.218.60.56/~jnz1568/getInfo.php?workbook=14_04.xlsx&amp;sheet=U0&amp;row=2411&amp;col=6&amp;number=3.7&amp;sourceID=14","3.7")</f>
        <v>3.7</v>
      </c>
      <c r="G2411" s="4" t="str">
        <f>HYPERLINK("http://141.218.60.56/~jnz1568/getInfo.php?workbook=14_04.xlsx&amp;sheet=U0&amp;row=2411&amp;col=7&amp;number=0.000578&amp;sourceID=14","0.000578")</f>
        <v>0.000578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HYPERLINK("http://141.218.60.56/~jnz1568/getInfo.php?workbook=14_04.xlsx&amp;sheet=U0&amp;row=2412&amp;col=6&amp;number=3.8&amp;sourceID=14","3.8")</f>
        <v>3.8</v>
      </c>
      <c r="G2412" s="4" t="str">
        <f>HYPERLINK("http://141.218.60.56/~jnz1568/getInfo.php?workbook=14_04.xlsx&amp;sheet=U0&amp;row=2412&amp;col=7&amp;number=0.000577&amp;sourceID=14","0.000577")</f>
        <v>0.000577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HYPERLINK("http://141.218.60.56/~jnz1568/getInfo.php?workbook=14_04.xlsx&amp;sheet=U0&amp;row=2413&amp;col=6&amp;number=3.9&amp;sourceID=14","3.9")</f>
        <v>3.9</v>
      </c>
      <c r="G2413" s="4" t="str">
        <f>HYPERLINK("http://141.218.60.56/~jnz1568/getInfo.php?workbook=14_04.xlsx&amp;sheet=U0&amp;row=2413&amp;col=7&amp;number=0.000577&amp;sourceID=14","0.000577")</f>
        <v>0.000577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HYPERLINK("http://141.218.60.56/~jnz1568/getInfo.php?workbook=14_04.xlsx&amp;sheet=U0&amp;row=2414&amp;col=6&amp;number=4&amp;sourceID=14","4")</f>
        <v>4</v>
      </c>
      <c r="G2414" s="4" t="str">
        <f>HYPERLINK("http://141.218.60.56/~jnz1568/getInfo.php?workbook=14_04.xlsx&amp;sheet=U0&amp;row=2414&amp;col=7&amp;number=0.000577&amp;sourceID=14","0.000577")</f>
        <v>0.000577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HYPERLINK("http://141.218.60.56/~jnz1568/getInfo.php?workbook=14_04.xlsx&amp;sheet=U0&amp;row=2415&amp;col=6&amp;number=4.1&amp;sourceID=14","4.1")</f>
        <v>4.1</v>
      </c>
      <c r="G2415" s="4" t="str">
        <f>HYPERLINK("http://141.218.60.56/~jnz1568/getInfo.php?workbook=14_04.xlsx&amp;sheet=U0&amp;row=2415&amp;col=7&amp;number=0.000577&amp;sourceID=14","0.000577")</f>
        <v>0.000577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HYPERLINK("http://141.218.60.56/~jnz1568/getInfo.php?workbook=14_04.xlsx&amp;sheet=U0&amp;row=2416&amp;col=6&amp;number=4.2&amp;sourceID=14","4.2")</f>
        <v>4.2</v>
      </c>
      <c r="G2416" s="4" t="str">
        <f>HYPERLINK("http://141.218.60.56/~jnz1568/getInfo.php?workbook=14_04.xlsx&amp;sheet=U0&amp;row=2416&amp;col=7&amp;number=0.000576&amp;sourceID=14","0.000576")</f>
        <v>0.000576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HYPERLINK("http://141.218.60.56/~jnz1568/getInfo.php?workbook=14_04.xlsx&amp;sheet=U0&amp;row=2417&amp;col=6&amp;number=4.3&amp;sourceID=14","4.3")</f>
        <v>4.3</v>
      </c>
      <c r="G2417" s="4" t="str">
        <f>HYPERLINK("http://141.218.60.56/~jnz1568/getInfo.php?workbook=14_04.xlsx&amp;sheet=U0&amp;row=2417&amp;col=7&amp;number=0.000576&amp;sourceID=14","0.000576")</f>
        <v>0.000576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HYPERLINK("http://141.218.60.56/~jnz1568/getInfo.php?workbook=14_04.xlsx&amp;sheet=U0&amp;row=2418&amp;col=6&amp;number=4.4&amp;sourceID=14","4.4")</f>
        <v>4.4</v>
      </c>
      <c r="G2418" s="4" t="str">
        <f>HYPERLINK("http://141.218.60.56/~jnz1568/getInfo.php?workbook=14_04.xlsx&amp;sheet=U0&amp;row=2418&amp;col=7&amp;number=0.000576&amp;sourceID=14","0.000576")</f>
        <v>0.000576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HYPERLINK("http://141.218.60.56/~jnz1568/getInfo.php?workbook=14_04.xlsx&amp;sheet=U0&amp;row=2419&amp;col=6&amp;number=4.5&amp;sourceID=14","4.5")</f>
        <v>4.5</v>
      </c>
      <c r="G2419" s="4" t="str">
        <f>HYPERLINK("http://141.218.60.56/~jnz1568/getInfo.php?workbook=14_04.xlsx&amp;sheet=U0&amp;row=2419&amp;col=7&amp;number=0.000575&amp;sourceID=14","0.000575")</f>
        <v>0.000575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HYPERLINK("http://141.218.60.56/~jnz1568/getInfo.php?workbook=14_04.xlsx&amp;sheet=U0&amp;row=2420&amp;col=6&amp;number=4.6&amp;sourceID=14","4.6")</f>
        <v>4.6</v>
      </c>
      <c r="G2420" s="4" t="str">
        <f>HYPERLINK("http://141.218.60.56/~jnz1568/getInfo.php?workbook=14_04.xlsx&amp;sheet=U0&amp;row=2420&amp;col=7&amp;number=0.000574&amp;sourceID=14","0.000574")</f>
        <v>0.000574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HYPERLINK("http://141.218.60.56/~jnz1568/getInfo.php?workbook=14_04.xlsx&amp;sheet=U0&amp;row=2421&amp;col=6&amp;number=4.7&amp;sourceID=14","4.7")</f>
        <v>4.7</v>
      </c>
      <c r="G2421" s="4" t="str">
        <f>HYPERLINK("http://141.218.60.56/~jnz1568/getInfo.php?workbook=14_04.xlsx&amp;sheet=U0&amp;row=2421&amp;col=7&amp;number=0.000573&amp;sourceID=14","0.000573")</f>
        <v>0.000573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HYPERLINK("http://141.218.60.56/~jnz1568/getInfo.php?workbook=14_04.xlsx&amp;sheet=U0&amp;row=2422&amp;col=6&amp;number=4.8&amp;sourceID=14","4.8")</f>
        <v>4.8</v>
      </c>
      <c r="G2422" s="4" t="str">
        <f>HYPERLINK("http://141.218.60.56/~jnz1568/getInfo.php?workbook=14_04.xlsx&amp;sheet=U0&amp;row=2422&amp;col=7&amp;number=0.000572&amp;sourceID=14","0.000572")</f>
        <v>0.000572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HYPERLINK("http://141.218.60.56/~jnz1568/getInfo.php?workbook=14_04.xlsx&amp;sheet=U0&amp;row=2423&amp;col=6&amp;number=4.9&amp;sourceID=14","4.9")</f>
        <v>4.9</v>
      </c>
      <c r="G2423" s="4" t="str">
        <f>HYPERLINK("http://141.218.60.56/~jnz1568/getInfo.php?workbook=14_04.xlsx&amp;sheet=U0&amp;row=2423&amp;col=7&amp;number=0.00057&amp;sourceID=14","0.00057")</f>
        <v>0.00057</v>
      </c>
    </row>
    <row r="2424" spans="1:7">
      <c r="A2424" s="3">
        <v>14</v>
      </c>
      <c r="B2424" s="3">
        <v>4</v>
      </c>
      <c r="C2424" s="3">
        <v>1</v>
      </c>
      <c r="D2424" s="3">
        <v>87</v>
      </c>
      <c r="E2424" s="3">
        <v>1</v>
      </c>
      <c r="F2424" s="4" t="str">
        <f>HYPERLINK("http://141.218.60.56/~jnz1568/getInfo.php?workbook=14_04.xlsx&amp;sheet=U0&amp;row=2424&amp;col=6&amp;number=3&amp;sourceID=14","3")</f>
        <v>3</v>
      </c>
      <c r="G2424" s="4" t="str">
        <f>HYPERLINK("http://141.218.60.56/~jnz1568/getInfo.php?workbook=14_04.xlsx&amp;sheet=U0&amp;row=2424&amp;col=7&amp;number=0.00106&amp;sourceID=14","0.00106")</f>
        <v>0.00106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HYPERLINK("http://141.218.60.56/~jnz1568/getInfo.php?workbook=14_04.xlsx&amp;sheet=U0&amp;row=2425&amp;col=6&amp;number=3.1&amp;sourceID=14","3.1")</f>
        <v>3.1</v>
      </c>
      <c r="G2425" s="4" t="str">
        <f>HYPERLINK("http://141.218.60.56/~jnz1568/getInfo.php?workbook=14_04.xlsx&amp;sheet=U0&amp;row=2425&amp;col=7&amp;number=0.00106&amp;sourceID=14","0.00106")</f>
        <v>0.00106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HYPERLINK("http://141.218.60.56/~jnz1568/getInfo.php?workbook=14_04.xlsx&amp;sheet=U0&amp;row=2426&amp;col=6&amp;number=3.2&amp;sourceID=14","3.2")</f>
        <v>3.2</v>
      </c>
      <c r="G2426" s="4" t="str">
        <f>HYPERLINK("http://141.218.60.56/~jnz1568/getInfo.php?workbook=14_04.xlsx&amp;sheet=U0&amp;row=2426&amp;col=7&amp;number=0.00106&amp;sourceID=14","0.00106")</f>
        <v>0.00106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HYPERLINK("http://141.218.60.56/~jnz1568/getInfo.php?workbook=14_04.xlsx&amp;sheet=U0&amp;row=2427&amp;col=6&amp;number=3.3&amp;sourceID=14","3.3")</f>
        <v>3.3</v>
      </c>
      <c r="G2427" s="4" t="str">
        <f>HYPERLINK("http://141.218.60.56/~jnz1568/getInfo.php?workbook=14_04.xlsx&amp;sheet=U0&amp;row=2427&amp;col=7&amp;number=0.00106&amp;sourceID=14","0.00106")</f>
        <v>0.00106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HYPERLINK("http://141.218.60.56/~jnz1568/getInfo.php?workbook=14_04.xlsx&amp;sheet=U0&amp;row=2428&amp;col=6&amp;number=3.4&amp;sourceID=14","3.4")</f>
        <v>3.4</v>
      </c>
      <c r="G2428" s="4" t="str">
        <f>HYPERLINK("http://141.218.60.56/~jnz1568/getInfo.php?workbook=14_04.xlsx&amp;sheet=U0&amp;row=2428&amp;col=7&amp;number=0.00106&amp;sourceID=14","0.00106")</f>
        <v>0.00106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HYPERLINK("http://141.218.60.56/~jnz1568/getInfo.php?workbook=14_04.xlsx&amp;sheet=U0&amp;row=2429&amp;col=6&amp;number=3.5&amp;sourceID=14","3.5")</f>
        <v>3.5</v>
      </c>
      <c r="G2429" s="4" t="str">
        <f>HYPERLINK("http://141.218.60.56/~jnz1568/getInfo.php?workbook=14_04.xlsx&amp;sheet=U0&amp;row=2429&amp;col=7&amp;number=0.00106&amp;sourceID=14","0.00106")</f>
        <v>0.00106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HYPERLINK("http://141.218.60.56/~jnz1568/getInfo.php?workbook=14_04.xlsx&amp;sheet=U0&amp;row=2430&amp;col=6&amp;number=3.6&amp;sourceID=14","3.6")</f>
        <v>3.6</v>
      </c>
      <c r="G2430" s="4" t="str">
        <f>HYPERLINK("http://141.218.60.56/~jnz1568/getInfo.php?workbook=14_04.xlsx&amp;sheet=U0&amp;row=2430&amp;col=7&amp;number=0.00106&amp;sourceID=14","0.00106")</f>
        <v>0.00106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HYPERLINK("http://141.218.60.56/~jnz1568/getInfo.php?workbook=14_04.xlsx&amp;sheet=U0&amp;row=2431&amp;col=6&amp;number=3.7&amp;sourceID=14","3.7")</f>
        <v>3.7</v>
      </c>
      <c r="G2431" s="4" t="str">
        <f>HYPERLINK("http://141.218.60.56/~jnz1568/getInfo.php?workbook=14_04.xlsx&amp;sheet=U0&amp;row=2431&amp;col=7&amp;number=0.00106&amp;sourceID=14","0.00106")</f>
        <v>0.00106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HYPERLINK("http://141.218.60.56/~jnz1568/getInfo.php?workbook=14_04.xlsx&amp;sheet=U0&amp;row=2432&amp;col=6&amp;number=3.8&amp;sourceID=14","3.8")</f>
        <v>3.8</v>
      </c>
      <c r="G2432" s="4" t="str">
        <f>HYPERLINK("http://141.218.60.56/~jnz1568/getInfo.php?workbook=14_04.xlsx&amp;sheet=U0&amp;row=2432&amp;col=7&amp;number=0.00106&amp;sourceID=14","0.00106")</f>
        <v>0.00106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HYPERLINK("http://141.218.60.56/~jnz1568/getInfo.php?workbook=14_04.xlsx&amp;sheet=U0&amp;row=2433&amp;col=6&amp;number=3.9&amp;sourceID=14","3.9")</f>
        <v>3.9</v>
      </c>
      <c r="G2433" s="4" t="str">
        <f>HYPERLINK("http://141.218.60.56/~jnz1568/getInfo.php?workbook=14_04.xlsx&amp;sheet=U0&amp;row=2433&amp;col=7&amp;number=0.00106&amp;sourceID=14","0.00106")</f>
        <v>0.00106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HYPERLINK("http://141.218.60.56/~jnz1568/getInfo.php?workbook=14_04.xlsx&amp;sheet=U0&amp;row=2434&amp;col=6&amp;number=4&amp;sourceID=14","4")</f>
        <v>4</v>
      </c>
      <c r="G2434" s="4" t="str">
        <f>HYPERLINK("http://141.218.60.56/~jnz1568/getInfo.php?workbook=14_04.xlsx&amp;sheet=U0&amp;row=2434&amp;col=7&amp;number=0.00106&amp;sourceID=14","0.00106")</f>
        <v>0.00106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HYPERLINK("http://141.218.60.56/~jnz1568/getInfo.php?workbook=14_04.xlsx&amp;sheet=U0&amp;row=2435&amp;col=6&amp;number=4.1&amp;sourceID=14","4.1")</f>
        <v>4.1</v>
      </c>
      <c r="G2435" s="4" t="str">
        <f>HYPERLINK("http://141.218.60.56/~jnz1568/getInfo.php?workbook=14_04.xlsx&amp;sheet=U0&amp;row=2435&amp;col=7&amp;number=0.00106&amp;sourceID=14","0.00106")</f>
        <v>0.00106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HYPERLINK("http://141.218.60.56/~jnz1568/getInfo.php?workbook=14_04.xlsx&amp;sheet=U0&amp;row=2436&amp;col=6&amp;number=4.2&amp;sourceID=14","4.2")</f>
        <v>4.2</v>
      </c>
      <c r="G2436" s="4" t="str">
        <f>HYPERLINK("http://141.218.60.56/~jnz1568/getInfo.php?workbook=14_04.xlsx&amp;sheet=U0&amp;row=2436&amp;col=7&amp;number=0.00106&amp;sourceID=14","0.00106")</f>
        <v>0.00106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HYPERLINK("http://141.218.60.56/~jnz1568/getInfo.php?workbook=14_04.xlsx&amp;sheet=U0&amp;row=2437&amp;col=6&amp;number=4.3&amp;sourceID=14","4.3")</f>
        <v>4.3</v>
      </c>
      <c r="G2437" s="4" t="str">
        <f>HYPERLINK("http://141.218.60.56/~jnz1568/getInfo.php?workbook=14_04.xlsx&amp;sheet=U0&amp;row=2437&amp;col=7&amp;number=0.00106&amp;sourceID=14","0.00106")</f>
        <v>0.00106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HYPERLINK("http://141.218.60.56/~jnz1568/getInfo.php?workbook=14_04.xlsx&amp;sheet=U0&amp;row=2438&amp;col=6&amp;number=4.4&amp;sourceID=14","4.4")</f>
        <v>4.4</v>
      </c>
      <c r="G2438" s="4" t="str">
        <f>HYPERLINK("http://141.218.60.56/~jnz1568/getInfo.php?workbook=14_04.xlsx&amp;sheet=U0&amp;row=2438&amp;col=7&amp;number=0.00105&amp;sourceID=14","0.00105")</f>
        <v>0.00105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HYPERLINK("http://141.218.60.56/~jnz1568/getInfo.php?workbook=14_04.xlsx&amp;sheet=U0&amp;row=2439&amp;col=6&amp;number=4.5&amp;sourceID=14","4.5")</f>
        <v>4.5</v>
      </c>
      <c r="G2439" s="4" t="str">
        <f>HYPERLINK("http://141.218.60.56/~jnz1568/getInfo.php?workbook=14_04.xlsx&amp;sheet=U0&amp;row=2439&amp;col=7&amp;number=0.00105&amp;sourceID=14","0.00105")</f>
        <v>0.00105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HYPERLINK("http://141.218.60.56/~jnz1568/getInfo.php?workbook=14_04.xlsx&amp;sheet=U0&amp;row=2440&amp;col=6&amp;number=4.6&amp;sourceID=14","4.6")</f>
        <v>4.6</v>
      </c>
      <c r="G2440" s="4" t="str">
        <f>HYPERLINK("http://141.218.60.56/~jnz1568/getInfo.php?workbook=14_04.xlsx&amp;sheet=U0&amp;row=2440&amp;col=7&amp;number=0.00105&amp;sourceID=14","0.00105")</f>
        <v>0.00105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HYPERLINK("http://141.218.60.56/~jnz1568/getInfo.php?workbook=14_04.xlsx&amp;sheet=U0&amp;row=2441&amp;col=6&amp;number=4.7&amp;sourceID=14","4.7")</f>
        <v>4.7</v>
      </c>
      <c r="G2441" s="4" t="str">
        <f>HYPERLINK("http://141.218.60.56/~jnz1568/getInfo.php?workbook=14_04.xlsx&amp;sheet=U0&amp;row=2441&amp;col=7&amp;number=0.00105&amp;sourceID=14","0.00105")</f>
        <v>0.00105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HYPERLINK("http://141.218.60.56/~jnz1568/getInfo.php?workbook=14_04.xlsx&amp;sheet=U0&amp;row=2442&amp;col=6&amp;number=4.8&amp;sourceID=14","4.8")</f>
        <v>4.8</v>
      </c>
      <c r="G2442" s="4" t="str">
        <f>HYPERLINK("http://141.218.60.56/~jnz1568/getInfo.php?workbook=14_04.xlsx&amp;sheet=U0&amp;row=2442&amp;col=7&amp;number=0.00104&amp;sourceID=14","0.00104")</f>
        <v>0.00104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HYPERLINK("http://141.218.60.56/~jnz1568/getInfo.php?workbook=14_04.xlsx&amp;sheet=U0&amp;row=2443&amp;col=6&amp;number=4.9&amp;sourceID=14","4.9")</f>
        <v>4.9</v>
      </c>
      <c r="G2443" s="4" t="str">
        <f>HYPERLINK("http://141.218.60.56/~jnz1568/getInfo.php?workbook=14_04.xlsx&amp;sheet=U0&amp;row=2443&amp;col=7&amp;number=0.00104&amp;sourceID=14","0.00104")</f>
        <v>0.00104</v>
      </c>
    </row>
    <row r="2444" spans="1:7">
      <c r="A2444" s="3">
        <v>14</v>
      </c>
      <c r="B2444" s="3">
        <v>4</v>
      </c>
      <c r="C2444" s="3">
        <v>1</v>
      </c>
      <c r="D2444" s="3">
        <v>88</v>
      </c>
      <c r="E2444" s="3">
        <v>1</v>
      </c>
      <c r="F2444" s="4" t="str">
        <f>HYPERLINK("http://141.218.60.56/~jnz1568/getInfo.php?workbook=14_04.xlsx&amp;sheet=U0&amp;row=2444&amp;col=6&amp;number=3&amp;sourceID=14","3")</f>
        <v>3</v>
      </c>
      <c r="G2444" s="4" t="str">
        <f>HYPERLINK("http://141.218.60.56/~jnz1568/getInfo.php?workbook=14_04.xlsx&amp;sheet=U0&amp;row=2444&amp;col=7&amp;number=0.00117&amp;sourceID=14","0.00117")</f>
        <v>0.00117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HYPERLINK("http://141.218.60.56/~jnz1568/getInfo.php?workbook=14_04.xlsx&amp;sheet=U0&amp;row=2445&amp;col=6&amp;number=3.1&amp;sourceID=14","3.1")</f>
        <v>3.1</v>
      </c>
      <c r="G2445" s="4" t="str">
        <f>HYPERLINK("http://141.218.60.56/~jnz1568/getInfo.php?workbook=14_04.xlsx&amp;sheet=U0&amp;row=2445&amp;col=7&amp;number=0.00117&amp;sourceID=14","0.00117")</f>
        <v>0.00117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HYPERLINK("http://141.218.60.56/~jnz1568/getInfo.php?workbook=14_04.xlsx&amp;sheet=U0&amp;row=2446&amp;col=6&amp;number=3.2&amp;sourceID=14","3.2")</f>
        <v>3.2</v>
      </c>
      <c r="G2446" s="4" t="str">
        <f>HYPERLINK("http://141.218.60.56/~jnz1568/getInfo.php?workbook=14_04.xlsx&amp;sheet=U0&amp;row=2446&amp;col=7&amp;number=0.00117&amp;sourceID=14","0.00117")</f>
        <v>0.00117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HYPERLINK("http://141.218.60.56/~jnz1568/getInfo.php?workbook=14_04.xlsx&amp;sheet=U0&amp;row=2447&amp;col=6&amp;number=3.3&amp;sourceID=14","3.3")</f>
        <v>3.3</v>
      </c>
      <c r="G2447" s="4" t="str">
        <f>HYPERLINK("http://141.218.60.56/~jnz1568/getInfo.php?workbook=14_04.xlsx&amp;sheet=U0&amp;row=2447&amp;col=7&amp;number=0.00117&amp;sourceID=14","0.00117")</f>
        <v>0.00117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HYPERLINK("http://141.218.60.56/~jnz1568/getInfo.php?workbook=14_04.xlsx&amp;sheet=U0&amp;row=2448&amp;col=6&amp;number=3.4&amp;sourceID=14","3.4")</f>
        <v>3.4</v>
      </c>
      <c r="G2448" s="4" t="str">
        <f>HYPERLINK("http://141.218.60.56/~jnz1568/getInfo.php?workbook=14_04.xlsx&amp;sheet=U0&amp;row=2448&amp;col=7&amp;number=0.00117&amp;sourceID=14","0.00117")</f>
        <v>0.00117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HYPERLINK("http://141.218.60.56/~jnz1568/getInfo.php?workbook=14_04.xlsx&amp;sheet=U0&amp;row=2449&amp;col=6&amp;number=3.5&amp;sourceID=14","3.5")</f>
        <v>3.5</v>
      </c>
      <c r="G2449" s="4" t="str">
        <f>HYPERLINK("http://141.218.60.56/~jnz1568/getInfo.php?workbook=14_04.xlsx&amp;sheet=U0&amp;row=2449&amp;col=7&amp;number=0.00117&amp;sourceID=14","0.00117")</f>
        <v>0.00117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HYPERLINK("http://141.218.60.56/~jnz1568/getInfo.php?workbook=14_04.xlsx&amp;sheet=U0&amp;row=2450&amp;col=6&amp;number=3.6&amp;sourceID=14","3.6")</f>
        <v>3.6</v>
      </c>
      <c r="G2450" s="4" t="str">
        <f>HYPERLINK("http://141.218.60.56/~jnz1568/getInfo.php?workbook=14_04.xlsx&amp;sheet=U0&amp;row=2450&amp;col=7&amp;number=0.00117&amp;sourceID=14","0.00117")</f>
        <v>0.00117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HYPERLINK("http://141.218.60.56/~jnz1568/getInfo.php?workbook=14_04.xlsx&amp;sheet=U0&amp;row=2451&amp;col=6&amp;number=3.7&amp;sourceID=14","3.7")</f>
        <v>3.7</v>
      </c>
      <c r="G2451" s="4" t="str">
        <f>HYPERLINK("http://141.218.60.56/~jnz1568/getInfo.php?workbook=14_04.xlsx&amp;sheet=U0&amp;row=2451&amp;col=7&amp;number=0.00118&amp;sourceID=14","0.00118")</f>
        <v>0.00118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HYPERLINK("http://141.218.60.56/~jnz1568/getInfo.php?workbook=14_04.xlsx&amp;sheet=U0&amp;row=2452&amp;col=6&amp;number=3.8&amp;sourceID=14","3.8")</f>
        <v>3.8</v>
      </c>
      <c r="G2452" s="4" t="str">
        <f>HYPERLINK("http://141.218.60.56/~jnz1568/getInfo.php?workbook=14_04.xlsx&amp;sheet=U0&amp;row=2452&amp;col=7&amp;number=0.00118&amp;sourceID=14","0.00118")</f>
        <v>0.00118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HYPERLINK("http://141.218.60.56/~jnz1568/getInfo.php?workbook=14_04.xlsx&amp;sheet=U0&amp;row=2453&amp;col=6&amp;number=3.9&amp;sourceID=14","3.9")</f>
        <v>3.9</v>
      </c>
      <c r="G2453" s="4" t="str">
        <f>HYPERLINK("http://141.218.60.56/~jnz1568/getInfo.php?workbook=14_04.xlsx&amp;sheet=U0&amp;row=2453&amp;col=7&amp;number=0.00118&amp;sourceID=14","0.00118")</f>
        <v>0.00118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HYPERLINK("http://141.218.60.56/~jnz1568/getInfo.php?workbook=14_04.xlsx&amp;sheet=U0&amp;row=2454&amp;col=6&amp;number=4&amp;sourceID=14","4")</f>
        <v>4</v>
      </c>
      <c r="G2454" s="4" t="str">
        <f>HYPERLINK("http://141.218.60.56/~jnz1568/getInfo.php?workbook=14_04.xlsx&amp;sheet=U0&amp;row=2454&amp;col=7&amp;number=0.00118&amp;sourceID=14","0.00118")</f>
        <v>0.00118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HYPERLINK("http://141.218.60.56/~jnz1568/getInfo.php?workbook=14_04.xlsx&amp;sheet=U0&amp;row=2455&amp;col=6&amp;number=4.1&amp;sourceID=14","4.1")</f>
        <v>4.1</v>
      </c>
      <c r="G2455" s="4" t="str">
        <f>HYPERLINK("http://141.218.60.56/~jnz1568/getInfo.php?workbook=14_04.xlsx&amp;sheet=U0&amp;row=2455&amp;col=7&amp;number=0.00118&amp;sourceID=14","0.00118")</f>
        <v>0.00118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HYPERLINK("http://141.218.60.56/~jnz1568/getInfo.php?workbook=14_04.xlsx&amp;sheet=U0&amp;row=2456&amp;col=6&amp;number=4.2&amp;sourceID=14","4.2")</f>
        <v>4.2</v>
      </c>
      <c r="G2456" s="4" t="str">
        <f>HYPERLINK("http://141.218.60.56/~jnz1568/getInfo.php?workbook=14_04.xlsx&amp;sheet=U0&amp;row=2456&amp;col=7&amp;number=0.00119&amp;sourceID=14","0.00119")</f>
        <v>0.00119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HYPERLINK("http://141.218.60.56/~jnz1568/getInfo.php?workbook=14_04.xlsx&amp;sheet=U0&amp;row=2457&amp;col=6&amp;number=4.3&amp;sourceID=14","4.3")</f>
        <v>4.3</v>
      </c>
      <c r="G2457" s="4" t="str">
        <f>HYPERLINK("http://141.218.60.56/~jnz1568/getInfo.php?workbook=14_04.xlsx&amp;sheet=U0&amp;row=2457&amp;col=7&amp;number=0.00119&amp;sourceID=14","0.00119")</f>
        <v>0.00119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HYPERLINK("http://141.218.60.56/~jnz1568/getInfo.php?workbook=14_04.xlsx&amp;sheet=U0&amp;row=2458&amp;col=6&amp;number=4.4&amp;sourceID=14","4.4")</f>
        <v>4.4</v>
      </c>
      <c r="G2458" s="4" t="str">
        <f>HYPERLINK("http://141.218.60.56/~jnz1568/getInfo.php?workbook=14_04.xlsx&amp;sheet=U0&amp;row=2458&amp;col=7&amp;number=0.0012&amp;sourceID=14","0.0012")</f>
        <v>0.0012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HYPERLINK("http://141.218.60.56/~jnz1568/getInfo.php?workbook=14_04.xlsx&amp;sheet=U0&amp;row=2459&amp;col=6&amp;number=4.5&amp;sourceID=14","4.5")</f>
        <v>4.5</v>
      </c>
      <c r="G2459" s="4" t="str">
        <f>HYPERLINK("http://141.218.60.56/~jnz1568/getInfo.php?workbook=14_04.xlsx&amp;sheet=U0&amp;row=2459&amp;col=7&amp;number=0.0012&amp;sourceID=14","0.0012")</f>
        <v>0.0012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HYPERLINK("http://141.218.60.56/~jnz1568/getInfo.php?workbook=14_04.xlsx&amp;sheet=U0&amp;row=2460&amp;col=6&amp;number=4.6&amp;sourceID=14","4.6")</f>
        <v>4.6</v>
      </c>
      <c r="G2460" s="4" t="str">
        <f>HYPERLINK("http://141.218.60.56/~jnz1568/getInfo.php?workbook=14_04.xlsx&amp;sheet=U0&amp;row=2460&amp;col=7&amp;number=0.00121&amp;sourceID=14","0.00121")</f>
        <v>0.00121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HYPERLINK("http://141.218.60.56/~jnz1568/getInfo.php?workbook=14_04.xlsx&amp;sheet=U0&amp;row=2461&amp;col=6&amp;number=4.7&amp;sourceID=14","4.7")</f>
        <v>4.7</v>
      </c>
      <c r="G2461" s="4" t="str">
        <f>HYPERLINK("http://141.218.60.56/~jnz1568/getInfo.php?workbook=14_04.xlsx&amp;sheet=U0&amp;row=2461&amp;col=7&amp;number=0.00122&amp;sourceID=14","0.00122")</f>
        <v>0.00122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HYPERLINK("http://141.218.60.56/~jnz1568/getInfo.php?workbook=14_04.xlsx&amp;sheet=U0&amp;row=2462&amp;col=6&amp;number=4.8&amp;sourceID=14","4.8")</f>
        <v>4.8</v>
      </c>
      <c r="G2462" s="4" t="str">
        <f>HYPERLINK("http://141.218.60.56/~jnz1568/getInfo.php?workbook=14_04.xlsx&amp;sheet=U0&amp;row=2462&amp;col=7&amp;number=0.00124&amp;sourceID=14","0.00124")</f>
        <v>0.00124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HYPERLINK("http://141.218.60.56/~jnz1568/getInfo.php?workbook=14_04.xlsx&amp;sheet=U0&amp;row=2463&amp;col=6&amp;number=4.9&amp;sourceID=14","4.9")</f>
        <v>4.9</v>
      </c>
      <c r="G2463" s="4" t="str">
        <f>HYPERLINK("http://141.218.60.56/~jnz1568/getInfo.php?workbook=14_04.xlsx&amp;sheet=U0&amp;row=2463&amp;col=7&amp;number=0.00125&amp;sourceID=14","0.00125")</f>
        <v>0.00125</v>
      </c>
    </row>
    <row r="2464" spans="1:7">
      <c r="A2464" s="3">
        <v>14</v>
      </c>
      <c r="B2464" s="3">
        <v>4</v>
      </c>
      <c r="C2464" s="3">
        <v>1</v>
      </c>
      <c r="D2464" s="3">
        <v>89</v>
      </c>
      <c r="E2464" s="3">
        <v>1</v>
      </c>
      <c r="F2464" s="4" t="str">
        <f>HYPERLINK("http://141.218.60.56/~jnz1568/getInfo.php?workbook=14_04.xlsx&amp;sheet=U0&amp;row=2464&amp;col=6&amp;number=3&amp;sourceID=14","3")</f>
        <v>3</v>
      </c>
      <c r="G2464" s="4" t="str">
        <f>HYPERLINK("http://141.218.60.56/~jnz1568/getInfo.php?workbook=14_04.xlsx&amp;sheet=U0&amp;row=2464&amp;col=7&amp;number=0.0006&amp;sourceID=14","0.0006")</f>
        <v>0.0006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HYPERLINK("http://141.218.60.56/~jnz1568/getInfo.php?workbook=14_04.xlsx&amp;sheet=U0&amp;row=2465&amp;col=6&amp;number=3.1&amp;sourceID=14","3.1")</f>
        <v>3.1</v>
      </c>
      <c r="G2465" s="4" t="str">
        <f>HYPERLINK("http://141.218.60.56/~jnz1568/getInfo.php?workbook=14_04.xlsx&amp;sheet=U0&amp;row=2465&amp;col=7&amp;number=0.0006&amp;sourceID=14","0.0006")</f>
        <v>0.0006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HYPERLINK("http://141.218.60.56/~jnz1568/getInfo.php?workbook=14_04.xlsx&amp;sheet=U0&amp;row=2466&amp;col=6&amp;number=3.2&amp;sourceID=14","3.2")</f>
        <v>3.2</v>
      </c>
      <c r="G2466" s="4" t="str">
        <f>HYPERLINK("http://141.218.60.56/~jnz1568/getInfo.php?workbook=14_04.xlsx&amp;sheet=U0&amp;row=2466&amp;col=7&amp;number=0.0006&amp;sourceID=14","0.0006")</f>
        <v>0.0006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HYPERLINK("http://141.218.60.56/~jnz1568/getInfo.php?workbook=14_04.xlsx&amp;sheet=U0&amp;row=2467&amp;col=6&amp;number=3.3&amp;sourceID=14","3.3")</f>
        <v>3.3</v>
      </c>
      <c r="G2467" s="4" t="str">
        <f>HYPERLINK("http://141.218.60.56/~jnz1568/getInfo.php?workbook=14_04.xlsx&amp;sheet=U0&amp;row=2467&amp;col=7&amp;number=0.0006&amp;sourceID=14","0.0006")</f>
        <v>0.0006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HYPERLINK("http://141.218.60.56/~jnz1568/getInfo.php?workbook=14_04.xlsx&amp;sheet=U0&amp;row=2468&amp;col=6&amp;number=3.4&amp;sourceID=14","3.4")</f>
        <v>3.4</v>
      </c>
      <c r="G2468" s="4" t="str">
        <f>HYPERLINK("http://141.218.60.56/~jnz1568/getInfo.php?workbook=14_04.xlsx&amp;sheet=U0&amp;row=2468&amp;col=7&amp;number=0.0006&amp;sourceID=14","0.0006")</f>
        <v>0.0006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HYPERLINK("http://141.218.60.56/~jnz1568/getInfo.php?workbook=14_04.xlsx&amp;sheet=U0&amp;row=2469&amp;col=6&amp;number=3.5&amp;sourceID=14","3.5")</f>
        <v>3.5</v>
      </c>
      <c r="G2469" s="4" t="str">
        <f>HYPERLINK("http://141.218.60.56/~jnz1568/getInfo.php?workbook=14_04.xlsx&amp;sheet=U0&amp;row=2469&amp;col=7&amp;number=0.0006&amp;sourceID=14","0.0006")</f>
        <v>0.0006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HYPERLINK("http://141.218.60.56/~jnz1568/getInfo.php?workbook=14_04.xlsx&amp;sheet=U0&amp;row=2470&amp;col=6&amp;number=3.6&amp;sourceID=14","3.6")</f>
        <v>3.6</v>
      </c>
      <c r="G2470" s="4" t="str">
        <f>HYPERLINK("http://141.218.60.56/~jnz1568/getInfo.php?workbook=14_04.xlsx&amp;sheet=U0&amp;row=2470&amp;col=7&amp;number=0.0006&amp;sourceID=14","0.0006")</f>
        <v>0.0006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HYPERLINK("http://141.218.60.56/~jnz1568/getInfo.php?workbook=14_04.xlsx&amp;sheet=U0&amp;row=2471&amp;col=6&amp;number=3.7&amp;sourceID=14","3.7")</f>
        <v>3.7</v>
      </c>
      <c r="G2471" s="4" t="str">
        <f>HYPERLINK("http://141.218.60.56/~jnz1568/getInfo.php?workbook=14_04.xlsx&amp;sheet=U0&amp;row=2471&amp;col=7&amp;number=0.0006&amp;sourceID=14","0.0006")</f>
        <v>0.0006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HYPERLINK("http://141.218.60.56/~jnz1568/getInfo.php?workbook=14_04.xlsx&amp;sheet=U0&amp;row=2472&amp;col=6&amp;number=3.8&amp;sourceID=14","3.8")</f>
        <v>3.8</v>
      </c>
      <c r="G2472" s="4" t="str">
        <f>HYPERLINK("http://141.218.60.56/~jnz1568/getInfo.php?workbook=14_04.xlsx&amp;sheet=U0&amp;row=2472&amp;col=7&amp;number=0.000599&amp;sourceID=14","0.000599")</f>
        <v>0.000599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HYPERLINK("http://141.218.60.56/~jnz1568/getInfo.php?workbook=14_04.xlsx&amp;sheet=U0&amp;row=2473&amp;col=6&amp;number=3.9&amp;sourceID=14","3.9")</f>
        <v>3.9</v>
      </c>
      <c r="G2473" s="4" t="str">
        <f>HYPERLINK("http://141.218.60.56/~jnz1568/getInfo.php?workbook=14_04.xlsx&amp;sheet=U0&amp;row=2473&amp;col=7&amp;number=0.000599&amp;sourceID=14","0.000599")</f>
        <v>0.000599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HYPERLINK("http://141.218.60.56/~jnz1568/getInfo.php?workbook=14_04.xlsx&amp;sheet=U0&amp;row=2474&amp;col=6&amp;number=4&amp;sourceID=14","4")</f>
        <v>4</v>
      </c>
      <c r="G2474" s="4" t="str">
        <f>HYPERLINK("http://141.218.60.56/~jnz1568/getInfo.php?workbook=14_04.xlsx&amp;sheet=U0&amp;row=2474&amp;col=7&amp;number=0.000599&amp;sourceID=14","0.000599")</f>
        <v>0.000599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HYPERLINK("http://141.218.60.56/~jnz1568/getInfo.php?workbook=14_04.xlsx&amp;sheet=U0&amp;row=2475&amp;col=6&amp;number=4.1&amp;sourceID=14","4.1")</f>
        <v>4.1</v>
      </c>
      <c r="G2475" s="4" t="str">
        <f>HYPERLINK("http://141.218.60.56/~jnz1568/getInfo.php?workbook=14_04.xlsx&amp;sheet=U0&amp;row=2475&amp;col=7&amp;number=0.000599&amp;sourceID=14","0.000599")</f>
        <v>0.000599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HYPERLINK("http://141.218.60.56/~jnz1568/getInfo.php?workbook=14_04.xlsx&amp;sheet=U0&amp;row=2476&amp;col=6&amp;number=4.2&amp;sourceID=14","4.2")</f>
        <v>4.2</v>
      </c>
      <c r="G2476" s="4" t="str">
        <f>HYPERLINK("http://141.218.60.56/~jnz1568/getInfo.php?workbook=14_04.xlsx&amp;sheet=U0&amp;row=2476&amp;col=7&amp;number=0.000598&amp;sourceID=14","0.000598")</f>
        <v>0.000598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HYPERLINK("http://141.218.60.56/~jnz1568/getInfo.php?workbook=14_04.xlsx&amp;sheet=U0&amp;row=2477&amp;col=6&amp;number=4.3&amp;sourceID=14","4.3")</f>
        <v>4.3</v>
      </c>
      <c r="G2477" s="4" t="str">
        <f>HYPERLINK("http://141.218.60.56/~jnz1568/getInfo.php?workbook=14_04.xlsx&amp;sheet=U0&amp;row=2477&amp;col=7&amp;number=0.000598&amp;sourceID=14","0.000598")</f>
        <v>0.000598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HYPERLINK("http://141.218.60.56/~jnz1568/getInfo.php?workbook=14_04.xlsx&amp;sheet=U0&amp;row=2478&amp;col=6&amp;number=4.4&amp;sourceID=14","4.4")</f>
        <v>4.4</v>
      </c>
      <c r="G2478" s="4" t="str">
        <f>HYPERLINK("http://141.218.60.56/~jnz1568/getInfo.php?workbook=14_04.xlsx&amp;sheet=U0&amp;row=2478&amp;col=7&amp;number=0.000597&amp;sourceID=14","0.000597")</f>
        <v>0.000597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HYPERLINK("http://141.218.60.56/~jnz1568/getInfo.php?workbook=14_04.xlsx&amp;sheet=U0&amp;row=2479&amp;col=6&amp;number=4.5&amp;sourceID=14","4.5")</f>
        <v>4.5</v>
      </c>
      <c r="G2479" s="4" t="str">
        <f>HYPERLINK("http://141.218.60.56/~jnz1568/getInfo.php?workbook=14_04.xlsx&amp;sheet=U0&amp;row=2479&amp;col=7&amp;number=0.000597&amp;sourceID=14","0.000597")</f>
        <v>0.000597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HYPERLINK("http://141.218.60.56/~jnz1568/getInfo.php?workbook=14_04.xlsx&amp;sheet=U0&amp;row=2480&amp;col=6&amp;number=4.6&amp;sourceID=14","4.6")</f>
        <v>4.6</v>
      </c>
      <c r="G2480" s="4" t="str">
        <f>HYPERLINK("http://141.218.60.56/~jnz1568/getInfo.php?workbook=14_04.xlsx&amp;sheet=U0&amp;row=2480&amp;col=7&amp;number=0.000596&amp;sourceID=14","0.000596")</f>
        <v>0.000596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HYPERLINK("http://141.218.60.56/~jnz1568/getInfo.php?workbook=14_04.xlsx&amp;sheet=U0&amp;row=2481&amp;col=6&amp;number=4.7&amp;sourceID=14","4.7")</f>
        <v>4.7</v>
      </c>
      <c r="G2481" s="4" t="str">
        <f>HYPERLINK("http://141.218.60.56/~jnz1568/getInfo.php?workbook=14_04.xlsx&amp;sheet=U0&amp;row=2481&amp;col=7&amp;number=0.000594&amp;sourceID=14","0.000594")</f>
        <v>0.000594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HYPERLINK("http://141.218.60.56/~jnz1568/getInfo.php?workbook=14_04.xlsx&amp;sheet=U0&amp;row=2482&amp;col=6&amp;number=4.8&amp;sourceID=14","4.8")</f>
        <v>4.8</v>
      </c>
      <c r="G2482" s="4" t="str">
        <f>HYPERLINK("http://141.218.60.56/~jnz1568/getInfo.php?workbook=14_04.xlsx&amp;sheet=U0&amp;row=2482&amp;col=7&amp;number=0.000593&amp;sourceID=14","0.000593")</f>
        <v>0.000593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HYPERLINK("http://141.218.60.56/~jnz1568/getInfo.php?workbook=14_04.xlsx&amp;sheet=U0&amp;row=2483&amp;col=6&amp;number=4.9&amp;sourceID=14","4.9")</f>
        <v>4.9</v>
      </c>
      <c r="G2483" s="4" t="str">
        <f>HYPERLINK("http://141.218.60.56/~jnz1568/getInfo.php?workbook=14_04.xlsx&amp;sheet=U0&amp;row=2483&amp;col=7&amp;number=0.000591&amp;sourceID=14","0.000591")</f>
        <v>0.000591</v>
      </c>
    </row>
    <row r="2484" spans="1:7">
      <c r="A2484" s="3">
        <v>14</v>
      </c>
      <c r="B2484" s="3">
        <v>4</v>
      </c>
      <c r="C2484" s="3">
        <v>1</v>
      </c>
      <c r="D2484" s="3">
        <v>90</v>
      </c>
      <c r="E2484" s="3">
        <v>1</v>
      </c>
      <c r="F2484" s="4" t="str">
        <f>HYPERLINK("http://141.218.60.56/~jnz1568/getInfo.php?workbook=14_04.xlsx&amp;sheet=U0&amp;row=2484&amp;col=6&amp;number=3&amp;sourceID=14","3")</f>
        <v>3</v>
      </c>
      <c r="G2484" s="4" t="str">
        <f>HYPERLINK("http://141.218.60.56/~jnz1568/getInfo.php?workbook=14_04.xlsx&amp;sheet=U0&amp;row=2484&amp;col=7&amp;number=0.001&amp;sourceID=14","0.001")</f>
        <v>0.001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HYPERLINK("http://141.218.60.56/~jnz1568/getInfo.php?workbook=14_04.xlsx&amp;sheet=U0&amp;row=2485&amp;col=6&amp;number=3.1&amp;sourceID=14","3.1")</f>
        <v>3.1</v>
      </c>
      <c r="G2485" s="4" t="str">
        <f>HYPERLINK("http://141.218.60.56/~jnz1568/getInfo.php?workbook=14_04.xlsx&amp;sheet=U0&amp;row=2485&amp;col=7&amp;number=0.001&amp;sourceID=14","0.001")</f>
        <v>0.001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HYPERLINK("http://141.218.60.56/~jnz1568/getInfo.php?workbook=14_04.xlsx&amp;sheet=U0&amp;row=2486&amp;col=6&amp;number=3.2&amp;sourceID=14","3.2")</f>
        <v>3.2</v>
      </c>
      <c r="G2486" s="4" t="str">
        <f>HYPERLINK("http://141.218.60.56/~jnz1568/getInfo.php?workbook=14_04.xlsx&amp;sheet=U0&amp;row=2486&amp;col=7&amp;number=0.001&amp;sourceID=14","0.001")</f>
        <v>0.001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HYPERLINK("http://141.218.60.56/~jnz1568/getInfo.php?workbook=14_04.xlsx&amp;sheet=U0&amp;row=2487&amp;col=6&amp;number=3.3&amp;sourceID=14","3.3")</f>
        <v>3.3</v>
      </c>
      <c r="G2487" s="4" t="str">
        <f>HYPERLINK("http://141.218.60.56/~jnz1568/getInfo.php?workbook=14_04.xlsx&amp;sheet=U0&amp;row=2487&amp;col=7&amp;number=0.001&amp;sourceID=14","0.001")</f>
        <v>0.001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HYPERLINK("http://141.218.60.56/~jnz1568/getInfo.php?workbook=14_04.xlsx&amp;sheet=U0&amp;row=2488&amp;col=6&amp;number=3.4&amp;sourceID=14","3.4")</f>
        <v>3.4</v>
      </c>
      <c r="G2488" s="4" t="str">
        <f>HYPERLINK("http://141.218.60.56/~jnz1568/getInfo.php?workbook=14_04.xlsx&amp;sheet=U0&amp;row=2488&amp;col=7&amp;number=0.001&amp;sourceID=14","0.001")</f>
        <v>0.001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HYPERLINK("http://141.218.60.56/~jnz1568/getInfo.php?workbook=14_04.xlsx&amp;sheet=U0&amp;row=2489&amp;col=6&amp;number=3.5&amp;sourceID=14","3.5")</f>
        <v>3.5</v>
      </c>
      <c r="G2489" s="4" t="str">
        <f>HYPERLINK("http://141.218.60.56/~jnz1568/getInfo.php?workbook=14_04.xlsx&amp;sheet=U0&amp;row=2489&amp;col=7&amp;number=0.001&amp;sourceID=14","0.001")</f>
        <v>0.001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HYPERLINK("http://141.218.60.56/~jnz1568/getInfo.php?workbook=14_04.xlsx&amp;sheet=U0&amp;row=2490&amp;col=6&amp;number=3.6&amp;sourceID=14","3.6")</f>
        <v>3.6</v>
      </c>
      <c r="G2490" s="4" t="str">
        <f>HYPERLINK("http://141.218.60.56/~jnz1568/getInfo.php?workbook=14_04.xlsx&amp;sheet=U0&amp;row=2490&amp;col=7&amp;number=0.001&amp;sourceID=14","0.001")</f>
        <v>0.001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HYPERLINK("http://141.218.60.56/~jnz1568/getInfo.php?workbook=14_04.xlsx&amp;sheet=U0&amp;row=2491&amp;col=6&amp;number=3.7&amp;sourceID=14","3.7")</f>
        <v>3.7</v>
      </c>
      <c r="G2491" s="4" t="str">
        <f>HYPERLINK("http://141.218.60.56/~jnz1568/getInfo.php?workbook=14_04.xlsx&amp;sheet=U0&amp;row=2491&amp;col=7&amp;number=0.001&amp;sourceID=14","0.001")</f>
        <v>0.001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HYPERLINK("http://141.218.60.56/~jnz1568/getInfo.php?workbook=14_04.xlsx&amp;sheet=U0&amp;row=2492&amp;col=6&amp;number=3.8&amp;sourceID=14","3.8")</f>
        <v>3.8</v>
      </c>
      <c r="G2492" s="4" t="str">
        <f>HYPERLINK("http://141.218.60.56/~jnz1568/getInfo.php?workbook=14_04.xlsx&amp;sheet=U0&amp;row=2492&amp;col=7&amp;number=0.001&amp;sourceID=14","0.001")</f>
        <v>0.001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HYPERLINK("http://141.218.60.56/~jnz1568/getInfo.php?workbook=14_04.xlsx&amp;sheet=U0&amp;row=2493&amp;col=6&amp;number=3.9&amp;sourceID=14","3.9")</f>
        <v>3.9</v>
      </c>
      <c r="G2493" s="4" t="str">
        <f>HYPERLINK("http://141.218.60.56/~jnz1568/getInfo.php?workbook=14_04.xlsx&amp;sheet=U0&amp;row=2493&amp;col=7&amp;number=0.000999&amp;sourceID=14","0.000999")</f>
        <v>0.000999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HYPERLINK("http://141.218.60.56/~jnz1568/getInfo.php?workbook=14_04.xlsx&amp;sheet=U0&amp;row=2494&amp;col=6&amp;number=4&amp;sourceID=14","4")</f>
        <v>4</v>
      </c>
      <c r="G2494" s="4" t="str">
        <f>HYPERLINK("http://141.218.60.56/~jnz1568/getInfo.php?workbook=14_04.xlsx&amp;sheet=U0&amp;row=2494&amp;col=7&amp;number=0.000999&amp;sourceID=14","0.000999")</f>
        <v>0.000999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HYPERLINK("http://141.218.60.56/~jnz1568/getInfo.php?workbook=14_04.xlsx&amp;sheet=U0&amp;row=2495&amp;col=6&amp;number=4.1&amp;sourceID=14","4.1")</f>
        <v>4.1</v>
      </c>
      <c r="G2495" s="4" t="str">
        <f>HYPERLINK("http://141.218.60.56/~jnz1568/getInfo.php?workbook=14_04.xlsx&amp;sheet=U0&amp;row=2495&amp;col=7&amp;number=0.000999&amp;sourceID=14","0.000999")</f>
        <v>0.000999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HYPERLINK("http://141.218.60.56/~jnz1568/getInfo.php?workbook=14_04.xlsx&amp;sheet=U0&amp;row=2496&amp;col=6&amp;number=4.2&amp;sourceID=14","4.2")</f>
        <v>4.2</v>
      </c>
      <c r="G2496" s="4" t="str">
        <f>HYPERLINK("http://141.218.60.56/~jnz1568/getInfo.php?workbook=14_04.xlsx&amp;sheet=U0&amp;row=2496&amp;col=7&amp;number=0.000998&amp;sourceID=14","0.000998")</f>
        <v>0.000998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HYPERLINK("http://141.218.60.56/~jnz1568/getInfo.php?workbook=14_04.xlsx&amp;sheet=U0&amp;row=2497&amp;col=6&amp;number=4.3&amp;sourceID=14","4.3")</f>
        <v>4.3</v>
      </c>
      <c r="G2497" s="4" t="str">
        <f>HYPERLINK("http://141.218.60.56/~jnz1568/getInfo.php?workbook=14_04.xlsx&amp;sheet=U0&amp;row=2497&amp;col=7&amp;number=0.000997&amp;sourceID=14","0.000997")</f>
        <v>0.000997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HYPERLINK("http://141.218.60.56/~jnz1568/getInfo.php?workbook=14_04.xlsx&amp;sheet=U0&amp;row=2498&amp;col=6&amp;number=4.4&amp;sourceID=14","4.4")</f>
        <v>4.4</v>
      </c>
      <c r="G2498" s="4" t="str">
        <f>HYPERLINK("http://141.218.60.56/~jnz1568/getInfo.php?workbook=14_04.xlsx&amp;sheet=U0&amp;row=2498&amp;col=7&amp;number=0.000996&amp;sourceID=14","0.000996")</f>
        <v>0.000996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HYPERLINK("http://141.218.60.56/~jnz1568/getInfo.php?workbook=14_04.xlsx&amp;sheet=U0&amp;row=2499&amp;col=6&amp;number=4.5&amp;sourceID=14","4.5")</f>
        <v>4.5</v>
      </c>
      <c r="G2499" s="4" t="str">
        <f>HYPERLINK("http://141.218.60.56/~jnz1568/getInfo.php?workbook=14_04.xlsx&amp;sheet=U0&amp;row=2499&amp;col=7&amp;number=0.000995&amp;sourceID=14","0.000995")</f>
        <v>0.000995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HYPERLINK("http://141.218.60.56/~jnz1568/getInfo.php?workbook=14_04.xlsx&amp;sheet=U0&amp;row=2500&amp;col=6&amp;number=4.6&amp;sourceID=14","4.6")</f>
        <v>4.6</v>
      </c>
      <c r="G2500" s="4" t="str">
        <f>HYPERLINK("http://141.218.60.56/~jnz1568/getInfo.php?workbook=14_04.xlsx&amp;sheet=U0&amp;row=2500&amp;col=7&amp;number=0.000994&amp;sourceID=14","0.000994")</f>
        <v>0.000994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HYPERLINK("http://141.218.60.56/~jnz1568/getInfo.php?workbook=14_04.xlsx&amp;sheet=U0&amp;row=2501&amp;col=6&amp;number=4.7&amp;sourceID=14","4.7")</f>
        <v>4.7</v>
      </c>
      <c r="G2501" s="4" t="str">
        <f>HYPERLINK("http://141.218.60.56/~jnz1568/getInfo.php?workbook=14_04.xlsx&amp;sheet=U0&amp;row=2501&amp;col=7&amp;number=0.000992&amp;sourceID=14","0.000992")</f>
        <v>0.000992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HYPERLINK("http://141.218.60.56/~jnz1568/getInfo.php?workbook=14_04.xlsx&amp;sheet=U0&amp;row=2502&amp;col=6&amp;number=4.8&amp;sourceID=14","4.8")</f>
        <v>4.8</v>
      </c>
      <c r="G2502" s="4" t="str">
        <f>HYPERLINK("http://141.218.60.56/~jnz1568/getInfo.php?workbook=14_04.xlsx&amp;sheet=U0&amp;row=2502&amp;col=7&amp;number=0.000989&amp;sourceID=14","0.000989")</f>
        <v>0.000989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HYPERLINK("http://141.218.60.56/~jnz1568/getInfo.php?workbook=14_04.xlsx&amp;sheet=U0&amp;row=2503&amp;col=6&amp;number=4.9&amp;sourceID=14","4.9")</f>
        <v>4.9</v>
      </c>
      <c r="G2503" s="4" t="str">
        <f>HYPERLINK("http://141.218.60.56/~jnz1568/getInfo.php?workbook=14_04.xlsx&amp;sheet=U0&amp;row=2503&amp;col=7&amp;number=0.000986&amp;sourceID=14","0.000986")</f>
        <v>0.000986</v>
      </c>
    </row>
    <row r="2504" spans="1:7">
      <c r="A2504" s="3">
        <v>14</v>
      </c>
      <c r="B2504" s="3">
        <v>4</v>
      </c>
      <c r="C2504" s="3">
        <v>1</v>
      </c>
      <c r="D2504" s="3">
        <v>91</v>
      </c>
      <c r="E2504" s="3">
        <v>1</v>
      </c>
      <c r="F2504" s="4" t="str">
        <f>HYPERLINK("http://141.218.60.56/~jnz1568/getInfo.php?workbook=14_04.xlsx&amp;sheet=U0&amp;row=2504&amp;col=6&amp;number=3&amp;sourceID=14","3")</f>
        <v>3</v>
      </c>
      <c r="G2504" s="4" t="str">
        <f>HYPERLINK("http://141.218.60.56/~jnz1568/getInfo.php?workbook=14_04.xlsx&amp;sheet=U0&amp;row=2504&amp;col=7&amp;number=0.0014&amp;sourceID=14","0.0014")</f>
        <v>0.0014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HYPERLINK("http://141.218.60.56/~jnz1568/getInfo.php?workbook=14_04.xlsx&amp;sheet=U0&amp;row=2505&amp;col=6&amp;number=3.1&amp;sourceID=14","3.1")</f>
        <v>3.1</v>
      </c>
      <c r="G2505" s="4" t="str">
        <f>HYPERLINK("http://141.218.60.56/~jnz1568/getInfo.php?workbook=14_04.xlsx&amp;sheet=U0&amp;row=2505&amp;col=7&amp;number=0.0014&amp;sourceID=14","0.0014")</f>
        <v>0.0014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HYPERLINK("http://141.218.60.56/~jnz1568/getInfo.php?workbook=14_04.xlsx&amp;sheet=U0&amp;row=2506&amp;col=6&amp;number=3.2&amp;sourceID=14","3.2")</f>
        <v>3.2</v>
      </c>
      <c r="G2506" s="4" t="str">
        <f>HYPERLINK("http://141.218.60.56/~jnz1568/getInfo.php?workbook=14_04.xlsx&amp;sheet=U0&amp;row=2506&amp;col=7&amp;number=0.0014&amp;sourceID=14","0.0014")</f>
        <v>0.0014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HYPERLINK("http://141.218.60.56/~jnz1568/getInfo.php?workbook=14_04.xlsx&amp;sheet=U0&amp;row=2507&amp;col=6&amp;number=3.3&amp;sourceID=14","3.3")</f>
        <v>3.3</v>
      </c>
      <c r="G2507" s="4" t="str">
        <f>HYPERLINK("http://141.218.60.56/~jnz1568/getInfo.php?workbook=14_04.xlsx&amp;sheet=U0&amp;row=2507&amp;col=7&amp;number=0.0014&amp;sourceID=14","0.0014")</f>
        <v>0.0014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HYPERLINK("http://141.218.60.56/~jnz1568/getInfo.php?workbook=14_04.xlsx&amp;sheet=U0&amp;row=2508&amp;col=6&amp;number=3.4&amp;sourceID=14","3.4")</f>
        <v>3.4</v>
      </c>
      <c r="G2508" s="4" t="str">
        <f>HYPERLINK("http://141.218.60.56/~jnz1568/getInfo.php?workbook=14_04.xlsx&amp;sheet=U0&amp;row=2508&amp;col=7&amp;number=0.0014&amp;sourceID=14","0.0014")</f>
        <v>0.0014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HYPERLINK("http://141.218.60.56/~jnz1568/getInfo.php?workbook=14_04.xlsx&amp;sheet=U0&amp;row=2509&amp;col=6&amp;number=3.5&amp;sourceID=14","3.5")</f>
        <v>3.5</v>
      </c>
      <c r="G2509" s="4" t="str">
        <f>HYPERLINK("http://141.218.60.56/~jnz1568/getInfo.php?workbook=14_04.xlsx&amp;sheet=U0&amp;row=2509&amp;col=7&amp;number=0.0014&amp;sourceID=14","0.0014")</f>
        <v>0.0014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HYPERLINK("http://141.218.60.56/~jnz1568/getInfo.php?workbook=14_04.xlsx&amp;sheet=U0&amp;row=2510&amp;col=6&amp;number=3.6&amp;sourceID=14","3.6")</f>
        <v>3.6</v>
      </c>
      <c r="G2510" s="4" t="str">
        <f>HYPERLINK("http://141.218.60.56/~jnz1568/getInfo.php?workbook=14_04.xlsx&amp;sheet=U0&amp;row=2510&amp;col=7&amp;number=0.0014&amp;sourceID=14","0.0014")</f>
        <v>0.0014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HYPERLINK("http://141.218.60.56/~jnz1568/getInfo.php?workbook=14_04.xlsx&amp;sheet=U0&amp;row=2511&amp;col=6&amp;number=3.7&amp;sourceID=14","3.7")</f>
        <v>3.7</v>
      </c>
      <c r="G2511" s="4" t="str">
        <f>HYPERLINK("http://141.218.60.56/~jnz1568/getInfo.php?workbook=14_04.xlsx&amp;sheet=U0&amp;row=2511&amp;col=7&amp;number=0.0014&amp;sourceID=14","0.0014")</f>
        <v>0.0014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HYPERLINK("http://141.218.60.56/~jnz1568/getInfo.php?workbook=14_04.xlsx&amp;sheet=U0&amp;row=2512&amp;col=6&amp;number=3.8&amp;sourceID=14","3.8")</f>
        <v>3.8</v>
      </c>
      <c r="G2512" s="4" t="str">
        <f>HYPERLINK("http://141.218.60.56/~jnz1568/getInfo.php?workbook=14_04.xlsx&amp;sheet=U0&amp;row=2512&amp;col=7&amp;number=0.0014&amp;sourceID=14","0.0014")</f>
        <v>0.0014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HYPERLINK("http://141.218.60.56/~jnz1568/getInfo.php?workbook=14_04.xlsx&amp;sheet=U0&amp;row=2513&amp;col=6&amp;number=3.9&amp;sourceID=14","3.9")</f>
        <v>3.9</v>
      </c>
      <c r="G2513" s="4" t="str">
        <f>HYPERLINK("http://141.218.60.56/~jnz1568/getInfo.php?workbook=14_04.xlsx&amp;sheet=U0&amp;row=2513&amp;col=7&amp;number=0.0014&amp;sourceID=14","0.0014")</f>
        <v>0.0014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HYPERLINK("http://141.218.60.56/~jnz1568/getInfo.php?workbook=14_04.xlsx&amp;sheet=U0&amp;row=2514&amp;col=6&amp;number=4&amp;sourceID=14","4")</f>
        <v>4</v>
      </c>
      <c r="G2514" s="4" t="str">
        <f>HYPERLINK("http://141.218.60.56/~jnz1568/getInfo.php?workbook=14_04.xlsx&amp;sheet=U0&amp;row=2514&amp;col=7&amp;number=0.0014&amp;sourceID=14","0.0014")</f>
        <v>0.0014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HYPERLINK("http://141.218.60.56/~jnz1568/getInfo.php?workbook=14_04.xlsx&amp;sheet=U0&amp;row=2515&amp;col=6&amp;number=4.1&amp;sourceID=14","4.1")</f>
        <v>4.1</v>
      </c>
      <c r="G2515" s="4" t="str">
        <f>HYPERLINK("http://141.218.60.56/~jnz1568/getInfo.php?workbook=14_04.xlsx&amp;sheet=U0&amp;row=2515&amp;col=7&amp;number=0.0014&amp;sourceID=14","0.0014")</f>
        <v>0.0014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HYPERLINK("http://141.218.60.56/~jnz1568/getInfo.php?workbook=14_04.xlsx&amp;sheet=U0&amp;row=2516&amp;col=6&amp;number=4.2&amp;sourceID=14","4.2")</f>
        <v>4.2</v>
      </c>
      <c r="G2516" s="4" t="str">
        <f>HYPERLINK("http://141.218.60.56/~jnz1568/getInfo.php?workbook=14_04.xlsx&amp;sheet=U0&amp;row=2516&amp;col=7&amp;number=0.0014&amp;sourceID=14","0.0014")</f>
        <v>0.0014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HYPERLINK("http://141.218.60.56/~jnz1568/getInfo.php?workbook=14_04.xlsx&amp;sheet=U0&amp;row=2517&amp;col=6&amp;number=4.3&amp;sourceID=14","4.3")</f>
        <v>4.3</v>
      </c>
      <c r="G2517" s="4" t="str">
        <f>HYPERLINK("http://141.218.60.56/~jnz1568/getInfo.php?workbook=14_04.xlsx&amp;sheet=U0&amp;row=2517&amp;col=7&amp;number=0.0014&amp;sourceID=14","0.0014")</f>
        <v>0.0014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HYPERLINK("http://141.218.60.56/~jnz1568/getInfo.php?workbook=14_04.xlsx&amp;sheet=U0&amp;row=2518&amp;col=6&amp;number=4.4&amp;sourceID=14","4.4")</f>
        <v>4.4</v>
      </c>
      <c r="G2518" s="4" t="str">
        <f>HYPERLINK("http://141.218.60.56/~jnz1568/getInfo.php?workbook=14_04.xlsx&amp;sheet=U0&amp;row=2518&amp;col=7&amp;number=0.0014&amp;sourceID=14","0.0014")</f>
        <v>0.0014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HYPERLINK("http://141.218.60.56/~jnz1568/getInfo.php?workbook=14_04.xlsx&amp;sheet=U0&amp;row=2519&amp;col=6&amp;number=4.5&amp;sourceID=14","4.5")</f>
        <v>4.5</v>
      </c>
      <c r="G2519" s="4" t="str">
        <f>HYPERLINK("http://141.218.60.56/~jnz1568/getInfo.php?workbook=14_04.xlsx&amp;sheet=U0&amp;row=2519&amp;col=7&amp;number=0.0014&amp;sourceID=14","0.0014")</f>
        <v>0.0014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HYPERLINK("http://141.218.60.56/~jnz1568/getInfo.php?workbook=14_04.xlsx&amp;sheet=U0&amp;row=2520&amp;col=6&amp;number=4.6&amp;sourceID=14","4.6")</f>
        <v>4.6</v>
      </c>
      <c r="G2520" s="4" t="str">
        <f>HYPERLINK("http://141.218.60.56/~jnz1568/getInfo.php?workbook=14_04.xlsx&amp;sheet=U0&amp;row=2520&amp;col=7&amp;number=0.00139&amp;sourceID=14","0.00139")</f>
        <v>0.00139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HYPERLINK("http://141.218.60.56/~jnz1568/getInfo.php?workbook=14_04.xlsx&amp;sheet=U0&amp;row=2521&amp;col=6&amp;number=4.7&amp;sourceID=14","4.7")</f>
        <v>4.7</v>
      </c>
      <c r="G2521" s="4" t="str">
        <f>HYPERLINK("http://141.218.60.56/~jnz1568/getInfo.php?workbook=14_04.xlsx&amp;sheet=U0&amp;row=2521&amp;col=7&amp;number=0.00139&amp;sourceID=14","0.00139")</f>
        <v>0.00139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HYPERLINK("http://141.218.60.56/~jnz1568/getInfo.php?workbook=14_04.xlsx&amp;sheet=U0&amp;row=2522&amp;col=6&amp;number=4.8&amp;sourceID=14","4.8")</f>
        <v>4.8</v>
      </c>
      <c r="G2522" s="4" t="str">
        <f>HYPERLINK("http://141.218.60.56/~jnz1568/getInfo.php?workbook=14_04.xlsx&amp;sheet=U0&amp;row=2522&amp;col=7&amp;number=0.00139&amp;sourceID=14","0.00139")</f>
        <v>0.00139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HYPERLINK("http://141.218.60.56/~jnz1568/getInfo.php?workbook=14_04.xlsx&amp;sheet=U0&amp;row=2523&amp;col=6&amp;number=4.9&amp;sourceID=14","4.9")</f>
        <v>4.9</v>
      </c>
      <c r="G2523" s="4" t="str">
        <f>HYPERLINK("http://141.218.60.56/~jnz1568/getInfo.php?workbook=14_04.xlsx&amp;sheet=U0&amp;row=2523&amp;col=7&amp;number=0.00138&amp;sourceID=14","0.00138")</f>
        <v>0.00138</v>
      </c>
    </row>
    <row r="2524" spans="1:7">
      <c r="A2524" s="3">
        <v>14</v>
      </c>
      <c r="B2524" s="3">
        <v>4</v>
      </c>
      <c r="C2524" s="3">
        <v>1</v>
      </c>
      <c r="D2524" s="3">
        <v>92</v>
      </c>
      <c r="E2524" s="3">
        <v>1</v>
      </c>
      <c r="F2524" s="4" t="str">
        <f>HYPERLINK("http://141.218.60.56/~jnz1568/getInfo.php?workbook=14_04.xlsx&amp;sheet=U0&amp;row=2524&amp;col=6&amp;number=3&amp;sourceID=14","3")</f>
        <v>3</v>
      </c>
      <c r="G2524" s="4" t="str">
        <f>HYPERLINK("http://141.218.60.56/~jnz1568/getInfo.php?workbook=14_04.xlsx&amp;sheet=U0&amp;row=2524&amp;col=7&amp;number=0.00334&amp;sourceID=14","0.00334")</f>
        <v>0.00334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HYPERLINK("http://141.218.60.56/~jnz1568/getInfo.php?workbook=14_04.xlsx&amp;sheet=U0&amp;row=2525&amp;col=6&amp;number=3.1&amp;sourceID=14","3.1")</f>
        <v>3.1</v>
      </c>
      <c r="G2525" s="4" t="str">
        <f>HYPERLINK("http://141.218.60.56/~jnz1568/getInfo.php?workbook=14_04.xlsx&amp;sheet=U0&amp;row=2525&amp;col=7&amp;number=0.00334&amp;sourceID=14","0.00334")</f>
        <v>0.00334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HYPERLINK("http://141.218.60.56/~jnz1568/getInfo.php?workbook=14_04.xlsx&amp;sheet=U0&amp;row=2526&amp;col=6&amp;number=3.2&amp;sourceID=14","3.2")</f>
        <v>3.2</v>
      </c>
      <c r="G2526" s="4" t="str">
        <f>HYPERLINK("http://141.218.60.56/~jnz1568/getInfo.php?workbook=14_04.xlsx&amp;sheet=U0&amp;row=2526&amp;col=7&amp;number=0.00334&amp;sourceID=14","0.00334")</f>
        <v>0.00334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HYPERLINK("http://141.218.60.56/~jnz1568/getInfo.php?workbook=14_04.xlsx&amp;sheet=U0&amp;row=2527&amp;col=6&amp;number=3.3&amp;sourceID=14","3.3")</f>
        <v>3.3</v>
      </c>
      <c r="G2527" s="4" t="str">
        <f>HYPERLINK("http://141.218.60.56/~jnz1568/getInfo.php?workbook=14_04.xlsx&amp;sheet=U0&amp;row=2527&amp;col=7&amp;number=0.00334&amp;sourceID=14","0.00334")</f>
        <v>0.00334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HYPERLINK("http://141.218.60.56/~jnz1568/getInfo.php?workbook=14_04.xlsx&amp;sheet=U0&amp;row=2528&amp;col=6&amp;number=3.4&amp;sourceID=14","3.4")</f>
        <v>3.4</v>
      </c>
      <c r="G2528" s="4" t="str">
        <f>HYPERLINK("http://141.218.60.56/~jnz1568/getInfo.php?workbook=14_04.xlsx&amp;sheet=U0&amp;row=2528&amp;col=7&amp;number=0.00334&amp;sourceID=14","0.00334")</f>
        <v>0.00334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HYPERLINK("http://141.218.60.56/~jnz1568/getInfo.php?workbook=14_04.xlsx&amp;sheet=U0&amp;row=2529&amp;col=6&amp;number=3.5&amp;sourceID=14","3.5")</f>
        <v>3.5</v>
      </c>
      <c r="G2529" s="4" t="str">
        <f>HYPERLINK("http://141.218.60.56/~jnz1568/getInfo.php?workbook=14_04.xlsx&amp;sheet=U0&amp;row=2529&amp;col=7&amp;number=0.00334&amp;sourceID=14","0.00334")</f>
        <v>0.00334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HYPERLINK("http://141.218.60.56/~jnz1568/getInfo.php?workbook=14_04.xlsx&amp;sheet=U0&amp;row=2530&amp;col=6&amp;number=3.6&amp;sourceID=14","3.6")</f>
        <v>3.6</v>
      </c>
      <c r="G2530" s="4" t="str">
        <f>HYPERLINK("http://141.218.60.56/~jnz1568/getInfo.php?workbook=14_04.xlsx&amp;sheet=U0&amp;row=2530&amp;col=7&amp;number=0.00334&amp;sourceID=14","0.00334")</f>
        <v>0.00334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HYPERLINK("http://141.218.60.56/~jnz1568/getInfo.php?workbook=14_04.xlsx&amp;sheet=U0&amp;row=2531&amp;col=6&amp;number=3.7&amp;sourceID=14","3.7")</f>
        <v>3.7</v>
      </c>
      <c r="G2531" s="4" t="str">
        <f>HYPERLINK("http://141.218.60.56/~jnz1568/getInfo.php?workbook=14_04.xlsx&amp;sheet=U0&amp;row=2531&amp;col=7&amp;number=0.00334&amp;sourceID=14","0.00334")</f>
        <v>0.00334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HYPERLINK("http://141.218.60.56/~jnz1568/getInfo.php?workbook=14_04.xlsx&amp;sheet=U0&amp;row=2532&amp;col=6&amp;number=3.8&amp;sourceID=14","3.8")</f>
        <v>3.8</v>
      </c>
      <c r="G2532" s="4" t="str">
        <f>HYPERLINK("http://141.218.60.56/~jnz1568/getInfo.php?workbook=14_04.xlsx&amp;sheet=U0&amp;row=2532&amp;col=7&amp;number=0.00334&amp;sourceID=14","0.00334")</f>
        <v>0.00334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HYPERLINK("http://141.218.60.56/~jnz1568/getInfo.php?workbook=14_04.xlsx&amp;sheet=U0&amp;row=2533&amp;col=6&amp;number=3.9&amp;sourceID=14","3.9")</f>
        <v>3.9</v>
      </c>
      <c r="G2533" s="4" t="str">
        <f>HYPERLINK("http://141.218.60.56/~jnz1568/getInfo.php?workbook=14_04.xlsx&amp;sheet=U0&amp;row=2533&amp;col=7&amp;number=0.00334&amp;sourceID=14","0.00334")</f>
        <v>0.00334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HYPERLINK("http://141.218.60.56/~jnz1568/getInfo.php?workbook=14_04.xlsx&amp;sheet=U0&amp;row=2534&amp;col=6&amp;number=4&amp;sourceID=14","4")</f>
        <v>4</v>
      </c>
      <c r="G2534" s="4" t="str">
        <f>HYPERLINK("http://141.218.60.56/~jnz1568/getInfo.php?workbook=14_04.xlsx&amp;sheet=U0&amp;row=2534&amp;col=7&amp;number=0.00334&amp;sourceID=14","0.00334")</f>
        <v>0.00334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HYPERLINK("http://141.218.60.56/~jnz1568/getInfo.php?workbook=14_04.xlsx&amp;sheet=U0&amp;row=2535&amp;col=6&amp;number=4.1&amp;sourceID=14","4.1")</f>
        <v>4.1</v>
      </c>
      <c r="G2535" s="4" t="str">
        <f>HYPERLINK("http://141.218.60.56/~jnz1568/getInfo.php?workbook=14_04.xlsx&amp;sheet=U0&amp;row=2535&amp;col=7&amp;number=0.00335&amp;sourceID=14","0.00335")</f>
        <v>0.00335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HYPERLINK("http://141.218.60.56/~jnz1568/getInfo.php?workbook=14_04.xlsx&amp;sheet=U0&amp;row=2536&amp;col=6&amp;number=4.2&amp;sourceID=14","4.2")</f>
        <v>4.2</v>
      </c>
      <c r="G2536" s="4" t="str">
        <f>HYPERLINK("http://141.218.60.56/~jnz1568/getInfo.php?workbook=14_04.xlsx&amp;sheet=U0&amp;row=2536&amp;col=7&amp;number=0.00335&amp;sourceID=14","0.00335")</f>
        <v>0.00335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HYPERLINK("http://141.218.60.56/~jnz1568/getInfo.php?workbook=14_04.xlsx&amp;sheet=U0&amp;row=2537&amp;col=6&amp;number=4.3&amp;sourceID=14","4.3")</f>
        <v>4.3</v>
      </c>
      <c r="G2537" s="4" t="str">
        <f>HYPERLINK("http://141.218.60.56/~jnz1568/getInfo.php?workbook=14_04.xlsx&amp;sheet=U0&amp;row=2537&amp;col=7&amp;number=0.00335&amp;sourceID=14","0.00335")</f>
        <v>0.00335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HYPERLINK("http://141.218.60.56/~jnz1568/getInfo.php?workbook=14_04.xlsx&amp;sheet=U0&amp;row=2538&amp;col=6&amp;number=4.4&amp;sourceID=14","4.4")</f>
        <v>4.4</v>
      </c>
      <c r="G2538" s="4" t="str">
        <f>HYPERLINK("http://141.218.60.56/~jnz1568/getInfo.php?workbook=14_04.xlsx&amp;sheet=U0&amp;row=2538&amp;col=7&amp;number=0.00336&amp;sourceID=14","0.00336")</f>
        <v>0.00336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HYPERLINK("http://141.218.60.56/~jnz1568/getInfo.php?workbook=14_04.xlsx&amp;sheet=U0&amp;row=2539&amp;col=6&amp;number=4.5&amp;sourceID=14","4.5")</f>
        <v>4.5</v>
      </c>
      <c r="G2539" s="4" t="str">
        <f>HYPERLINK("http://141.218.60.56/~jnz1568/getInfo.php?workbook=14_04.xlsx&amp;sheet=U0&amp;row=2539&amp;col=7&amp;number=0.00336&amp;sourceID=14","0.00336")</f>
        <v>0.00336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HYPERLINK("http://141.218.60.56/~jnz1568/getInfo.php?workbook=14_04.xlsx&amp;sheet=U0&amp;row=2540&amp;col=6&amp;number=4.6&amp;sourceID=14","4.6")</f>
        <v>4.6</v>
      </c>
      <c r="G2540" s="4" t="str">
        <f>HYPERLINK("http://141.218.60.56/~jnz1568/getInfo.php?workbook=14_04.xlsx&amp;sheet=U0&amp;row=2540&amp;col=7&amp;number=0.00337&amp;sourceID=14","0.00337")</f>
        <v>0.00337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HYPERLINK("http://141.218.60.56/~jnz1568/getInfo.php?workbook=14_04.xlsx&amp;sheet=U0&amp;row=2541&amp;col=6&amp;number=4.7&amp;sourceID=14","4.7")</f>
        <v>4.7</v>
      </c>
      <c r="G2541" s="4" t="str">
        <f>HYPERLINK("http://141.218.60.56/~jnz1568/getInfo.php?workbook=14_04.xlsx&amp;sheet=U0&amp;row=2541&amp;col=7&amp;number=0.00337&amp;sourceID=14","0.00337")</f>
        <v>0.00337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HYPERLINK("http://141.218.60.56/~jnz1568/getInfo.php?workbook=14_04.xlsx&amp;sheet=U0&amp;row=2542&amp;col=6&amp;number=4.8&amp;sourceID=14","4.8")</f>
        <v>4.8</v>
      </c>
      <c r="G2542" s="4" t="str">
        <f>HYPERLINK("http://141.218.60.56/~jnz1568/getInfo.php?workbook=14_04.xlsx&amp;sheet=U0&amp;row=2542&amp;col=7&amp;number=0.00338&amp;sourceID=14","0.00338")</f>
        <v>0.00338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HYPERLINK("http://141.218.60.56/~jnz1568/getInfo.php?workbook=14_04.xlsx&amp;sheet=U0&amp;row=2543&amp;col=6&amp;number=4.9&amp;sourceID=14","4.9")</f>
        <v>4.9</v>
      </c>
      <c r="G2543" s="4" t="str">
        <f>HYPERLINK("http://141.218.60.56/~jnz1568/getInfo.php?workbook=14_04.xlsx&amp;sheet=U0&amp;row=2543&amp;col=7&amp;number=0.00339&amp;sourceID=14","0.00339")</f>
        <v>0.00339</v>
      </c>
    </row>
    <row r="2544" spans="1:7">
      <c r="A2544" s="3">
        <v>14</v>
      </c>
      <c r="B2544" s="3">
        <v>4</v>
      </c>
      <c r="C2544" s="3">
        <v>2</v>
      </c>
      <c r="D2544" s="3">
        <v>11</v>
      </c>
      <c r="E2544" s="3">
        <v>1</v>
      </c>
      <c r="F2544" s="4" t="str">
        <f>HYPERLINK("http://141.218.60.56/~jnz1568/getInfo.php?workbook=14_04.xlsx&amp;sheet=U0&amp;row=2544&amp;col=6&amp;number=3&amp;sourceID=14","3")</f>
        <v>3</v>
      </c>
      <c r="G2544" s="4" t="str">
        <f>HYPERLINK("http://141.218.60.56/~jnz1568/getInfo.php?workbook=14_04.xlsx&amp;sheet=U0&amp;row=2544&amp;col=7&amp;number=0.00126&amp;sourceID=14","0.00126")</f>
        <v>0.00126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HYPERLINK("http://141.218.60.56/~jnz1568/getInfo.php?workbook=14_04.xlsx&amp;sheet=U0&amp;row=2545&amp;col=6&amp;number=3.1&amp;sourceID=14","3.1")</f>
        <v>3.1</v>
      </c>
      <c r="G2545" s="4" t="str">
        <f>HYPERLINK("http://141.218.60.56/~jnz1568/getInfo.php?workbook=14_04.xlsx&amp;sheet=U0&amp;row=2545&amp;col=7&amp;number=0.00126&amp;sourceID=14","0.00126")</f>
        <v>0.00126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HYPERLINK("http://141.218.60.56/~jnz1568/getInfo.php?workbook=14_04.xlsx&amp;sheet=U0&amp;row=2546&amp;col=6&amp;number=3.2&amp;sourceID=14","3.2")</f>
        <v>3.2</v>
      </c>
      <c r="G2546" s="4" t="str">
        <f>HYPERLINK("http://141.218.60.56/~jnz1568/getInfo.php?workbook=14_04.xlsx&amp;sheet=U0&amp;row=2546&amp;col=7&amp;number=0.00126&amp;sourceID=14","0.00126")</f>
        <v>0.00126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HYPERLINK("http://141.218.60.56/~jnz1568/getInfo.php?workbook=14_04.xlsx&amp;sheet=U0&amp;row=2547&amp;col=6&amp;number=3.3&amp;sourceID=14","3.3")</f>
        <v>3.3</v>
      </c>
      <c r="G2547" s="4" t="str">
        <f>HYPERLINK("http://141.218.60.56/~jnz1568/getInfo.php?workbook=14_04.xlsx&amp;sheet=U0&amp;row=2547&amp;col=7&amp;number=0.00126&amp;sourceID=14","0.00126")</f>
        <v>0.00126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HYPERLINK("http://141.218.60.56/~jnz1568/getInfo.php?workbook=14_04.xlsx&amp;sheet=U0&amp;row=2548&amp;col=6&amp;number=3.4&amp;sourceID=14","3.4")</f>
        <v>3.4</v>
      </c>
      <c r="G2548" s="4" t="str">
        <f>HYPERLINK("http://141.218.60.56/~jnz1568/getInfo.php?workbook=14_04.xlsx&amp;sheet=U0&amp;row=2548&amp;col=7&amp;number=0.00126&amp;sourceID=14","0.00126")</f>
        <v>0.00126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HYPERLINK("http://141.218.60.56/~jnz1568/getInfo.php?workbook=14_04.xlsx&amp;sheet=U0&amp;row=2549&amp;col=6&amp;number=3.5&amp;sourceID=14","3.5")</f>
        <v>3.5</v>
      </c>
      <c r="G2549" s="4" t="str">
        <f>HYPERLINK("http://141.218.60.56/~jnz1568/getInfo.php?workbook=14_04.xlsx&amp;sheet=U0&amp;row=2549&amp;col=7&amp;number=0.00126&amp;sourceID=14","0.00126")</f>
        <v>0.00126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HYPERLINK("http://141.218.60.56/~jnz1568/getInfo.php?workbook=14_04.xlsx&amp;sheet=U0&amp;row=2550&amp;col=6&amp;number=3.6&amp;sourceID=14","3.6")</f>
        <v>3.6</v>
      </c>
      <c r="G2550" s="4" t="str">
        <f>HYPERLINK("http://141.218.60.56/~jnz1568/getInfo.php?workbook=14_04.xlsx&amp;sheet=U0&amp;row=2550&amp;col=7&amp;number=0.00126&amp;sourceID=14","0.00126")</f>
        <v>0.00126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HYPERLINK("http://141.218.60.56/~jnz1568/getInfo.php?workbook=14_04.xlsx&amp;sheet=U0&amp;row=2551&amp;col=6&amp;number=3.7&amp;sourceID=14","3.7")</f>
        <v>3.7</v>
      </c>
      <c r="G2551" s="4" t="str">
        <f>HYPERLINK("http://141.218.60.56/~jnz1568/getInfo.php?workbook=14_04.xlsx&amp;sheet=U0&amp;row=2551&amp;col=7&amp;number=0.00126&amp;sourceID=14","0.00126")</f>
        <v>0.00126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HYPERLINK("http://141.218.60.56/~jnz1568/getInfo.php?workbook=14_04.xlsx&amp;sheet=U0&amp;row=2552&amp;col=6&amp;number=3.8&amp;sourceID=14","3.8")</f>
        <v>3.8</v>
      </c>
      <c r="G2552" s="4" t="str">
        <f>HYPERLINK("http://141.218.60.56/~jnz1568/getInfo.php?workbook=14_04.xlsx&amp;sheet=U0&amp;row=2552&amp;col=7&amp;number=0.00126&amp;sourceID=14","0.00126")</f>
        <v>0.00126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HYPERLINK("http://141.218.60.56/~jnz1568/getInfo.php?workbook=14_04.xlsx&amp;sheet=U0&amp;row=2553&amp;col=6&amp;number=3.9&amp;sourceID=14","3.9")</f>
        <v>3.9</v>
      </c>
      <c r="G2553" s="4" t="str">
        <f>HYPERLINK("http://141.218.60.56/~jnz1568/getInfo.php?workbook=14_04.xlsx&amp;sheet=U0&amp;row=2553&amp;col=7&amp;number=0.00126&amp;sourceID=14","0.00126")</f>
        <v>0.00126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HYPERLINK("http://141.218.60.56/~jnz1568/getInfo.php?workbook=14_04.xlsx&amp;sheet=U0&amp;row=2554&amp;col=6&amp;number=4&amp;sourceID=14","4")</f>
        <v>4</v>
      </c>
      <c r="G2554" s="4" t="str">
        <f>HYPERLINK("http://141.218.60.56/~jnz1568/getInfo.php?workbook=14_04.xlsx&amp;sheet=U0&amp;row=2554&amp;col=7&amp;number=0.00126&amp;sourceID=14","0.00126")</f>
        <v>0.00126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HYPERLINK("http://141.218.60.56/~jnz1568/getInfo.php?workbook=14_04.xlsx&amp;sheet=U0&amp;row=2555&amp;col=6&amp;number=4.1&amp;sourceID=14","4.1")</f>
        <v>4.1</v>
      </c>
      <c r="G2555" s="4" t="str">
        <f>HYPERLINK("http://141.218.60.56/~jnz1568/getInfo.php?workbook=14_04.xlsx&amp;sheet=U0&amp;row=2555&amp;col=7&amp;number=0.00126&amp;sourceID=14","0.00126")</f>
        <v>0.00126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HYPERLINK("http://141.218.60.56/~jnz1568/getInfo.php?workbook=14_04.xlsx&amp;sheet=U0&amp;row=2556&amp;col=6&amp;number=4.2&amp;sourceID=14","4.2")</f>
        <v>4.2</v>
      </c>
      <c r="G2556" s="4" t="str">
        <f>HYPERLINK("http://141.218.60.56/~jnz1568/getInfo.php?workbook=14_04.xlsx&amp;sheet=U0&amp;row=2556&amp;col=7&amp;number=0.00127&amp;sourceID=14","0.00127")</f>
        <v>0.00127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HYPERLINK("http://141.218.60.56/~jnz1568/getInfo.php?workbook=14_04.xlsx&amp;sheet=U0&amp;row=2557&amp;col=6&amp;number=4.3&amp;sourceID=14","4.3")</f>
        <v>4.3</v>
      </c>
      <c r="G2557" s="4" t="str">
        <f>HYPERLINK("http://141.218.60.56/~jnz1568/getInfo.php?workbook=14_04.xlsx&amp;sheet=U0&amp;row=2557&amp;col=7&amp;number=0.00127&amp;sourceID=14","0.00127")</f>
        <v>0.00127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HYPERLINK("http://141.218.60.56/~jnz1568/getInfo.php?workbook=14_04.xlsx&amp;sheet=U0&amp;row=2558&amp;col=6&amp;number=4.4&amp;sourceID=14","4.4")</f>
        <v>4.4</v>
      </c>
      <c r="G2558" s="4" t="str">
        <f>HYPERLINK("http://141.218.60.56/~jnz1568/getInfo.php?workbook=14_04.xlsx&amp;sheet=U0&amp;row=2558&amp;col=7&amp;number=0.00127&amp;sourceID=14","0.00127")</f>
        <v>0.00127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HYPERLINK("http://141.218.60.56/~jnz1568/getInfo.php?workbook=14_04.xlsx&amp;sheet=U0&amp;row=2559&amp;col=6&amp;number=4.5&amp;sourceID=14","4.5")</f>
        <v>4.5</v>
      </c>
      <c r="G2559" s="4" t="str">
        <f>HYPERLINK("http://141.218.60.56/~jnz1568/getInfo.php?workbook=14_04.xlsx&amp;sheet=U0&amp;row=2559&amp;col=7&amp;number=0.00128&amp;sourceID=14","0.00128")</f>
        <v>0.00128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HYPERLINK("http://141.218.60.56/~jnz1568/getInfo.php?workbook=14_04.xlsx&amp;sheet=U0&amp;row=2560&amp;col=6&amp;number=4.6&amp;sourceID=14","4.6")</f>
        <v>4.6</v>
      </c>
      <c r="G2560" s="4" t="str">
        <f>HYPERLINK("http://141.218.60.56/~jnz1568/getInfo.php?workbook=14_04.xlsx&amp;sheet=U0&amp;row=2560&amp;col=7&amp;number=0.00128&amp;sourceID=14","0.00128")</f>
        <v>0.00128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HYPERLINK("http://141.218.60.56/~jnz1568/getInfo.php?workbook=14_04.xlsx&amp;sheet=U0&amp;row=2561&amp;col=6&amp;number=4.7&amp;sourceID=14","4.7")</f>
        <v>4.7</v>
      </c>
      <c r="G2561" s="4" t="str">
        <f>HYPERLINK("http://141.218.60.56/~jnz1568/getInfo.php?workbook=14_04.xlsx&amp;sheet=U0&amp;row=2561&amp;col=7&amp;number=0.00129&amp;sourceID=14","0.00129")</f>
        <v>0.00129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HYPERLINK("http://141.218.60.56/~jnz1568/getInfo.php?workbook=14_04.xlsx&amp;sheet=U0&amp;row=2562&amp;col=6&amp;number=4.8&amp;sourceID=14","4.8")</f>
        <v>4.8</v>
      </c>
      <c r="G2562" s="4" t="str">
        <f>HYPERLINK("http://141.218.60.56/~jnz1568/getInfo.php?workbook=14_04.xlsx&amp;sheet=U0&amp;row=2562&amp;col=7&amp;number=0.0013&amp;sourceID=14","0.0013")</f>
        <v>0.0013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HYPERLINK("http://141.218.60.56/~jnz1568/getInfo.php?workbook=14_04.xlsx&amp;sheet=U0&amp;row=2563&amp;col=6&amp;number=4.9&amp;sourceID=14","4.9")</f>
        <v>4.9</v>
      </c>
      <c r="G2563" s="4" t="str">
        <f>HYPERLINK("http://141.218.60.56/~jnz1568/getInfo.php?workbook=14_04.xlsx&amp;sheet=U0&amp;row=2563&amp;col=7&amp;number=0.00131&amp;sourceID=14","0.00131")</f>
        <v>0.00131</v>
      </c>
    </row>
    <row r="2564" spans="1:7">
      <c r="A2564" s="3">
        <v>14</v>
      </c>
      <c r="B2564" s="3">
        <v>4</v>
      </c>
      <c r="C2564" s="3">
        <v>2</v>
      </c>
      <c r="D2564" s="3">
        <v>12</v>
      </c>
      <c r="E2564" s="3">
        <v>1</v>
      </c>
      <c r="F2564" s="4" t="str">
        <f>HYPERLINK("http://141.218.60.56/~jnz1568/getInfo.php?workbook=14_04.xlsx&amp;sheet=U0&amp;row=2564&amp;col=6&amp;number=3&amp;sourceID=14","3")</f>
        <v>3</v>
      </c>
      <c r="G2564" s="4" t="str">
        <f>HYPERLINK("http://141.218.60.56/~jnz1568/getInfo.php?workbook=14_04.xlsx&amp;sheet=U0&amp;row=2564&amp;col=7&amp;number=0.000937&amp;sourceID=14","0.000937")</f>
        <v>0.000937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HYPERLINK("http://141.218.60.56/~jnz1568/getInfo.php?workbook=14_04.xlsx&amp;sheet=U0&amp;row=2565&amp;col=6&amp;number=3.1&amp;sourceID=14","3.1")</f>
        <v>3.1</v>
      </c>
      <c r="G2565" s="4" t="str">
        <f>HYPERLINK("http://141.218.60.56/~jnz1568/getInfo.php?workbook=14_04.xlsx&amp;sheet=U0&amp;row=2565&amp;col=7&amp;number=0.000936&amp;sourceID=14","0.000936")</f>
        <v>0.000936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HYPERLINK("http://141.218.60.56/~jnz1568/getInfo.php?workbook=14_04.xlsx&amp;sheet=U0&amp;row=2566&amp;col=6&amp;number=3.2&amp;sourceID=14","3.2")</f>
        <v>3.2</v>
      </c>
      <c r="G2566" s="4" t="str">
        <f>HYPERLINK("http://141.218.60.56/~jnz1568/getInfo.php?workbook=14_04.xlsx&amp;sheet=U0&amp;row=2566&amp;col=7&amp;number=0.000936&amp;sourceID=14","0.000936")</f>
        <v>0.000936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HYPERLINK("http://141.218.60.56/~jnz1568/getInfo.php?workbook=14_04.xlsx&amp;sheet=U0&amp;row=2567&amp;col=6&amp;number=3.3&amp;sourceID=14","3.3")</f>
        <v>3.3</v>
      </c>
      <c r="G2567" s="4" t="str">
        <f>HYPERLINK("http://141.218.60.56/~jnz1568/getInfo.php?workbook=14_04.xlsx&amp;sheet=U0&amp;row=2567&amp;col=7&amp;number=0.000936&amp;sourceID=14","0.000936")</f>
        <v>0.000936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HYPERLINK("http://141.218.60.56/~jnz1568/getInfo.php?workbook=14_04.xlsx&amp;sheet=U0&amp;row=2568&amp;col=6&amp;number=3.4&amp;sourceID=14","3.4")</f>
        <v>3.4</v>
      </c>
      <c r="G2568" s="4" t="str">
        <f>HYPERLINK("http://141.218.60.56/~jnz1568/getInfo.php?workbook=14_04.xlsx&amp;sheet=U0&amp;row=2568&amp;col=7&amp;number=0.000936&amp;sourceID=14","0.000936")</f>
        <v>0.000936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HYPERLINK("http://141.218.60.56/~jnz1568/getInfo.php?workbook=14_04.xlsx&amp;sheet=U0&amp;row=2569&amp;col=6&amp;number=3.5&amp;sourceID=14","3.5")</f>
        <v>3.5</v>
      </c>
      <c r="G2569" s="4" t="str">
        <f>HYPERLINK("http://141.218.60.56/~jnz1568/getInfo.php?workbook=14_04.xlsx&amp;sheet=U0&amp;row=2569&amp;col=7&amp;number=0.000936&amp;sourceID=14","0.000936")</f>
        <v>0.000936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HYPERLINK("http://141.218.60.56/~jnz1568/getInfo.php?workbook=14_04.xlsx&amp;sheet=U0&amp;row=2570&amp;col=6&amp;number=3.6&amp;sourceID=14","3.6")</f>
        <v>3.6</v>
      </c>
      <c r="G2570" s="4" t="str">
        <f>HYPERLINK("http://141.218.60.56/~jnz1568/getInfo.php?workbook=14_04.xlsx&amp;sheet=U0&amp;row=2570&amp;col=7&amp;number=0.000935&amp;sourceID=14","0.000935")</f>
        <v>0.000935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HYPERLINK("http://141.218.60.56/~jnz1568/getInfo.php?workbook=14_04.xlsx&amp;sheet=U0&amp;row=2571&amp;col=6&amp;number=3.7&amp;sourceID=14","3.7")</f>
        <v>3.7</v>
      </c>
      <c r="G2571" s="4" t="str">
        <f>HYPERLINK("http://141.218.60.56/~jnz1568/getInfo.php?workbook=14_04.xlsx&amp;sheet=U0&amp;row=2571&amp;col=7&amp;number=0.000935&amp;sourceID=14","0.000935")</f>
        <v>0.000935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HYPERLINK("http://141.218.60.56/~jnz1568/getInfo.php?workbook=14_04.xlsx&amp;sheet=U0&amp;row=2572&amp;col=6&amp;number=3.8&amp;sourceID=14","3.8")</f>
        <v>3.8</v>
      </c>
      <c r="G2572" s="4" t="str">
        <f>HYPERLINK("http://141.218.60.56/~jnz1568/getInfo.php?workbook=14_04.xlsx&amp;sheet=U0&amp;row=2572&amp;col=7&amp;number=0.000934&amp;sourceID=14","0.000934")</f>
        <v>0.000934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HYPERLINK("http://141.218.60.56/~jnz1568/getInfo.php?workbook=14_04.xlsx&amp;sheet=U0&amp;row=2573&amp;col=6&amp;number=3.9&amp;sourceID=14","3.9")</f>
        <v>3.9</v>
      </c>
      <c r="G2573" s="4" t="str">
        <f>HYPERLINK("http://141.218.60.56/~jnz1568/getInfo.php?workbook=14_04.xlsx&amp;sheet=U0&amp;row=2573&amp;col=7&amp;number=0.000934&amp;sourceID=14","0.000934")</f>
        <v>0.000934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HYPERLINK("http://141.218.60.56/~jnz1568/getInfo.php?workbook=14_04.xlsx&amp;sheet=U0&amp;row=2574&amp;col=6&amp;number=4&amp;sourceID=14","4")</f>
        <v>4</v>
      </c>
      <c r="G2574" s="4" t="str">
        <f>HYPERLINK("http://141.218.60.56/~jnz1568/getInfo.php?workbook=14_04.xlsx&amp;sheet=U0&amp;row=2574&amp;col=7&amp;number=0.000933&amp;sourceID=14","0.000933")</f>
        <v>0.000933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HYPERLINK("http://141.218.60.56/~jnz1568/getInfo.php?workbook=14_04.xlsx&amp;sheet=U0&amp;row=2575&amp;col=6&amp;number=4.1&amp;sourceID=14","4.1")</f>
        <v>4.1</v>
      </c>
      <c r="G2575" s="4" t="str">
        <f>HYPERLINK("http://141.218.60.56/~jnz1568/getInfo.php?workbook=14_04.xlsx&amp;sheet=U0&amp;row=2575&amp;col=7&amp;number=0.000932&amp;sourceID=14","0.000932")</f>
        <v>0.000932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HYPERLINK("http://141.218.60.56/~jnz1568/getInfo.php?workbook=14_04.xlsx&amp;sheet=U0&amp;row=2576&amp;col=6&amp;number=4.2&amp;sourceID=14","4.2")</f>
        <v>4.2</v>
      </c>
      <c r="G2576" s="4" t="str">
        <f>HYPERLINK("http://141.218.60.56/~jnz1568/getInfo.php?workbook=14_04.xlsx&amp;sheet=U0&amp;row=2576&amp;col=7&amp;number=0.00093&amp;sourceID=14","0.00093")</f>
        <v>0.00093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HYPERLINK("http://141.218.60.56/~jnz1568/getInfo.php?workbook=14_04.xlsx&amp;sheet=U0&amp;row=2577&amp;col=6&amp;number=4.3&amp;sourceID=14","4.3")</f>
        <v>4.3</v>
      </c>
      <c r="G2577" s="4" t="str">
        <f>HYPERLINK("http://141.218.60.56/~jnz1568/getInfo.php?workbook=14_04.xlsx&amp;sheet=U0&amp;row=2577&amp;col=7&amp;number=0.000929&amp;sourceID=14","0.000929")</f>
        <v>0.000929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HYPERLINK("http://141.218.60.56/~jnz1568/getInfo.php?workbook=14_04.xlsx&amp;sheet=U0&amp;row=2578&amp;col=6&amp;number=4.4&amp;sourceID=14","4.4")</f>
        <v>4.4</v>
      </c>
      <c r="G2578" s="4" t="str">
        <f>HYPERLINK("http://141.218.60.56/~jnz1568/getInfo.php?workbook=14_04.xlsx&amp;sheet=U0&amp;row=2578&amp;col=7&amp;number=0.000927&amp;sourceID=14","0.000927")</f>
        <v>0.000927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HYPERLINK("http://141.218.60.56/~jnz1568/getInfo.php?workbook=14_04.xlsx&amp;sheet=U0&amp;row=2579&amp;col=6&amp;number=4.5&amp;sourceID=14","4.5")</f>
        <v>4.5</v>
      </c>
      <c r="G2579" s="4" t="str">
        <f>HYPERLINK("http://141.218.60.56/~jnz1568/getInfo.php?workbook=14_04.xlsx&amp;sheet=U0&amp;row=2579&amp;col=7&amp;number=0.000924&amp;sourceID=14","0.000924")</f>
        <v>0.000924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HYPERLINK("http://141.218.60.56/~jnz1568/getInfo.php?workbook=14_04.xlsx&amp;sheet=U0&amp;row=2580&amp;col=6&amp;number=4.6&amp;sourceID=14","4.6")</f>
        <v>4.6</v>
      </c>
      <c r="G2580" s="4" t="str">
        <f>HYPERLINK("http://141.218.60.56/~jnz1568/getInfo.php?workbook=14_04.xlsx&amp;sheet=U0&amp;row=2580&amp;col=7&amp;number=0.000921&amp;sourceID=14","0.000921")</f>
        <v>0.000921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HYPERLINK("http://141.218.60.56/~jnz1568/getInfo.php?workbook=14_04.xlsx&amp;sheet=U0&amp;row=2581&amp;col=6&amp;number=4.7&amp;sourceID=14","4.7")</f>
        <v>4.7</v>
      </c>
      <c r="G2581" s="4" t="str">
        <f>HYPERLINK("http://141.218.60.56/~jnz1568/getInfo.php?workbook=14_04.xlsx&amp;sheet=U0&amp;row=2581&amp;col=7&amp;number=0.000916&amp;sourceID=14","0.000916")</f>
        <v>0.000916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HYPERLINK("http://141.218.60.56/~jnz1568/getInfo.php?workbook=14_04.xlsx&amp;sheet=U0&amp;row=2582&amp;col=6&amp;number=4.8&amp;sourceID=14","4.8")</f>
        <v>4.8</v>
      </c>
      <c r="G2582" s="4" t="str">
        <f>HYPERLINK("http://141.218.60.56/~jnz1568/getInfo.php?workbook=14_04.xlsx&amp;sheet=U0&amp;row=2582&amp;col=7&amp;number=0.000911&amp;sourceID=14","0.000911")</f>
        <v>0.000911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HYPERLINK("http://141.218.60.56/~jnz1568/getInfo.php?workbook=14_04.xlsx&amp;sheet=U0&amp;row=2583&amp;col=6&amp;number=4.9&amp;sourceID=14","4.9")</f>
        <v>4.9</v>
      </c>
      <c r="G2583" s="4" t="str">
        <f>HYPERLINK("http://141.218.60.56/~jnz1568/getInfo.php?workbook=14_04.xlsx&amp;sheet=U0&amp;row=2583&amp;col=7&amp;number=0.000905&amp;sourceID=14","0.000905")</f>
        <v>0.000905</v>
      </c>
    </row>
    <row r="2584" spans="1:7">
      <c r="A2584" s="3">
        <v>14</v>
      </c>
      <c r="B2584" s="3">
        <v>4</v>
      </c>
      <c r="C2584" s="3">
        <v>2</v>
      </c>
      <c r="D2584" s="3">
        <v>13</v>
      </c>
      <c r="E2584" s="3">
        <v>1</v>
      </c>
      <c r="F2584" s="4" t="str">
        <f>HYPERLINK("http://141.218.60.56/~jnz1568/getInfo.php?workbook=14_04.xlsx&amp;sheet=U0&amp;row=2584&amp;col=6&amp;number=3&amp;sourceID=14","3")</f>
        <v>3</v>
      </c>
      <c r="G2584" s="4" t="str">
        <f>HYPERLINK("http://141.218.60.56/~jnz1568/getInfo.php?workbook=14_04.xlsx&amp;sheet=U0&amp;row=2584&amp;col=7&amp;number=0.00301&amp;sourceID=14","0.00301")</f>
        <v>0.00301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HYPERLINK("http://141.218.60.56/~jnz1568/getInfo.php?workbook=14_04.xlsx&amp;sheet=U0&amp;row=2585&amp;col=6&amp;number=3.1&amp;sourceID=14","3.1")</f>
        <v>3.1</v>
      </c>
      <c r="G2585" s="4" t="str">
        <f>HYPERLINK("http://141.218.60.56/~jnz1568/getInfo.php?workbook=14_04.xlsx&amp;sheet=U0&amp;row=2585&amp;col=7&amp;number=0.00301&amp;sourceID=14","0.00301")</f>
        <v>0.00301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HYPERLINK("http://141.218.60.56/~jnz1568/getInfo.php?workbook=14_04.xlsx&amp;sheet=U0&amp;row=2586&amp;col=6&amp;number=3.2&amp;sourceID=14","3.2")</f>
        <v>3.2</v>
      </c>
      <c r="G2586" s="4" t="str">
        <f>HYPERLINK("http://141.218.60.56/~jnz1568/getInfo.php?workbook=14_04.xlsx&amp;sheet=U0&amp;row=2586&amp;col=7&amp;number=0.00301&amp;sourceID=14","0.00301")</f>
        <v>0.00301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HYPERLINK("http://141.218.60.56/~jnz1568/getInfo.php?workbook=14_04.xlsx&amp;sheet=U0&amp;row=2587&amp;col=6&amp;number=3.3&amp;sourceID=14","3.3")</f>
        <v>3.3</v>
      </c>
      <c r="G2587" s="4" t="str">
        <f>HYPERLINK("http://141.218.60.56/~jnz1568/getInfo.php?workbook=14_04.xlsx&amp;sheet=U0&amp;row=2587&amp;col=7&amp;number=0.00301&amp;sourceID=14","0.00301")</f>
        <v>0.00301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HYPERLINK("http://141.218.60.56/~jnz1568/getInfo.php?workbook=14_04.xlsx&amp;sheet=U0&amp;row=2588&amp;col=6&amp;number=3.4&amp;sourceID=14","3.4")</f>
        <v>3.4</v>
      </c>
      <c r="G2588" s="4" t="str">
        <f>HYPERLINK("http://141.218.60.56/~jnz1568/getInfo.php?workbook=14_04.xlsx&amp;sheet=U0&amp;row=2588&amp;col=7&amp;number=0.00301&amp;sourceID=14","0.00301")</f>
        <v>0.00301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HYPERLINK("http://141.218.60.56/~jnz1568/getInfo.php?workbook=14_04.xlsx&amp;sheet=U0&amp;row=2589&amp;col=6&amp;number=3.5&amp;sourceID=14","3.5")</f>
        <v>3.5</v>
      </c>
      <c r="G2589" s="4" t="str">
        <f>HYPERLINK("http://141.218.60.56/~jnz1568/getInfo.php?workbook=14_04.xlsx&amp;sheet=U0&amp;row=2589&amp;col=7&amp;number=0.00301&amp;sourceID=14","0.00301")</f>
        <v>0.00301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HYPERLINK("http://141.218.60.56/~jnz1568/getInfo.php?workbook=14_04.xlsx&amp;sheet=U0&amp;row=2590&amp;col=6&amp;number=3.6&amp;sourceID=14","3.6")</f>
        <v>3.6</v>
      </c>
      <c r="G2590" s="4" t="str">
        <f>HYPERLINK("http://141.218.60.56/~jnz1568/getInfo.php?workbook=14_04.xlsx&amp;sheet=U0&amp;row=2590&amp;col=7&amp;number=0.00301&amp;sourceID=14","0.00301")</f>
        <v>0.00301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HYPERLINK("http://141.218.60.56/~jnz1568/getInfo.php?workbook=14_04.xlsx&amp;sheet=U0&amp;row=2591&amp;col=6&amp;number=3.7&amp;sourceID=14","3.7")</f>
        <v>3.7</v>
      </c>
      <c r="G2591" s="4" t="str">
        <f>HYPERLINK("http://141.218.60.56/~jnz1568/getInfo.php?workbook=14_04.xlsx&amp;sheet=U0&amp;row=2591&amp;col=7&amp;number=0.00301&amp;sourceID=14","0.00301")</f>
        <v>0.00301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HYPERLINK("http://141.218.60.56/~jnz1568/getInfo.php?workbook=14_04.xlsx&amp;sheet=U0&amp;row=2592&amp;col=6&amp;number=3.8&amp;sourceID=14","3.8")</f>
        <v>3.8</v>
      </c>
      <c r="G2592" s="4" t="str">
        <f>HYPERLINK("http://141.218.60.56/~jnz1568/getInfo.php?workbook=14_04.xlsx&amp;sheet=U0&amp;row=2592&amp;col=7&amp;number=0.00301&amp;sourceID=14","0.00301")</f>
        <v>0.00301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HYPERLINK("http://141.218.60.56/~jnz1568/getInfo.php?workbook=14_04.xlsx&amp;sheet=U0&amp;row=2593&amp;col=6&amp;number=3.9&amp;sourceID=14","3.9")</f>
        <v>3.9</v>
      </c>
      <c r="G2593" s="4" t="str">
        <f>HYPERLINK("http://141.218.60.56/~jnz1568/getInfo.php?workbook=14_04.xlsx&amp;sheet=U0&amp;row=2593&amp;col=7&amp;number=0.00301&amp;sourceID=14","0.00301")</f>
        <v>0.00301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HYPERLINK("http://141.218.60.56/~jnz1568/getInfo.php?workbook=14_04.xlsx&amp;sheet=U0&amp;row=2594&amp;col=6&amp;number=4&amp;sourceID=14","4")</f>
        <v>4</v>
      </c>
      <c r="G2594" s="4" t="str">
        <f>HYPERLINK("http://141.218.60.56/~jnz1568/getInfo.php?workbook=14_04.xlsx&amp;sheet=U0&amp;row=2594&amp;col=7&amp;number=0.00301&amp;sourceID=14","0.00301")</f>
        <v>0.00301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HYPERLINK("http://141.218.60.56/~jnz1568/getInfo.php?workbook=14_04.xlsx&amp;sheet=U0&amp;row=2595&amp;col=6&amp;number=4.1&amp;sourceID=14","4.1")</f>
        <v>4.1</v>
      </c>
      <c r="G2595" s="4" t="str">
        <f>HYPERLINK("http://141.218.60.56/~jnz1568/getInfo.php?workbook=14_04.xlsx&amp;sheet=U0&amp;row=2595&amp;col=7&amp;number=0.003&amp;sourceID=14","0.003")</f>
        <v>0.003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HYPERLINK("http://141.218.60.56/~jnz1568/getInfo.php?workbook=14_04.xlsx&amp;sheet=U0&amp;row=2596&amp;col=6&amp;number=4.2&amp;sourceID=14","4.2")</f>
        <v>4.2</v>
      </c>
      <c r="G2596" s="4" t="str">
        <f>HYPERLINK("http://141.218.60.56/~jnz1568/getInfo.php?workbook=14_04.xlsx&amp;sheet=U0&amp;row=2596&amp;col=7&amp;number=0.003&amp;sourceID=14","0.003")</f>
        <v>0.003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HYPERLINK("http://141.218.60.56/~jnz1568/getInfo.php?workbook=14_04.xlsx&amp;sheet=U0&amp;row=2597&amp;col=6&amp;number=4.3&amp;sourceID=14","4.3")</f>
        <v>4.3</v>
      </c>
      <c r="G2597" s="4" t="str">
        <f>HYPERLINK("http://141.218.60.56/~jnz1568/getInfo.php?workbook=14_04.xlsx&amp;sheet=U0&amp;row=2597&amp;col=7&amp;number=0.003&amp;sourceID=14","0.003")</f>
        <v>0.003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HYPERLINK("http://141.218.60.56/~jnz1568/getInfo.php?workbook=14_04.xlsx&amp;sheet=U0&amp;row=2598&amp;col=6&amp;number=4.4&amp;sourceID=14","4.4")</f>
        <v>4.4</v>
      </c>
      <c r="G2598" s="4" t="str">
        <f>HYPERLINK("http://141.218.60.56/~jnz1568/getInfo.php?workbook=14_04.xlsx&amp;sheet=U0&amp;row=2598&amp;col=7&amp;number=0.00299&amp;sourceID=14","0.00299")</f>
        <v>0.00299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HYPERLINK("http://141.218.60.56/~jnz1568/getInfo.php?workbook=14_04.xlsx&amp;sheet=U0&amp;row=2599&amp;col=6&amp;number=4.5&amp;sourceID=14","4.5")</f>
        <v>4.5</v>
      </c>
      <c r="G2599" s="4" t="str">
        <f>HYPERLINK("http://141.218.60.56/~jnz1568/getInfo.php?workbook=14_04.xlsx&amp;sheet=U0&amp;row=2599&amp;col=7&amp;number=0.00299&amp;sourceID=14","0.00299")</f>
        <v>0.00299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HYPERLINK("http://141.218.60.56/~jnz1568/getInfo.php?workbook=14_04.xlsx&amp;sheet=U0&amp;row=2600&amp;col=6&amp;number=4.6&amp;sourceID=14","4.6")</f>
        <v>4.6</v>
      </c>
      <c r="G2600" s="4" t="str">
        <f>HYPERLINK("http://141.218.60.56/~jnz1568/getInfo.php?workbook=14_04.xlsx&amp;sheet=U0&amp;row=2600&amp;col=7&amp;number=0.00298&amp;sourceID=14","0.00298")</f>
        <v>0.00298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HYPERLINK("http://141.218.60.56/~jnz1568/getInfo.php?workbook=14_04.xlsx&amp;sheet=U0&amp;row=2601&amp;col=6&amp;number=4.7&amp;sourceID=14","4.7")</f>
        <v>4.7</v>
      </c>
      <c r="G2601" s="4" t="str">
        <f>HYPERLINK("http://141.218.60.56/~jnz1568/getInfo.php?workbook=14_04.xlsx&amp;sheet=U0&amp;row=2601&amp;col=7&amp;number=0.00297&amp;sourceID=14","0.00297")</f>
        <v>0.00297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HYPERLINK("http://141.218.60.56/~jnz1568/getInfo.php?workbook=14_04.xlsx&amp;sheet=U0&amp;row=2602&amp;col=6&amp;number=4.8&amp;sourceID=14","4.8")</f>
        <v>4.8</v>
      </c>
      <c r="G2602" s="4" t="str">
        <f>HYPERLINK("http://141.218.60.56/~jnz1568/getInfo.php?workbook=14_04.xlsx&amp;sheet=U0&amp;row=2602&amp;col=7&amp;number=0.00296&amp;sourceID=14","0.00296")</f>
        <v>0.00296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HYPERLINK("http://141.218.60.56/~jnz1568/getInfo.php?workbook=14_04.xlsx&amp;sheet=U0&amp;row=2603&amp;col=6&amp;number=4.9&amp;sourceID=14","4.9")</f>
        <v>4.9</v>
      </c>
      <c r="G2603" s="4" t="str">
        <f>HYPERLINK("http://141.218.60.56/~jnz1568/getInfo.php?workbook=14_04.xlsx&amp;sheet=U0&amp;row=2603&amp;col=7&amp;number=0.00295&amp;sourceID=14","0.00295")</f>
        <v>0.00295</v>
      </c>
    </row>
    <row r="2604" spans="1:7">
      <c r="A2604" s="3">
        <v>14</v>
      </c>
      <c r="B2604" s="3">
        <v>4</v>
      </c>
      <c r="C2604" s="3">
        <v>2</v>
      </c>
      <c r="D2604" s="3">
        <v>14</v>
      </c>
      <c r="E2604" s="3">
        <v>1</v>
      </c>
      <c r="F2604" s="4" t="str">
        <f>HYPERLINK("http://141.218.60.56/~jnz1568/getInfo.php?workbook=14_04.xlsx&amp;sheet=U0&amp;row=2604&amp;col=6&amp;number=3&amp;sourceID=14","3")</f>
        <v>3</v>
      </c>
      <c r="G2604" s="4" t="str">
        <f>HYPERLINK("http://141.218.60.56/~jnz1568/getInfo.php?workbook=14_04.xlsx&amp;sheet=U0&amp;row=2604&amp;col=7&amp;number=0.0301&amp;sourceID=14","0.0301")</f>
        <v>0.0301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HYPERLINK("http://141.218.60.56/~jnz1568/getInfo.php?workbook=14_04.xlsx&amp;sheet=U0&amp;row=2605&amp;col=6&amp;number=3.1&amp;sourceID=14","3.1")</f>
        <v>3.1</v>
      </c>
      <c r="G2605" s="4" t="str">
        <f>HYPERLINK("http://141.218.60.56/~jnz1568/getInfo.php?workbook=14_04.xlsx&amp;sheet=U0&amp;row=2605&amp;col=7&amp;number=0.0301&amp;sourceID=14","0.0301")</f>
        <v>0.0301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HYPERLINK("http://141.218.60.56/~jnz1568/getInfo.php?workbook=14_04.xlsx&amp;sheet=U0&amp;row=2606&amp;col=6&amp;number=3.2&amp;sourceID=14","3.2")</f>
        <v>3.2</v>
      </c>
      <c r="G2606" s="4" t="str">
        <f>HYPERLINK("http://141.218.60.56/~jnz1568/getInfo.php?workbook=14_04.xlsx&amp;sheet=U0&amp;row=2606&amp;col=7&amp;number=0.0301&amp;sourceID=14","0.0301")</f>
        <v>0.0301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HYPERLINK("http://141.218.60.56/~jnz1568/getInfo.php?workbook=14_04.xlsx&amp;sheet=U0&amp;row=2607&amp;col=6&amp;number=3.3&amp;sourceID=14","3.3")</f>
        <v>3.3</v>
      </c>
      <c r="G2607" s="4" t="str">
        <f>HYPERLINK("http://141.218.60.56/~jnz1568/getInfo.php?workbook=14_04.xlsx&amp;sheet=U0&amp;row=2607&amp;col=7&amp;number=0.0301&amp;sourceID=14","0.0301")</f>
        <v>0.0301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HYPERLINK("http://141.218.60.56/~jnz1568/getInfo.php?workbook=14_04.xlsx&amp;sheet=U0&amp;row=2608&amp;col=6&amp;number=3.4&amp;sourceID=14","3.4")</f>
        <v>3.4</v>
      </c>
      <c r="G2608" s="4" t="str">
        <f>HYPERLINK("http://141.218.60.56/~jnz1568/getInfo.php?workbook=14_04.xlsx&amp;sheet=U0&amp;row=2608&amp;col=7&amp;number=0.0301&amp;sourceID=14","0.0301")</f>
        <v>0.0301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HYPERLINK("http://141.218.60.56/~jnz1568/getInfo.php?workbook=14_04.xlsx&amp;sheet=U0&amp;row=2609&amp;col=6&amp;number=3.5&amp;sourceID=14","3.5")</f>
        <v>3.5</v>
      </c>
      <c r="G2609" s="4" t="str">
        <f>HYPERLINK("http://141.218.60.56/~jnz1568/getInfo.php?workbook=14_04.xlsx&amp;sheet=U0&amp;row=2609&amp;col=7&amp;number=0.0301&amp;sourceID=14","0.0301")</f>
        <v>0.0301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HYPERLINK("http://141.218.60.56/~jnz1568/getInfo.php?workbook=14_04.xlsx&amp;sheet=U0&amp;row=2610&amp;col=6&amp;number=3.6&amp;sourceID=14","3.6")</f>
        <v>3.6</v>
      </c>
      <c r="G2610" s="4" t="str">
        <f>HYPERLINK("http://141.218.60.56/~jnz1568/getInfo.php?workbook=14_04.xlsx&amp;sheet=U0&amp;row=2610&amp;col=7&amp;number=0.0301&amp;sourceID=14","0.0301")</f>
        <v>0.0301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HYPERLINK("http://141.218.60.56/~jnz1568/getInfo.php?workbook=14_04.xlsx&amp;sheet=U0&amp;row=2611&amp;col=6&amp;number=3.7&amp;sourceID=14","3.7")</f>
        <v>3.7</v>
      </c>
      <c r="G2611" s="4" t="str">
        <f>HYPERLINK("http://141.218.60.56/~jnz1568/getInfo.php?workbook=14_04.xlsx&amp;sheet=U0&amp;row=2611&amp;col=7&amp;number=0.0301&amp;sourceID=14","0.0301")</f>
        <v>0.0301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HYPERLINK("http://141.218.60.56/~jnz1568/getInfo.php?workbook=14_04.xlsx&amp;sheet=U0&amp;row=2612&amp;col=6&amp;number=3.8&amp;sourceID=14","3.8")</f>
        <v>3.8</v>
      </c>
      <c r="G2612" s="4" t="str">
        <f>HYPERLINK("http://141.218.60.56/~jnz1568/getInfo.php?workbook=14_04.xlsx&amp;sheet=U0&amp;row=2612&amp;col=7&amp;number=0.0301&amp;sourceID=14","0.0301")</f>
        <v>0.0301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HYPERLINK("http://141.218.60.56/~jnz1568/getInfo.php?workbook=14_04.xlsx&amp;sheet=U0&amp;row=2613&amp;col=6&amp;number=3.9&amp;sourceID=14","3.9")</f>
        <v>3.9</v>
      </c>
      <c r="G2613" s="4" t="str">
        <f>HYPERLINK("http://141.218.60.56/~jnz1568/getInfo.php?workbook=14_04.xlsx&amp;sheet=U0&amp;row=2613&amp;col=7&amp;number=0.0301&amp;sourceID=14","0.0301")</f>
        <v>0.0301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HYPERLINK("http://141.218.60.56/~jnz1568/getInfo.php?workbook=14_04.xlsx&amp;sheet=U0&amp;row=2614&amp;col=6&amp;number=4&amp;sourceID=14","4")</f>
        <v>4</v>
      </c>
      <c r="G2614" s="4" t="str">
        <f>HYPERLINK("http://141.218.60.56/~jnz1568/getInfo.php?workbook=14_04.xlsx&amp;sheet=U0&amp;row=2614&amp;col=7&amp;number=0.0301&amp;sourceID=14","0.0301")</f>
        <v>0.0301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HYPERLINK("http://141.218.60.56/~jnz1568/getInfo.php?workbook=14_04.xlsx&amp;sheet=U0&amp;row=2615&amp;col=6&amp;number=4.1&amp;sourceID=14","4.1")</f>
        <v>4.1</v>
      </c>
      <c r="G2615" s="4" t="str">
        <f>HYPERLINK("http://141.218.60.56/~jnz1568/getInfo.php?workbook=14_04.xlsx&amp;sheet=U0&amp;row=2615&amp;col=7&amp;number=0.0301&amp;sourceID=14","0.0301")</f>
        <v>0.0301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HYPERLINK("http://141.218.60.56/~jnz1568/getInfo.php?workbook=14_04.xlsx&amp;sheet=U0&amp;row=2616&amp;col=6&amp;number=4.2&amp;sourceID=14","4.2")</f>
        <v>4.2</v>
      </c>
      <c r="G2616" s="4" t="str">
        <f>HYPERLINK("http://141.218.60.56/~jnz1568/getInfo.php?workbook=14_04.xlsx&amp;sheet=U0&amp;row=2616&amp;col=7&amp;number=0.0301&amp;sourceID=14","0.0301")</f>
        <v>0.0301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HYPERLINK("http://141.218.60.56/~jnz1568/getInfo.php?workbook=14_04.xlsx&amp;sheet=U0&amp;row=2617&amp;col=6&amp;number=4.3&amp;sourceID=14","4.3")</f>
        <v>4.3</v>
      </c>
      <c r="G2617" s="4" t="str">
        <f>HYPERLINK("http://141.218.60.56/~jnz1568/getInfo.php?workbook=14_04.xlsx&amp;sheet=U0&amp;row=2617&amp;col=7&amp;number=0.0301&amp;sourceID=14","0.0301")</f>
        <v>0.0301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HYPERLINK("http://141.218.60.56/~jnz1568/getInfo.php?workbook=14_04.xlsx&amp;sheet=U0&amp;row=2618&amp;col=6&amp;number=4.4&amp;sourceID=14","4.4")</f>
        <v>4.4</v>
      </c>
      <c r="G2618" s="4" t="str">
        <f>HYPERLINK("http://141.218.60.56/~jnz1568/getInfo.php?workbook=14_04.xlsx&amp;sheet=U0&amp;row=2618&amp;col=7&amp;number=0.0301&amp;sourceID=14","0.0301")</f>
        <v>0.0301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HYPERLINK("http://141.218.60.56/~jnz1568/getInfo.php?workbook=14_04.xlsx&amp;sheet=U0&amp;row=2619&amp;col=6&amp;number=4.5&amp;sourceID=14","4.5")</f>
        <v>4.5</v>
      </c>
      <c r="G2619" s="4" t="str">
        <f>HYPERLINK("http://141.218.60.56/~jnz1568/getInfo.php?workbook=14_04.xlsx&amp;sheet=U0&amp;row=2619&amp;col=7&amp;number=0.0302&amp;sourceID=14","0.0302")</f>
        <v>0.0302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HYPERLINK("http://141.218.60.56/~jnz1568/getInfo.php?workbook=14_04.xlsx&amp;sheet=U0&amp;row=2620&amp;col=6&amp;number=4.6&amp;sourceID=14","4.6")</f>
        <v>4.6</v>
      </c>
      <c r="G2620" s="4" t="str">
        <f>HYPERLINK("http://141.218.60.56/~jnz1568/getInfo.php?workbook=14_04.xlsx&amp;sheet=U0&amp;row=2620&amp;col=7&amp;number=0.0302&amp;sourceID=14","0.0302")</f>
        <v>0.0302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HYPERLINK("http://141.218.60.56/~jnz1568/getInfo.php?workbook=14_04.xlsx&amp;sheet=U0&amp;row=2621&amp;col=6&amp;number=4.7&amp;sourceID=14","4.7")</f>
        <v>4.7</v>
      </c>
      <c r="G2621" s="4" t="str">
        <f>HYPERLINK("http://141.218.60.56/~jnz1568/getInfo.php?workbook=14_04.xlsx&amp;sheet=U0&amp;row=2621&amp;col=7&amp;number=0.0302&amp;sourceID=14","0.0302")</f>
        <v>0.0302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HYPERLINK("http://141.218.60.56/~jnz1568/getInfo.php?workbook=14_04.xlsx&amp;sheet=U0&amp;row=2622&amp;col=6&amp;number=4.8&amp;sourceID=14","4.8")</f>
        <v>4.8</v>
      </c>
      <c r="G2622" s="4" t="str">
        <f>HYPERLINK("http://141.218.60.56/~jnz1568/getInfo.php?workbook=14_04.xlsx&amp;sheet=U0&amp;row=2622&amp;col=7&amp;number=0.0302&amp;sourceID=14","0.0302")</f>
        <v>0.0302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HYPERLINK("http://141.218.60.56/~jnz1568/getInfo.php?workbook=14_04.xlsx&amp;sheet=U0&amp;row=2623&amp;col=6&amp;number=4.9&amp;sourceID=14","4.9")</f>
        <v>4.9</v>
      </c>
      <c r="G2623" s="4" t="str">
        <f>HYPERLINK("http://141.218.60.56/~jnz1568/getInfo.php?workbook=14_04.xlsx&amp;sheet=U0&amp;row=2623&amp;col=7&amp;number=0.0302&amp;sourceID=14","0.0302")</f>
        <v>0.0302</v>
      </c>
    </row>
    <row r="2624" spans="1:7">
      <c r="A2624" s="3">
        <v>14</v>
      </c>
      <c r="B2624" s="3">
        <v>4</v>
      </c>
      <c r="C2624" s="3">
        <v>2</v>
      </c>
      <c r="D2624" s="3">
        <v>15</v>
      </c>
      <c r="E2624" s="3">
        <v>1</v>
      </c>
      <c r="F2624" s="4" t="str">
        <f>HYPERLINK("http://141.218.60.56/~jnz1568/getInfo.php?workbook=14_04.xlsx&amp;sheet=U0&amp;row=2624&amp;col=6&amp;number=3&amp;sourceID=14","3")</f>
        <v>3</v>
      </c>
      <c r="G2624" s="4" t="str">
        <f>HYPERLINK("http://141.218.60.56/~jnz1568/getInfo.php?workbook=14_04.xlsx&amp;sheet=U0&amp;row=2624&amp;col=7&amp;number=0.0032&amp;sourceID=14","0.0032")</f>
        <v>0.0032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HYPERLINK("http://141.218.60.56/~jnz1568/getInfo.php?workbook=14_04.xlsx&amp;sheet=U0&amp;row=2625&amp;col=6&amp;number=3.1&amp;sourceID=14","3.1")</f>
        <v>3.1</v>
      </c>
      <c r="G2625" s="4" t="str">
        <f>HYPERLINK("http://141.218.60.56/~jnz1568/getInfo.php?workbook=14_04.xlsx&amp;sheet=U0&amp;row=2625&amp;col=7&amp;number=0.0032&amp;sourceID=14","0.0032")</f>
        <v>0.0032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HYPERLINK("http://141.218.60.56/~jnz1568/getInfo.php?workbook=14_04.xlsx&amp;sheet=U0&amp;row=2626&amp;col=6&amp;number=3.2&amp;sourceID=14","3.2")</f>
        <v>3.2</v>
      </c>
      <c r="G2626" s="4" t="str">
        <f>HYPERLINK("http://141.218.60.56/~jnz1568/getInfo.php?workbook=14_04.xlsx&amp;sheet=U0&amp;row=2626&amp;col=7&amp;number=0.0032&amp;sourceID=14","0.0032")</f>
        <v>0.0032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HYPERLINK("http://141.218.60.56/~jnz1568/getInfo.php?workbook=14_04.xlsx&amp;sheet=U0&amp;row=2627&amp;col=6&amp;number=3.3&amp;sourceID=14","3.3")</f>
        <v>3.3</v>
      </c>
      <c r="G2627" s="4" t="str">
        <f>HYPERLINK("http://141.218.60.56/~jnz1568/getInfo.php?workbook=14_04.xlsx&amp;sheet=U0&amp;row=2627&amp;col=7&amp;number=0.0032&amp;sourceID=14","0.0032")</f>
        <v>0.0032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HYPERLINK("http://141.218.60.56/~jnz1568/getInfo.php?workbook=14_04.xlsx&amp;sheet=U0&amp;row=2628&amp;col=6&amp;number=3.4&amp;sourceID=14","3.4")</f>
        <v>3.4</v>
      </c>
      <c r="G2628" s="4" t="str">
        <f>HYPERLINK("http://141.218.60.56/~jnz1568/getInfo.php?workbook=14_04.xlsx&amp;sheet=U0&amp;row=2628&amp;col=7&amp;number=0.0032&amp;sourceID=14","0.0032")</f>
        <v>0.0032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HYPERLINK("http://141.218.60.56/~jnz1568/getInfo.php?workbook=14_04.xlsx&amp;sheet=U0&amp;row=2629&amp;col=6&amp;number=3.5&amp;sourceID=14","3.5")</f>
        <v>3.5</v>
      </c>
      <c r="G2629" s="4" t="str">
        <f>HYPERLINK("http://141.218.60.56/~jnz1568/getInfo.php?workbook=14_04.xlsx&amp;sheet=U0&amp;row=2629&amp;col=7&amp;number=0.0032&amp;sourceID=14","0.0032")</f>
        <v>0.0032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HYPERLINK("http://141.218.60.56/~jnz1568/getInfo.php?workbook=14_04.xlsx&amp;sheet=U0&amp;row=2630&amp;col=6&amp;number=3.6&amp;sourceID=14","3.6")</f>
        <v>3.6</v>
      </c>
      <c r="G2630" s="4" t="str">
        <f>HYPERLINK("http://141.218.60.56/~jnz1568/getInfo.php?workbook=14_04.xlsx&amp;sheet=U0&amp;row=2630&amp;col=7&amp;number=0.0032&amp;sourceID=14","0.0032")</f>
        <v>0.0032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HYPERLINK("http://141.218.60.56/~jnz1568/getInfo.php?workbook=14_04.xlsx&amp;sheet=U0&amp;row=2631&amp;col=6&amp;number=3.7&amp;sourceID=14","3.7")</f>
        <v>3.7</v>
      </c>
      <c r="G2631" s="4" t="str">
        <f>HYPERLINK("http://141.218.60.56/~jnz1568/getInfo.php?workbook=14_04.xlsx&amp;sheet=U0&amp;row=2631&amp;col=7&amp;number=0.0032&amp;sourceID=14","0.0032")</f>
        <v>0.0032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HYPERLINK("http://141.218.60.56/~jnz1568/getInfo.php?workbook=14_04.xlsx&amp;sheet=U0&amp;row=2632&amp;col=6&amp;number=3.8&amp;sourceID=14","3.8")</f>
        <v>3.8</v>
      </c>
      <c r="G2632" s="4" t="str">
        <f>HYPERLINK("http://141.218.60.56/~jnz1568/getInfo.php?workbook=14_04.xlsx&amp;sheet=U0&amp;row=2632&amp;col=7&amp;number=0.0032&amp;sourceID=14","0.0032")</f>
        <v>0.0032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HYPERLINK("http://141.218.60.56/~jnz1568/getInfo.php?workbook=14_04.xlsx&amp;sheet=U0&amp;row=2633&amp;col=6&amp;number=3.9&amp;sourceID=14","3.9")</f>
        <v>3.9</v>
      </c>
      <c r="G2633" s="4" t="str">
        <f>HYPERLINK("http://141.218.60.56/~jnz1568/getInfo.php?workbook=14_04.xlsx&amp;sheet=U0&amp;row=2633&amp;col=7&amp;number=0.0032&amp;sourceID=14","0.0032")</f>
        <v>0.0032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HYPERLINK("http://141.218.60.56/~jnz1568/getInfo.php?workbook=14_04.xlsx&amp;sheet=U0&amp;row=2634&amp;col=6&amp;number=4&amp;sourceID=14","4")</f>
        <v>4</v>
      </c>
      <c r="G2634" s="4" t="str">
        <f>HYPERLINK("http://141.218.60.56/~jnz1568/getInfo.php?workbook=14_04.xlsx&amp;sheet=U0&amp;row=2634&amp;col=7&amp;number=0.0032&amp;sourceID=14","0.0032")</f>
        <v>0.0032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HYPERLINK("http://141.218.60.56/~jnz1568/getInfo.php?workbook=14_04.xlsx&amp;sheet=U0&amp;row=2635&amp;col=6&amp;number=4.1&amp;sourceID=14","4.1")</f>
        <v>4.1</v>
      </c>
      <c r="G2635" s="4" t="str">
        <f>HYPERLINK("http://141.218.60.56/~jnz1568/getInfo.php?workbook=14_04.xlsx&amp;sheet=U0&amp;row=2635&amp;col=7&amp;number=0.0032&amp;sourceID=14","0.0032")</f>
        <v>0.0032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HYPERLINK("http://141.218.60.56/~jnz1568/getInfo.php?workbook=14_04.xlsx&amp;sheet=U0&amp;row=2636&amp;col=6&amp;number=4.2&amp;sourceID=14","4.2")</f>
        <v>4.2</v>
      </c>
      <c r="G2636" s="4" t="str">
        <f>HYPERLINK("http://141.218.60.56/~jnz1568/getInfo.php?workbook=14_04.xlsx&amp;sheet=U0&amp;row=2636&amp;col=7&amp;number=0.00319&amp;sourceID=14","0.00319")</f>
        <v>0.00319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HYPERLINK("http://141.218.60.56/~jnz1568/getInfo.php?workbook=14_04.xlsx&amp;sheet=U0&amp;row=2637&amp;col=6&amp;number=4.3&amp;sourceID=14","4.3")</f>
        <v>4.3</v>
      </c>
      <c r="G2637" s="4" t="str">
        <f>HYPERLINK("http://141.218.60.56/~jnz1568/getInfo.php?workbook=14_04.xlsx&amp;sheet=U0&amp;row=2637&amp;col=7&amp;number=0.00319&amp;sourceID=14","0.00319")</f>
        <v>0.00319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HYPERLINK("http://141.218.60.56/~jnz1568/getInfo.php?workbook=14_04.xlsx&amp;sheet=U0&amp;row=2638&amp;col=6&amp;number=4.4&amp;sourceID=14","4.4")</f>
        <v>4.4</v>
      </c>
      <c r="G2638" s="4" t="str">
        <f>HYPERLINK("http://141.218.60.56/~jnz1568/getInfo.php?workbook=14_04.xlsx&amp;sheet=U0&amp;row=2638&amp;col=7&amp;number=0.00319&amp;sourceID=14","0.00319")</f>
        <v>0.00319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HYPERLINK("http://141.218.60.56/~jnz1568/getInfo.php?workbook=14_04.xlsx&amp;sheet=U0&amp;row=2639&amp;col=6&amp;number=4.5&amp;sourceID=14","4.5")</f>
        <v>4.5</v>
      </c>
      <c r="G2639" s="4" t="str">
        <f>HYPERLINK("http://141.218.60.56/~jnz1568/getInfo.php?workbook=14_04.xlsx&amp;sheet=U0&amp;row=2639&amp;col=7&amp;number=0.00319&amp;sourceID=14","0.00319")</f>
        <v>0.00319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HYPERLINK("http://141.218.60.56/~jnz1568/getInfo.php?workbook=14_04.xlsx&amp;sheet=U0&amp;row=2640&amp;col=6&amp;number=4.6&amp;sourceID=14","4.6")</f>
        <v>4.6</v>
      </c>
      <c r="G2640" s="4" t="str">
        <f>HYPERLINK("http://141.218.60.56/~jnz1568/getInfo.php?workbook=14_04.xlsx&amp;sheet=U0&amp;row=2640&amp;col=7&amp;number=0.00318&amp;sourceID=14","0.00318")</f>
        <v>0.00318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HYPERLINK("http://141.218.60.56/~jnz1568/getInfo.php?workbook=14_04.xlsx&amp;sheet=U0&amp;row=2641&amp;col=6&amp;number=4.7&amp;sourceID=14","4.7")</f>
        <v>4.7</v>
      </c>
      <c r="G2641" s="4" t="str">
        <f>HYPERLINK("http://141.218.60.56/~jnz1568/getInfo.php?workbook=14_04.xlsx&amp;sheet=U0&amp;row=2641&amp;col=7&amp;number=0.00318&amp;sourceID=14","0.00318")</f>
        <v>0.00318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HYPERLINK("http://141.218.60.56/~jnz1568/getInfo.php?workbook=14_04.xlsx&amp;sheet=U0&amp;row=2642&amp;col=6&amp;number=4.8&amp;sourceID=14","4.8")</f>
        <v>4.8</v>
      </c>
      <c r="G2642" s="4" t="str">
        <f>HYPERLINK("http://141.218.60.56/~jnz1568/getInfo.php?workbook=14_04.xlsx&amp;sheet=U0&amp;row=2642&amp;col=7&amp;number=0.00317&amp;sourceID=14","0.00317")</f>
        <v>0.00317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HYPERLINK("http://141.218.60.56/~jnz1568/getInfo.php?workbook=14_04.xlsx&amp;sheet=U0&amp;row=2643&amp;col=6&amp;number=4.9&amp;sourceID=14","4.9")</f>
        <v>4.9</v>
      </c>
      <c r="G2643" s="4" t="str">
        <f>HYPERLINK("http://141.218.60.56/~jnz1568/getInfo.php?workbook=14_04.xlsx&amp;sheet=U0&amp;row=2643&amp;col=7&amp;number=0.00316&amp;sourceID=14","0.00316")</f>
        <v>0.00316</v>
      </c>
    </row>
    <row r="2644" spans="1:7">
      <c r="A2644" s="3">
        <v>14</v>
      </c>
      <c r="B2644" s="3">
        <v>4</v>
      </c>
      <c r="C2644" s="3">
        <v>2</v>
      </c>
      <c r="D2644" s="3">
        <v>16</v>
      </c>
      <c r="E2644" s="3">
        <v>1</v>
      </c>
      <c r="F2644" s="4" t="str">
        <f>HYPERLINK("http://141.218.60.56/~jnz1568/getInfo.php?workbook=14_04.xlsx&amp;sheet=U0&amp;row=2644&amp;col=6&amp;number=3&amp;sourceID=14","3")</f>
        <v>3</v>
      </c>
      <c r="G2644" s="4" t="str">
        <f>HYPERLINK("http://141.218.60.56/~jnz1568/getInfo.php?workbook=14_04.xlsx&amp;sheet=U0&amp;row=2644&amp;col=7&amp;number=0.00553&amp;sourceID=14","0.00553")</f>
        <v>0.00553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HYPERLINK("http://141.218.60.56/~jnz1568/getInfo.php?workbook=14_04.xlsx&amp;sheet=U0&amp;row=2645&amp;col=6&amp;number=3.1&amp;sourceID=14","3.1")</f>
        <v>3.1</v>
      </c>
      <c r="G2645" s="4" t="str">
        <f>HYPERLINK("http://141.218.60.56/~jnz1568/getInfo.php?workbook=14_04.xlsx&amp;sheet=U0&amp;row=2645&amp;col=7&amp;number=0.00553&amp;sourceID=14","0.00553")</f>
        <v>0.00553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HYPERLINK("http://141.218.60.56/~jnz1568/getInfo.php?workbook=14_04.xlsx&amp;sheet=U0&amp;row=2646&amp;col=6&amp;number=3.2&amp;sourceID=14","3.2")</f>
        <v>3.2</v>
      </c>
      <c r="G2646" s="4" t="str">
        <f>HYPERLINK("http://141.218.60.56/~jnz1568/getInfo.php?workbook=14_04.xlsx&amp;sheet=U0&amp;row=2646&amp;col=7&amp;number=0.00553&amp;sourceID=14","0.00553")</f>
        <v>0.00553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HYPERLINK("http://141.218.60.56/~jnz1568/getInfo.php?workbook=14_04.xlsx&amp;sheet=U0&amp;row=2647&amp;col=6&amp;number=3.3&amp;sourceID=14","3.3")</f>
        <v>3.3</v>
      </c>
      <c r="G2647" s="4" t="str">
        <f>HYPERLINK("http://141.218.60.56/~jnz1568/getInfo.php?workbook=14_04.xlsx&amp;sheet=U0&amp;row=2647&amp;col=7&amp;number=0.00553&amp;sourceID=14","0.00553")</f>
        <v>0.00553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HYPERLINK("http://141.218.60.56/~jnz1568/getInfo.php?workbook=14_04.xlsx&amp;sheet=U0&amp;row=2648&amp;col=6&amp;number=3.4&amp;sourceID=14","3.4")</f>
        <v>3.4</v>
      </c>
      <c r="G2648" s="4" t="str">
        <f>HYPERLINK("http://141.218.60.56/~jnz1568/getInfo.php?workbook=14_04.xlsx&amp;sheet=U0&amp;row=2648&amp;col=7&amp;number=0.00553&amp;sourceID=14","0.00553")</f>
        <v>0.00553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HYPERLINK("http://141.218.60.56/~jnz1568/getInfo.php?workbook=14_04.xlsx&amp;sheet=U0&amp;row=2649&amp;col=6&amp;number=3.5&amp;sourceID=14","3.5")</f>
        <v>3.5</v>
      </c>
      <c r="G2649" s="4" t="str">
        <f>HYPERLINK("http://141.218.60.56/~jnz1568/getInfo.php?workbook=14_04.xlsx&amp;sheet=U0&amp;row=2649&amp;col=7&amp;number=0.00553&amp;sourceID=14","0.00553")</f>
        <v>0.00553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HYPERLINK("http://141.218.60.56/~jnz1568/getInfo.php?workbook=14_04.xlsx&amp;sheet=U0&amp;row=2650&amp;col=6&amp;number=3.6&amp;sourceID=14","3.6")</f>
        <v>3.6</v>
      </c>
      <c r="G2650" s="4" t="str">
        <f>HYPERLINK("http://141.218.60.56/~jnz1568/getInfo.php?workbook=14_04.xlsx&amp;sheet=U0&amp;row=2650&amp;col=7&amp;number=0.00553&amp;sourceID=14","0.00553")</f>
        <v>0.00553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HYPERLINK("http://141.218.60.56/~jnz1568/getInfo.php?workbook=14_04.xlsx&amp;sheet=U0&amp;row=2651&amp;col=6&amp;number=3.7&amp;sourceID=14","3.7")</f>
        <v>3.7</v>
      </c>
      <c r="G2651" s="4" t="str">
        <f>HYPERLINK("http://141.218.60.56/~jnz1568/getInfo.php?workbook=14_04.xlsx&amp;sheet=U0&amp;row=2651&amp;col=7&amp;number=0.00553&amp;sourceID=14","0.00553")</f>
        <v>0.00553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HYPERLINK("http://141.218.60.56/~jnz1568/getInfo.php?workbook=14_04.xlsx&amp;sheet=U0&amp;row=2652&amp;col=6&amp;number=3.8&amp;sourceID=14","3.8")</f>
        <v>3.8</v>
      </c>
      <c r="G2652" s="4" t="str">
        <f>HYPERLINK("http://141.218.60.56/~jnz1568/getInfo.php?workbook=14_04.xlsx&amp;sheet=U0&amp;row=2652&amp;col=7&amp;number=0.00553&amp;sourceID=14","0.00553")</f>
        <v>0.00553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HYPERLINK("http://141.218.60.56/~jnz1568/getInfo.php?workbook=14_04.xlsx&amp;sheet=U0&amp;row=2653&amp;col=6&amp;number=3.9&amp;sourceID=14","3.9")</f>
        <v>3.9</v>
      </c>
      <c r="G2653" s="4" t="str">
        <f>HYPERLINK("http://141.218.60.56/~jnz1568/getInfo.php?workbook=14_04.xlsx&amp;sheet=U0&amp;row=2653&amp;col=7&amp;number=0.00553&amp;sourceID=14","0.00553")</f>
        <v>0.00553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HYPERLINK("http://141.218.60.56/~jnz1568/getInfo.php?workbook=14_04.xlsx&amp;sheet=U0&amp;row=2654&amp;col=6&amp;number=4&amp;sourceID=14","4")</f>
        <v>4</v>
      </c>
      <c r="G2654" s="4" t="str">
        <f>HYPERLINK("http://141.218.60.56/~jnz1568/getInfo.php?workbook=14_04.xlsx&amp;sheet=U0&amp;row=2654&amp;col=7&amp;number=0.00553&amp;sourceID=14","0.00553")</f>
        <v>0.00553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HYPERLINK("http://141.218.60.56/~jnz1568/getInfo.php?workbook=14_04.xlsx&amp;sheet=U0&amp;row=2655&amp;col=6&amp;number=4.1&amp;sourceID=14","4.1")</f>
        <v>4.1</v>
      </c>
      <c r="G2655" s="4" t="str">
        <f>HYPERLINK("http://141.218.60.56/~jnz1568/getInfo.php?workbook=14_04.xlsx&amp;sheet=U0&amp;row=2655&amp;col=7&amp;number=0.00553&amp;sourceID=14","0.00553")</f>
        <v>0.00553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HYPERLINK("http://141.218.60.56/~jnz1568/getInfo.php?workbook=14_04.xlsx&amp;sheet=U0&amp;row=2656&amp;col=6&amp;number=4.2&amp;sourceID=14","4.2")</f>
        <v>4.2</v>
      </c>
      <c r="G2656" s="4" t="str">
        <f>HYPERLINK("http://141.218.60.56/~jnz1568/getInfo.php?workbook=14_04.xlsx&amp;sheet=U0&amp;row=2656&amp;col=7&amp;number=0.00553&amp;sourceID=14","0.00553")</f>
        <v>0.00553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HYPERLINK("http://141.218.60.56/~jnz1568/getInfo.php?workbook=14_04.xlsx&amp;sheet=U0&amp;row=2657&amp;col=6&amp;number=4.3&amp;sourceID=14","4.3")</f>
        <v>4.3</v>
      </c>
      <c r="G2657" s="4" t="str">
        <f>HYPERLINK("http://141.218.60.56/~jnz1568/getInfo.php?workbook=14_04.xlsx&amp;sheet=U0&amp;row=2657&amp;col=7&amp;number=0.00553&amp;sourceID=14","0.00553")</f>
        <v>0.00553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HYPERLINK("http://141.218.60.56/~jnz1568/getInfo.php?workbook=14_04.xlsx&amp;sheet=U0&amp;row=2658&amp;col=6&amp;number=4.4&amp;sourceID=14","4.4")</f>
        <v>4.4</v>
      </c>
      <c r="G2658" s="4" t="str">
        <f>HYPERLINK("http://141.218.60.56/~jnz1568/getInfo.php?workbook=14_04.xlsx&amp;sheet=U0&amp;row=2658&amp;col=7&amp;number=0.00553&amp;sourceID=14","0.00553")</f>
        <v>0.00553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HYPERLINK("http://141.218.60.56/~jnz1568/getInfo.php?workbook=14_04.xlsx&amp;sheet=U0&amp;row=2659&amp;col=6&amp;number=4.5&amp;sourceID=14","4.5")</f>
        <v>4.5</v>
      </c>
      <c r="G2659" s="4" t="str">
        <f>HYPERLINK("http://141.218.60.56/~jnz1568/getInfo.php?workbook=14_04.xlsx&amp;sheet=U0&amp;row=2659&amp;col=7&amp;number=0.00553&amp;sourceID=14","0.00553")</f>
        <v>0.00553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HYPERLINK("http://141.218.60.56/~jnz1568/getInfo.php?workbook=14_04.xlsx&amp;sheet=U0&amp;row=2660&amp;col=6&amp;number=4.6&amp;sourceID=14","4.6")</f>
        <v>4.6</v>
      </c>
      <c r="G2660" s="4" t="str">
        <f>HYPERLINK("http://141.218.60.56/~jnz1568/getInfo.php?workbook=14_04.xlsx&amp;sheet=U0&amp;row=2660&amp;col=7&amp;number=0.00554&amp;sourceID=14","0.00554")</f>
        <v>0.00554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HYPERLINK("http://141.218.60.56/~jnz1568/getInfo.php?workbook=14_04.xlsx&amp;sheet=U0&amp;row=2661&amp;col=6&amp;number=4.7&amp;sourceID=14","4.7")</f>
        <v>4.7</v>
      </c>
      <c r="G2661" s="4" t="str">
        <f>HYPERLINK("http://141.218.60.56/~jnz1568/getInfo.php?workbook=14_04.xlsx&amp;sheet=U0&amp;row=2661&amp;col=7&amp;number=0.00554&amp;sourceID=14","0.00554")</f>
        <v>0.00554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HYPERLINK("http://141.218.60.56/~jnz1568/getInfo.php?workbook=14_04.xlsx&amp;sheet=U0&amp;row=2662&amp;col=6&amp;number=4.8&amp;sourceID=14","4.8")</f>
        <v>4.8</v>
      </c>
      <c r="G2662" s="4" t="str">
        <f>HYPERLINK("http://141.218.60.56/~jnz1568/getInfo.php?workbook=14_04.xlsx&amp;sheet=U0&amp;row=2662&amp;col=7&amp;number=0.00554&amp;sourceID=14","0.00554")</f>
        <v>0.00554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HYPERLINK("http://141.218.60.56/~jnz1568/getInfo.php?workbook=14_04.xlsx&amp;sheet=U0&amp;row=2663&amp;col=6&amp;number=4.9&amp;sourceID=14","4.9")</f>
        <v>4.9</v>
      </c>
      <c r="G2663" s="4" t="str">
        <f>HYPERLINK("http://141.218.60.56/~jnz1568/getInfo.php?workbook=14_04.xlsx&amp;sheet=U0&amp;row=2663&amp;col=7&amp;number=0.00554&amp;sourceID=14","0.00554")</f>
        <v>0.00554</v>
      </c>
    </row>
    <row r="2664" spans="1:7">
      <c r="A2664" s="3">
        <v>14</v>
      </c>
      <c r="B2664" s="3">
        <v>4</v>
      </c>
      <c r="C2664" s="3">
        <v>2</v>
      </c>
      <c r="D2664" s="3">
        <v>17</v>
      </c>
      <c r="E2664" s="3">
        <v>1</v>
      </c>
      <c r="F2664" s="4" t="str">
        <f>HYPERLINK("http://141.218.60.56/~jnz1568/getInfo.php?workbook=14_04.xlsx&amp;sheet=U0&amp;row=2664&amp;col=6&amp;number=3&amp;sourceID=14","3")</f>
        <v>3</v>
      </c>
      <c r="G2664" s="4" t="str">
        <f>HYPERLINK("http://141.218.60.56/~jnz1568/getInfo.php?workbook=14_04.xlsx&amp;sheet=U0&amp;row=2664&amp;col=7&amp;number=0.0692&amp;sourceID=14","0.0692")</f>
        <v>0.0692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HYPERLINK("http://141.218.60.56/~jnz1568/getInfo.php?workbook=14_04.xlsx&amp;sheet=U0&amp;row=2665&amp;col=6&amp;number=3.1&amp;sourceID=14","3.1")</f>
        <v>3.1</v>
      </c>
      <c r="G2665" s="4" t="str">
        <f>HYPERLINK("http://141.218.60.56/~jnz1568/getInfo.php?workbook=14_04.xlsx&amp;sheet=U0&amp;row=2665&amp;col=7&amp;number=0.0692&amp;sourceID=14","0.0692")</f>
        <v>0.0692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HYPERLINK("http://141.218.60.56/~jnz1568/getInfo.php?workbook=14_04.xlsx&amp;sheet=U0&amp;row=2666&amp;col=6&amp;number=3.2&amp;sourceID=14","3.2")</f>
        <v>3.2</v>
      </c>
      <c r="G2666" s="4" t="str">
        <f>HYPERLINK("http://141.218.60.56/~jnz1568/getInfo.php?workbook=14_04.xlsx&amp;sheet=U0&amp;row=2666&amp;col=7&amp;number=0.0692&amp;sourceID=14","0.0692")</f>
        <v>0.0692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HYPERLINK("http://141.218.60.56/~jnz1568/getInfo.php?workbook=14_04.xlsx&amp;sheet=U0&amp;row=2667&amp;col=6&amp;number=3.3&amp;sourceID=14","3.3")</f>
        <v>3.3</v>
      </c>
      <c r="G2667" s="4" t="str">
        <f>HYPERLINK("http://141.218.60.56/~jnz1568/getInfo.php?workbook=14_04.xlsx&amp;sheet=U0&amp;row=2667&amp;col=7&amp;number=0.0692&amp;sourceID=14","0.0692")</f>
        <v>0.0692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HYPERLINK("http://141.218.60.56/~jnz1568/getInfo.php?workbook=14_04.xlsx&amp;sheet=U0&amp;row=2668&amp;col=6&amp;number=3.4&amp;sourceID=14","3.4")</f>
        <v>3.4</v>
      </c>
      <c r="G2668" s="4" t="str">
        <f>HYPERLINK("http://141.218.60.56/~jnz1568/getInfo.php?workbook=14_04.xlsx&amp;sheet=U0&amp;row=2668&amp;col=7&amp;number=0.0692&amp;sourceID=14","0.0692")</f>
        <v>0.0692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HYPERLINK("http://141.218.60.56/~jnz1568/getInfo.php?workbook=14_04.xlsx&amp;sheet=U0&amp;row=2669&amp;col=6&amp;number=3.5&amp;sourceID=14","3.5")</f>
        <v>3.5</v>
      </c>
      <c r="G2669" s="4" t="str">
        <f>HYPERLINK("http://141.218.60.56/~jnz1568/getInfo.php?workbook=14_04.xlsx&amp;sheet=U0&amp;row=2669&amp;col=7&amp;number=0.0692&amp;sourceID=14","0.0692")</f>
        <v>0.0692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HYPERLINK("http://141.218.60.56/~jnz1568/getInfo.php?workbook=14_04.xlsx&amp;sheet=U0&amp;row=2670&amp;col=6&amp;number=3.6&amp;sourceID=14","3.6")</f>
        <v>3.6</v>
      </c>
      <c r="G2670" s="4" t="str">
        <f>HYPERLINK("http://141.218.60.56/~jnz1568/getInfo.php?workbook=14_04.xlsx&amp;sheet=U0&amp;row=2670&amp;col=7&amp;number=0.0692&amp;sourceID=14","0.0692")</f>
        <v>0.0692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HYPERLINK("http://141.218.60.56/~jnz1568/getInfo.php?workbook=14_04.xlsx&amp;sheet=U0&amp;row=2671&amp;col=6&amp;number=3.7&amp;sourceID=14","3.7")</f>
        <v>3.7</v>
      </c>
      <c r="G2671" s="4" t="str">
        <f>HYPERLINK("http://141.218.60.56/~jnz1568/getInfo.php?workbook=14_04.xlsx&amp;sheet=U0&amp;row=2671&amp;col=7&amp;number=0.0692&amp;sourceID=14","0.0692")</f>
        <v>0.0692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HYPERLINK("http://141.218.60.56/~jnz1568/getInfo.php?workbook=14_04.xlsx&amp;sheet=U0&amp;row=2672&amp;col=6&amp;number=3.8&amp;sourceID=14","3.8")</f>
        <v>3.8</v>
      </c>
      <c r="G2672" s="4" t="str">
        <f>HYPERLINK("http://141.218.60.56/~jnz1568/getInfo.php?workbook=14_04.xlsx&amp;sheet=U0&amp;row=2672&amp;col=7&amp;number=0.0693&amp;sourceID=14","0.0693")</f>
        <v>0.0693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HYPERLINK("http://141.218.60.56/~jnz1568/getInfo.php?workbook=14_04.xlsx&amp;sheet=U0&amp;row=2673&amp;col=6&amp;number=3.9&amp;sourceID=14","3.9")</f>
        <v>3.9</v>
      </c>
      <c r="G2673" s="4" t="str">
        <f>HYPERLINK("http://141.218.60.56/~jnz1568/getInfo.php?workbook=14_04.xlsx&amp;sheet=U0&amp;row=2673&amp;col=7&amp;number=0.0693&amp;sourceID=14","0.0693")</f>
        <v>0.0693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HYPERLINK("http://141.218.60.56/~jnz1568/getInfo.php?workbook=14_04.xlsx&amp;sheet=U0&amp;row=2674&amp;col=6&amp;number=4&amp;sourceID=14","4")</f>
        <v>4</v>
      </c>
      <c r="G2674" s="4" t="str">
        <f>HYPERLINK("http://141.218.60.56/~jnz1568/getInfo.php?workbook=14_04.xlsx&amp;sheet=U0&amp;row=2674&amp;col=7&amp;number=0.0693&amp;sourceID=14","0.0693")</f>
        <v>0.0693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HYPERLINK("http://141.218.60.56/~jnz1568/getInfo.php?workbook=14_04.xlsx&amp;sheet=U0&amp;row=2675&amp;col=6&amp;number=4.1&amp;sourceID=14","4.1")</f>
        <v>4.1</v>
      </c>
      <c r="G2675" s="4" t="str">
        <f>HYPERLINK("http://141.218.60.56/~jnz1568/getInfo.php?workbook=14_04.xlsx&amp;sheet=U0&amp;row=2675&amp;col=7&amp;number=0.0694&amp;sourceID=14","0.0694")</f>
        <v>0.0694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HYPERLINK("http://141.218.60.56/~jnz1568/getInfo.php?workbook=14_04.xlsx&amp;sheet=U0&amp;row=2676&amp;col=6&amp;number=4.2&amp;sourceID=14","4.2")</f>
        <v>4.2</v>
      </c>
      <c r="G2676" s="4" t="str">
        <f>HYPERLINK("http://141.218.60.56/~jnz1568/getInfo.php?workbook=14_04.xlsx&amp;sheet=U0&amp;row=2676&amp;col=7&amp;number=0.0695&amp;sourceID=14","0.0695")</f>
        <v>0.0695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HYPERLINK("http://141.218.60.56/~jnz1568/getInfo.php?workbook=14_04.xlsx&amp;sheet=U0&amp;row=2677&amp;col=6&amp;number=4.3&amp;sourceID=14","4.3")</f>
        <v>4.3</v>
      </c>
      <c r="G2677" s="4" t="str">
        <f>HYPERLINK("http://141.218.60.56/~jnz1568/getInfo.php?workbook=14_04.xlsx&amp;sheet=U0&amp;row=2677&amp;col=7&amp;number=0.0696&amp;sourceID=14","0.0696")</f>
        <v>0.0696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HYPERLINK("http://141.218.60.56/~jnz1568/getInfo.php?workbook=14_04.xlsx&amp;sheet=U0&amp;row=2678&amp;col=6&amp;number=4.4&amp;sourceID=14","4.4")</f>
        <v>4.4</v>
      </c>
      <c r="G2678" s="4" t="str">
        <f>HYPERLINK("http://141.218.60.56/~jnz1568/getInfo.php?workbook=14_04.xlsx&amp;sheet=U0&amp;row=2678&amp;col=7&amp;number=0.0697&amp;sourceID=14","0.0697")</f>
        <v>0.0697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HYPERLINK("http://141.218.60.56/~jnz1568/getInfo.php?workbook=14_04.xlsx&amp;sheet=U0&amp;row=2679&amp;col=6&amp;number=4.5&amp;sourceID=14","4.5")</f>
        <v>4.5</v>
      </c>
      <c r="G2679" s="4" t="str">
        <f>HYPERLINK("http://141.218.60.56/~jnz1568/getInfo.php?workbook=14_04.xlsx&amp;sheet=U0&amp;row=2679&amp;col=7&amp;number=0.0698&amp;sourceID=14","0.0698")</f>
        <v>0.0698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HYPERLINK("http://141.218.60.56/~jnz1568/getInfo.php?workbook=14_04.xlsx&amp;sheet=U0&amp;row=2680&amp;col=6&amp;number=4.6&amp;sourceID=14","4.6")</f>
        <v>4.6</v>
      </c>
      <c r="G2680" s="4" t="str">
        <f>HYPERLINK("http://141.218.60.56/~jnz1568/getInfo.php?workbook=14_04.xlsx&amp;sheet=U0&amp;row=2680&amp;col=7&amp;number=0.07&amp;sourceID=14","0.07")</f>
        <v>0.07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HYPERLINK("http://141.218.60.56/~jnz1568/getInfo.php?workbook=14_04.xlsx&amp;sheet=U0&amp;row=2681&amp;col=6&amp;number=4.7&amp;sourceID=14","4.7")</f>
        <v>4.7</v>
      </c>
      <c r="G2681" s="4" t="str">
        <f>HYPERLINK("http://141.218.60.56/~jnz1568/getInfo.php?workbook=14_04.xlsx&amp;sheet=U0&amp;row=2681&amp;col=7&amp;number=0.0702&amp;sourceID=14","0.0702")</f>
        <v>0.0702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HYPERLINK("http://141.218.60.56/~jnz1568/getInfo.php?workbook=14_04.xlsx&amp;sheet=U0&amp;row=2682&amp;col=6&amp;number=4.8&amp;sourceID=14","4.8")</f>
        <v>4.8</v>
      </c>
      <c r="G2682" s="4" t="str">
        <f>HYPERLINK("http://141.218.60.56/~jnz1568/getInfo.php?workbook=14_04.xlsx&amp;sheet=U0&amp;row=2682&amp;col=7&amp;number=0.0705&amp;sourceID=14","0.0705")</f>
        <v>0.0705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HYPERLINK("http://141.218.60.56/~jnz1568/getInfo.php?workbook=14_04.xlsx&amp;sheet=U0&amp;row=2683&amp;col=6&amp;number=4.9&amp;sourceID=14","4.9")</f>
        <v>4.9</v>
      </c>
      <c r="G2683" s="4" t="str">
        <f>HYPERLINK("http://141.218.60.56/~jnz1568/getInfo.php?workbook=14_04.xlsx&amp;sheet=U0&amp;row=2683&amp;col=7&amp;number=0.0708&amp;sourceID=14","0.0708")</f>
        <v>0.0708</v>
      </c>
    </row>
    <row r="2684" spans="1:7">
      <c r="A2684" s="3">
        <v>14</v>
      </c>
      <c r="B2684" s="3">
        <v>4</v>
      </c>
      <c r="C2684" s="3">
        <v>2</v>
      </c>
      <c r="D2684" s="3">
        <v>18</v>
      </c>
      <c r="E2684" s="3">
        <v>1</v>
      </c>
      <c r="F2684" s="4" t="str">
        <f>HYPERLINK("http://141.218.60.56/~jnz1568/getInfo.php?workbook=14_04.xlsx&amp;sheet=U0&amp;row=2684&amp;col=6&amp;number=3&amp;sourceID=14","3")</f>
        <v>3</v>
      </c>
      <c r="G2684" s="4" t="str">
        <f>HYPERLINK("http://141.218.60.56/~jnz1568/getInfo.php?workbook=14_04.xlsx&amp;sheet=U0&amp;row=2684&amp;col=7&amp;number=0.00711&amp;sourceID=14","0.00711")</f>
        <v>0.00711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HYPERLINK("http://141.218.60.56/~jnz1568/getInfo.php?workbook=14_04.xlsx&amp;sheet=U0&amp;row=2685&amp;col=6&amp;number=3.1&amp;sourceID=14","3.1")</f>
        <v>3.1</v>
      </c>
      <c r="G2685" s="4" t="str">
        <f>HYPERLINK("http://141.218.60.56/~jnz1568/getInfo.php?workbook=14_04.xlsx&amp;sheet=U0&amp;row=2685&amp;col=7&amp;number=0.00711&amp;sourceID=14","0.00711")</f>
        <v>0.00711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HYPERLINK("http://141.218.60.56/~jnz1568/getInfo.php?workbook=14_04.xlsx&amp;sheet=U0&amp;row=2686&amp;col=6&amp;number=3.2&amp;sourceID=14","3.2")</f>
        <v>3.2</v>
      </c>
      <c r="G2686" s="4" t="str">
        <f>HYPERLINK("http://141.218.60.56/~jnz1568/getInfo.php?workbook=14_04.xlsx&amp;sheet=U0&amp;row=2686&amp;col=7&amp;number=0.00711&amp;sourceID=14","0.00711")</f>
        <v>0.00711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HYPERLINK("http://141.218.60.56/~jnz1568/getInfo.php?workbook=14_04.xlsx&amp;sheet=U0&amp;row=2687&amp;col=6&amp;number=3.3&amp;sourceID=14","3.3")</f>
        <v>3.3</v>
      </c>
      <c r="G2687" s="4" t="str">
        <f>HYPERLINK("http://141.218.60.56/~jnz1568/getInfo.php?workbook=14_04.xlsx&amp;sheet=U0&amp;row=2687&amp;col=7&amp;number=0.00711&amp;sourceID=14","0.00711")</f>
        <v>0.00711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HYPERLINK("http://141.218.60.56/~jnz1568/getInfo.php?workbook=14_04.xlsx&amp;sheet=U0&amp;row=2688&amp;col=6&amp;number=3.4&amp;sourceID=14","3.4")</f>
        <v>3.4</v>
      </c>
      <c r="G2688" s="4" t="str">
        <f>HYPERLINK("http://141.218.60.56/~jnz1568/getInfo.php?workbook=14_04.xlsx&amp;sheet=U0&amp;row=2688&amp;col=7&amp;number=0.00711&amp;sourceID=14","0.00711")</f>
        <v>0.00711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HYPERLINK("http://141.218.60.56/~jnz1568/getInfo.php?workbook=14_04.xlsx&amp;sheet=U0&amp;row=2689&amp;col=6&amp;number=3.5&amp;sourceID=14","3.5")</f>
        <v>3.5</v>
      </c>
      <c r="G2689" s="4" t="str">
        <f>HYPERLINK("http://141.218.60.56/~jnz1568/getInfo.php?workbook=14_04.xlsx&amp;sheet=U0&amp;row=2689&amp;col=7&amp;number=0.00711&amp;sourceID=14","0.00711")</f>
        <v>0.00711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HYPERLINK("http://141.218.60.56/~jnz1568/getInfo.php?workbook=14_04.xlsx&amp;sheet=U0&amp;row=2690&amp;col=6&amp;number=3.6&amp;sourceID=14","3.6")</f>
        <v>3.6</v>
      </c>
      <c r="G2690" s="4" t="str">
        <f>HYPERLINK("http://141.218.60.56/~jnz1568/getInfo.php?workbook=14_04.xlsx&amp;sheet=U0&amp;row=2690&amp;col=7&amp;number=0.00711&amp;sourceID=14","0.00711")</f>
        <v>0.00711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HYPERLINK("http://141.218.60.56/~jnz1568/getInfo.php?workbook=14_04.xlsx&amp;sheet=U0&amp;row=2691&amp;col=6&amp;number=3.7&amp;sourceID=14","3.7")</f>
        <v>3.7</v>
      </c>
      <c r="G2691" s="4" t="str">
        <f>HYPERLINK("http://141.218.60.56/~jnz1568/getInfo.php?workbook=14_04.xlsx&amp;sheet=U0&amp;row=2691&amp;col=7&amp;number=0.00711&amp;sourceID=14","0.00711")</f>
        <v>0.00711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HYPERLINK("http://141.218.60.56/~jnz1568/getInfo.php?workbook=14_04.xlsx&amp;sheet=U0&amp;row=2692&amp;col=6&amp;number=3.8&amp;sourceID=14","3.8")</f>
        <v>3.8</v>
      </c>
      <c r="G2692" s="4" t="str">
        <f>HYPERLINK("http://141.218.60.56/~jnz1568/getInfo.php?workbook=14_04.xlsx&amp;sheet=U0&amp;row=2692&amp;col=7&amp;number=0.00711&amp;sourceID=14","0.00711")</f>
        <v>0.00711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HYPERLINK("http://141.218.60.56/~jnz1568/getInfo.php?workbook=14_04.xlsx&amp;sheet=U0&amp;row=2693&amp;col=6&amp;number=3.9&amp;sourceID=14","3.9")</f>
        <v>3.9</v>
      </c>
      <c r="G2693" s="4" t="str">
        <f>HYPERLINK("http://141.218.60.56/~jnz1568/getInfo.php?workbook=14_04.xlsx&amp;sheet=U0&amp;row=2693&amp;col=7&amp;number=0.0071&amp;sourceID=14","0.0071")</f>
        <v>0.0071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HYPERLINK("http://141.218.60.56/~jnz1568/getInfo.php?workbook=14_04.xlsx&amp;sheet=U0&amp;row=2694&amp;col=6&amp;number=4&amp;sourceID=14","4")</f>
        <v>4</v>
      </c>
      <c r="G2694" s="4" t="str">
        <f>HYPERLINK("http://141.218.60.56/~jnz1568/getInfo.php?workbook=14_04.xlsx&amp;sheet=U0&amp;row=2694&amp;col=7&amp;number=0.0071&amp;sourceID=14","0.0071")</f>
        <v>0.0071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HYPERLINK("http://141.218.60.56/~jnz1568/getInfo.php?workbook=14_04.xlsx&amp;sheet=U0&amp;row=2695&amp;col=6&amp;number=4.1&amp;sourceID=14","4.1")</f>
        <v>4.1</v>
      </c>
      <c r="G2695" s="4" t="str">
        <f>HYPERLINK("http://141.218.60.56/~jnz1568/getInfo.php?workbook=14_04.xlsx&amp;sheet=U0&amp;row=2695&amp;col=7&amp;number=0.0071&amp;sourceID=14","0.0071")</f>
        <v>0.0071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HYPERLINK("http://141.218.60.56/~jnz1568/getInfo.php?workbook=14_04.xlsx&amp;sheet=U0&amp;row=2696&amp;col=6&amp;number=4.2&amp;sourceID=14","4.2")</f>
        <v>4.2</v>
      </c>
      <c r="G2696" s="4" t="str">
        <f>HYPERLINK("http://141.218.60.56/~jnz1568/getInfo.php?workbook=14_04.xlsx&amp;sheet=U0&amp;row=2696&amp;col=7&amp;number=0.0071&amp;sourceID=14","0.0071")</f>
        <v>0.0071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HYPERLINK("http://141.218.60.56/~jnz1568/getInfo.php?workbook=14_04.xlsx&amp;sheet=U0&amp;row=2697&amp;col=6&amp;number=4.3&amp;sourceID=14","4.3")</f>
        <v>4.3</v>
      </c>
      <c r="G2697" s="4" t="str">
        <f>HYPERLINK("http://141.218.60.56/~jnz1568/getInfo.php?workbook=14_04.xlsx&amp;sheet=U0&amp;row=2697&amp;col=7&amp;number=0.00709&amp;sourceID=14","0.00709")</f>
        <v>0.00709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HYPERLINK("http://141.218.60.56/~jnz1568/getInfo.php?workbook=14_04.xlsx&amp;sheet=U0&amp;row=2698&amp;col=6&amp;number=4.4&amp;sourceID=14","4.4")</f>
        <v>4.4</v>
      </c>
      <c r="G2698" s="4" t="str">
        <f>HYPERLINK("http://141.218.60.56/~jnz1568/getInfo.php?workbook=14_04.xlsx&amp;sheet=U0&amp;row=2698&amp;col=7&amp;number=0.00709&amp;sourceID=14","0.00709")</f>
        <v>0.00709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HYPERLINK("http://141.218.60.56/~jnz1568/getInfo.php?workbook=14_04.xlsx&amp;sheet=U0&amp;row=2699&amp;col=6&amp;number=4.5&amp;sourceID=14","4.5")</f>
        <v>4.5</v>
      </c>
      <c r="G2699" s="4" t="str">
        <f>HYPERLINK("http://141.218.60.56/~jnz1568/getInfo.php?workbook=14_04.xlsx&amp;sheet=U0&amp;row=2699&amp;col=7&amp;number=0.00708&amp;sourceID=14","0.00708")</f>
        <v>0.00708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HYPERLINK("http://141.218.60.56/~jnz1568/getInfo.php?workbook=14_04.xlsx&amp;sheet=U0&amp;row=2700&amp;col=6&amp;number=4.6&amp;sourceID=14","4.6")</f>
        <v>4.6</v>
      </c>
      <c r="G2700" s="4" t="str">
        <f>HYPERLINK("http://141.218.60.56/~jnz1568/getInfo.php?workbook=14_04.xlsx&amp;sheet=U0&amp;row=2700&amp;col=7&amp;number=0.00707&amp;sourceID=14","0.00707")</f>
        <v>0.00707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HYPERLINK("http://141.218.60.56/~jnz1568/getInfo.php?workbook=14_04.xlsx&amp;sheet=U0&amp;row=2701&amp;col=6&amp;number=4.7&amp;sourceID=14","4.7")</f>
        <v>4.7</v>
      </c>
      <c r="G2701" s="4" t="str">
        <f>HYPERLINK("http://141.218.60.56/~jnz1568/getInfo.php?workbook=14_04.xlsx&amp;sheet=U0&amp;row=2701&amp;col=7&amp;number=0.00706&amp;sourceID=14","0.00706")</f>
        <v>0.00706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HYPERLINK("http://141.218.60.56/~jnz1568/getInfo.php?workbook=14_04.xlsx&amp;sheet=U0&amp;row=2702&amp;col=6&amp;number=4.8&amp;sourceID=14","4.8")</f>
        <v>4.8</v>
      </c>
      <c r="G2702" s="4" t="str">
        <f>HYPERLINK("http://141.218.60.56/~jnz1568/getInfo.php?workbook=14_04.xlsx&amp;sheet=U0&amp;row=2702&amp;col=7&amp;number=0.00704&amp;sourceID=14","0.00704")</f>
        <v>0.00704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HYPERLINK("http://141.218.60.56/~jnz1568/getInfo.php?workbook=14_04.xlsx&amp;sheet=U0&amp;row=2703&amp;col=6&amp;number=4.9&amp;sourceID=14","4.9")</f>
        <v>4.9</v>
      </c>
      <c r="G2703" s="4" t="str">
        <f>HYPERLINK("http://141.218.60.56/~jnz1568/getInfo.php?workbook=14_04.xlsx&amp;sheet=U0&amp;row=2703&amp;col=7&amp;number=0.00702&amp;sourceID=14","0.00702")</f>
        <v>0.00702</v>
      </c>
    </row>
    <row r="2704" spans="1:7">
      <c r="A2704" s="3">
        <v>14</v>
      </c>
      <c r="B2704" s="3">
        <v>4</v>
      </c>
      <c r="C2704" s="3">
        <v>2</v>
      </c>
      <c r="D2704" s="3">
        <v>19</v>
      </c>
      <c r="E2704" s="3">
        <v>1</v>
      </c>
      <c r="F2704" s="4" t="str">
        <f>HYPERLINK("http://141.218.60.56/~jnz1568/getInfo.php?workbook=14_04.xlsx&amp;sheet=U0&amp;row=2704&amp;col=6&amp;number=3&amp;sourceID=14","3")</f>
        <v>3</v>
      </c>
      <c r="G2704" s="4" t="str">
        <f>HYPERLINK("http://141.218.60.56/~jnz1568/getInfo.php?workbook=14_04.xlsx&amp;sheet=U0&amp;row=2704&amp;col=7&amp;number=0.00642&amp;sourceID=14","0.00642")</f>
        <v>0.00642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HYPERLINK("http://141.218.60.56/~jnz1568/getInfo.php?workbook=14_04.xlsx&amp;sheet=U0&amp;row=2705&amp;col=6&amp;number=3.1&amp;sourceID=14","3.1")</f>
        <v>3.1</v>
      </c>
      <c r="G2705" s="4" t="str">
        <f>HYPERLINK("http://141.218.60.56/~jnz1568/getInfo.php?workbook=14_04.xlsx&amp;sheet=U0&amp;row=2705&amp;col=7&amp;number=0.00642&amp;sourceID=14","0.00642")</f>
        <v>0.00642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HYPERLINK("http://141.218.60.56/~jnz1568/getInfo.php?workbook=14_04.xlsx&amp;sheet=U0&amp;row=2706&amp;col=6&amp;number=3.2&amp;sourceID=14","3.2")</f>
        <v>3.2</v>
      </c>
      <c r="G2706" s="4" t="str">
        <f>HYPERLINK("http://141.218.60.56/~jnz1568/getInfo.php?workbook=14_04.xlsx&amp;sheet=U0&amp;row=2706&amp;col=7&amp;number=0.00642&amp;sourceID=14","0.00642")</f>
        <v>0.00642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HYPERLINK("http://141.218.60.56/~jnz1568/getInfo.php?workbook=14_04.xlsx&amp;sheet=U0&amp;row=2707&amp;col=6&amp;number=3.3&amp;sourceID=14","3.3")</f>
        <v>3.3</v>
      </c>
      <c r="G2707" s="4" t="str">
        <f>HYPERLINK("http://141.218.60.56/~jnz1568/getInfo.php?workbook=14_04.xlsx&amp;sheet=U0&amp;row=2707&amp;col=7&amp;number=0.00642&amp;sourceID=14","0.00642")</f>
        <v>0.00642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HYPERLINK("http://141.218.60.56/~jnz1568/getInfo.php?workbook=14_04.xlsx&amp;sheet=U0&amp;row=2708&amp;col=6&amp;number=3.4&amp;sourceID=14","3.4")</f>
        <v>3.4</v>
      </c>
      <c r="G2708" s="4" t="str">
        <f>HYPERLINK("http://141.218.60.56/~jnz1568/getInfo.php?workbook=14_04.xlsx&amp;sheet=U0&amp;row=2708&amp;col=7&amp;number=0.00642&amp;sourceID=14","0.00642")</f>
        <v>0.00642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HYPERLINK("http://141.218.60.56/~jnz1568/getInfo.php?workbook=14_04.xlsx&amp;sheet=U0&amp;row=2709&amp;col=6&amp;number=3.5&amp;sourceID=14","3.5")</f>
        <v>3.5</v>
      </c>
      <c r="G2709" s="4" t="str">
        <f>HYPERLINK("http://141.218.60.56/~jnz1568/getInfo.php?workbook=14_04.xlsx&amp;sheet=U0&amp;row=2709&amp;col=7&amp;number=0.00642&amp;sourceID=14","0.00642")</f>
        <v>0.00642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HYPERLINK("http://141.218.60.56/~jnz1568/getInfo.php?workbook=14_04.xlsx&amp;sheet=U0&amp;row=2710&amp;col=6&amp;number=3.6&amp;sourceID=14","3.6")</f>
        <v>3.6</v>
      </c>
      <c r="G2710" s="4" t="str">
        <f>HYPERLINK("http://141.218.60.56/~jnz1568/getInfo.php?workbook=14_04.xlsx&amp;sheet=U0&amp;row=2710&amp;col=7&amp;number=0.00642&amp;sourceID=14","0.00642")</f>
        <v>0.00642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HYPERLINK("http://141.218.60.56/~jnz1568/getInfo.php?workbook=14_04.xlsx&amp;sheet=U0&amp;row=2711&amp;col=6&amp;number=3.7&amp;sourceID=14","3.7")</f>
        <v>3.7</v>
      </c>
      <c r="G2711" s="4" t="str">
        <f>HYPERLINK("http://141.218.60.56/~jnz1568/getInfo.php?workbook=14_04.xlsx&amp;sheet=U0&amp;row=2711&amp;col=7&amp;number=0.00642&amp;sourceID=14","0.00642")</f>
        <v>0.00642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HYPERLINK("http://141.218.60.56/~jnz1568/getInfo.php?workbook=14_04.xlsx&amp;sheet=U0&amp;row=2712&amp;col=6&amp;number=3.8&amp;sourceID=14","3.8")</f>
        <v>3.8</v>
      </c>
      <c r="G2712" s="4" t="str">
        <f>HYPERLINK("http://141.218.60.56/~jnz1568/getInfo.php?workbook=14_04.xlsx&amp;sheet=U0&amp;row=2712&amp;col=7&amp;number=0.00642&amp;sourceID=14","0.00642")</f>
        <v>0.00642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HYPERLINK("http://141.218.60.56/~jnz1568/getInfo.php?workbook=14_04.xlsx&amp;sheet=U0&amp;row=2713&amp;col=6&amp;number=3.9&amp;sourceID=14","3.9")</f>
        <v>3.9</v>
      </c>
      <c r="G2713" s="4" t="str">
        <f>HYPERLINK("http://141.218.60.56/~jnz1568/getInfo.php?workbook=14_04.xlsx&amp;sheet=U0&amp;row=2713&amp;col=7&amp;number=0.00642&amp;sourceID=14","0.00642")</f>
        <v>0.00642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HYPERLINK("http://141.218.60.56/~jnz1568/getInfo.php?workbook=14_04.xlsx&amp;sheet=U0&amp;row=2714&amp;col=6&amp;number=4&amp;sourceID=14","4")</f>
        <v>4</v>
      </c>
      <c r="G2714" s="4" t="str">
        <f>HYPERLINK("http://141.218.60.56/~jnz1568/getInfo.php?workbook=14_04.xlsx&amp;sheet=U0&amp;row=2714&amp;col=7&amp;number=0.00642&amp;sourceID=14","0.00642")</f>
        <v>0.00642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HYPERLINK("http://141.218.60.56/~jnz1568/getInfo.php?workbook=14_04.xlsx&amp;sheet=U0&amp;row=2715&amp;col=6&amp;number=4.1&amp;sourceID=14","4.1")</f>
        <v>4.1</v>
      </c>
      <c r="G2715" s="4" t="str">
        <f>HYPERLINK("http://141.218.60.56/~jnz1568/getInfo.php?workbook=14_04.xlsx&amp;sheet=U0&amp;row=2715&amp;col=7&amp;number=0.00642&amp;sourceID=14","0.00642")</f>
        <v>0.00642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HYPERLINK("http://141.218.60.56/~jnz1568/getInfo.php?workbook=14_04.xlsx&amp;sheet=U0&amp;row=2716&amp;col=6&amp;number=4.2&amp;sourceID=14","4.2")</f>
        <v>4.2</v>
      </c>
      <c r="G2716" s="4" t="str">
        <f>HYPERLINK("http://141.218.60.56/~jnz1568/getInfo.php?workbook=14_04.xlsx&amp;sheet=U0&amp;row=2716&amp;col=7&amp;number=0.00642&amp;sourceID=14","0.00642")</f>
        <v>0.00642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HYPERLINK("http://141.218.60.56/~jnz1568/getInfo.php?workbook=14_04.xlsx&amp;sheet=U0&amp;row=2717&amp;col=6&amp;number=4.3&amp;sourceID=14","4.3")</f>
        <v>4.3</v>
      </c>
      <c r="G2717" s="4" t="str">
        <f>HYPERLINK("http://141.218.60.56/~jnz1568/getInfo.php?workbook=14_04.xlsx&amp;sheet=U0&amp;row=2717&amp;col=7&amp;number=0.00642&amp;sourceID=14","0.00642")</f>
        <v>0.00642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HYPERLINK("http://141.218.60.56/~jnz1568/getInfo.php?workbook=14_04.xlsx&amp;sheet=U0&amp;row=2718&amp;col=6&amp;number=4.4&amp;sourceID=14","4.4")</f>
        <v>4.4</v>
      </c>
      <c r="G2718" s="4" t="str">
        <f>HYPERLINK("http://141.218.60.56/~jnz1568/getInfo.php?workbook=14_04.xlsx&amp;sheet=U0&amp;row=2718&amp;col=7&amp;number=0.00642&amp;sourceID=14","0.00642")</f>
        <v>0.00642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HYPERLINK("http://141.218.60.56/~jnz1568/getInfo.php?workbook=14_04.xlsx&amp;sheet=U0&amp;row=2719&amp;col=6&amp;number=4.5&amp;sourceID=14","4.5")</f>
        <v>4.5</v>
      </c>
      <c r="G2719" s="4" t="str">
        <f>HYPERLINK("http://141.218.60.56/~jnz1568/getInfo.php?workbook=14_04.xlsx&amp;sheet=U0&amp;row=2719&amp;col=7&amp;number=0.00642&amp;sourceID=14","0.00642")</f>
        <v>0.00642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HYPERLINK("http://141.218.60.56/~jnz1568/getInfo.php?workbook=14_04.xlsx&amp;sheet=U0&amp;row=2720&amp;col=6&amp;number=4.6&amp;sourceID=14","4.6")</f>
        <v>4.6</v>
      </c>
      <c r="G2720" s="4" t="str">
        <f>HYPERLINK("http://141.218.60.56/~jnz1568/getInfo.php?workbook=14_04.xlsx&amp;sheet=U0&amp;row=2720&amp;col=7&amp;number=0.00642&amp;sourceID=14","0.00642")</f>
        <v>0.00642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HYPERLINK("http://141.218.60.56/~jnz1568/getInfo.php?workbook=14_04.xlsx&amp;sheet=U0&amp;row=2721&amp;col=6&amp;number=4.7&amp;sourceID=14","4.7")</f>
        <v>4.7</v>
      </c>
      <c r="G2721" s="4" t="str">
        <f>HYPERLINK("http://141.218.60.56/~jnz1568/getInfo.php?workbook=14_04.xlsx&amp;sheet=U0&amp;row=2721&amp;col=7&amp;number=0.00641&amp;sourceID=14","0.00641")</f>
        <v>0.00641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HYPERLINK("http://141.218.60.56/~jnz1568/getInfo.php?workbook=14_04.xlsx&amp;sheet=U0&amp;row=2722&amp;col=6&amp;number=4.8&amp;sourceID=14","4.8")</f>
        <v>4.8</v>
      </c>
      <c r="G2722" s="4" t="str">
        <f>HYPERLINK("http://141.218.60.56/~jnz1568/getInfo.php?workbook=14_04.xlsx&amp;sheet=U0&amp;row=2722&amp;col=7&amp;number=0.00641&amp;sourceID=14","0.00641")</f>
        <v>0.00641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HYPERLINK("http://141.218.60.56/~jnz1568/getInfo.php?workbook=14_04.xlsx&amp;sheet=U0&amp;row=2723&amp;col=6&amp;number=4.9&amp;sourceID=14","4.9")</f>
        <v>4.9</v>
      </c>
      <c r="G2723" s="4" t="str">
        <f>HYPERLINK("http://141.218.60.56/~jnz1568/getInfo.php?workbook=14_04.xlsx&amp;sheet=U0&amp;row=2723&amp;col=7&amp;number=0.00641&amp;sourceID=14","0.00641")</f>
        <v>0.00641</v>
      </c>
    </row>
    <row r="2724" spans="1:7">
      <c r="A2724" s="3">
        <v>14</v>
      </c>
      <c r="B2724" s="3">
        <v>4</v>
      </c>
      <c r="C2724" s="3">
        <v>2</v>
      </c>
      <c r="D2724" s="3">
        <v>20</v>
      </c>
      <c r="E2724" s="3">
        <v>1</v>
      </c>
      <c r="F2724" s="4" t="str">
        <f>HYPERLINK("http://141.218.60.56/~jnz1568/getInfo.php?workbook=14_04.xlsx&amp;sheet=U0&amp;row=2724&amp;col=6&amp;number=3&amp;sourceID=14","3")</f>
        <v>3</v>
      </c>
      <c r="G2724" s="4" t="str">
        <f>HYPERLINK("http://141.218.60.56/~jnz1568/getInfo.php?workbook=14_04.xlsx&amp;sheet=U0&amp;row=2724&amp;col=7&amp;number=0.011&amp;sourceID=14","0.011")</f>
        <v>0.011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HYPERLINK("http://141.218.60.56/~jnz1568/getInfo.php?workbook=14_04.xlsx&amp;sheet=U0&amp;row=2725&amp;col=6&amp;number=3.1&amp;sourceID=14","3.1")</f>
        <v>3.1</v>
      </c>
      <c r="G2725" s="4" t="str">
        <f>HYPERLINK("http://141.218.60.56/~jnz1568/getInfo.php?workbook=14_04.xlsx&amp;sheet=U0&amp;row=2725&amp;col=7&amp;number=0.011&amp;sourceID=14","0.011")</f>
        <v>0.011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HYPERLINK("http://141.218.60.56/~jnz1568/getInfo.php?workbook=14_04.xlsx&amp;sheet=U0&amp;row=2726&amp;col=6&amp;number=3.2&amp;sourceID=14","3.2")</f>
        <v>3.2</v>
      </c>
      <c r="G2726" s="4" t="str">
        <f>HYPERLINK("http://141.218.60.56/~jnz1568/getInfo.php?workbook=14_04.xlsx&amp;sheet=U0&amp;row=2726&amp;col=7&amp;number=0.011&amp;sourceID=14","0.011")</f>
        <v>0.011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HYPERLINK("http://141.218.60.56/~jnz1568/getInfo.php?workbook=14_04.xlsx&amp;sheet=U0&amp;row=2727&amp;col=6&amp;number=3.3&amp;sourceID=14","3.3")</f>
        <v>3.3</v>
      </c>
      <c r="G2727" s="4" t="str">
        <f>HYPERLINK("http://141.218.60.56/~jnz1568/getInfo.php?workbook=14_04.xlsx&amp;sheet=U0&amp;row=2727&amp;col=7&amp;number=0.011&amp;sourceID=14","0.011")</f>
        <v>0.011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HYPERLINK("http://141.218.60.56/~jnz1568/getInfo.php?workbook=14_04.xlsx&amp;sheet=U0&amp;row=2728&amp;col=6&amp;number=3.4&amp;sourceID=14","3.4")</f>
        <v>3.4</v>
      </c>
      <c r="G2728" s="4" t="str">
        <f>HYPERLINK("http://141.218.60.56/~jnz1568/getInfo.php?workbook=14_04.xlsx&amp;sheet=U0&amp;row=2728&amp;col=7&amp;number=0.011&amp;sourceID=14","0.011")</f>
        <v>0.011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HYPERLINK("http://141.218.60.56/~jnz1568/getInfo.php?workbook=14_04.xlsx&amp;sheet=U0&amp;row=2729&amp;col=6&amp;number=3.5&amp;sourceID=14","3.5")</f>
        <v>3.5</v>
      </c>
      <c r="G2729" s="4" t="str">
        <f>HYPERLINK("http://141.218.60.56/~jnz1568/getInfo.php?workbook=14_04.xlsx&amp;sheet=U0&amp;row=2729&amp;col=7&amp;number=0.011&amp;sourceID=14","0.011")</f>
        <v>0.011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HYPERLINK("http://141.218.60.56/~jnz1568/getInfo.php?workbook=14_04.xlsx&amp;sheet=U0&amp;row=2730&amp;col=6&amp;number=3.6&amp;sourceID=14","3.6")</f>
        <v>3.6</v>
      </c>
      <c r="G2730" s="4" t="str">
        <f>HYPERLINK("http://141.218.60.56/~jnz1568/getInfo.php?workbook=14_04.xlsx&amp;sheet=U0&amp;row=2730&amp;col=7&amp;number=0.011&amp;sourceID=14","0.011")</f>
        <v>0.011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HYPERLINK("http://141.218.60.56/~jnz1568/getInfo.php?workbook=14_04.xlsx&amp;sheet=U0&amp;row=2731&amp;col=6&amp;number=3.7&amp;sourceID=14","3.7")</f>
        <v>3.7</v>
      </c>
      <c r="G2731" s="4" t="str">
        <f>HYPERLINK("http://141.218.60.56/~jnz1568/getInfo.php?workbook=14_04.xlsx&amp;sheet=U0&amp;row=2731&amp;col=7&amp;number=0.011&amp;sourceID=14","0.011")</f>
        <v>0.011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HYPERLINK("http://141.218.60.56/~jnz1568/getInfo.php?workbook=14_04.xlsx&amp;sheet=U0&amp;row=2732&amp;col=6&amp;number=3.8&amp;sourceID=14","3.8")</f>
        <v>3.8</v>
      </c>
      <c r="G2732" s="4" t="str">
        <f>HYPERLINK("http://141.218.60.56/~jnz1568/getInfo.php?workbook=14_04.xlsx&amp;sheet=U0&amp;row=2732&amp;col=7&amp;number=0.011&amp;sourceID=14","0.011")</f>
        <v>0.011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HYPERLINK("http://141.218.60.56/~jnz1568/getInfo.php?workbook=14_04.xlsx&amp;sheet=U0&amp;row=2733&amp;col=6&amp;number=3.9&amp;sourceID=14","3.9")</f>
        <v>3.9</v>
      </c>
      <c r="G2733" s="4" t="str">
        <f>HYPERLINK("http://141.218.60.56/~jnz1568/getInfo.php?workbook=14_04.xlsx&amp;sheet=U0&amp;row=2733&amp;col=7&amp;number=0.0109&amp;sourceID=14","0.0109")</f>
        <v>0.0109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HYPERLINK("http://141.218.60.56/~jnz1568/getInfo.php?workbook=14_04.xlsx&amp;sheet=U0&amp;row=2734&amp;col=6&amp;number=4&amp;sourceID=14","4")</f>
        <v>4</v>
      </c>
      <c r="G2734" s="4" t="str">
        <f>HYPERLINK("http://141.218.60.56/~jnz1568/getInfo.php?workbook=14_04.xlsx&amp;sheet=U0&amp;row=2734&amp;col=7&amp;number=0.0109&amp;sourceID=14","0.0109")</f>
        <v>0.0109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HYPERLINK("http://141.218.60.56/~jnz1568/getInfo.php?workbook=14_04.xlsx&amp;sheet=U0&amp;row=2735&amp;col=6&amp;number=4.1&amp;sourceID=14","4.1")</f>
        <v>4.1</v>
      </c>
      <c r="G2735" s="4" t="str">
        <f>HYPERLINK("http://141.218.60.56/~jnz1568/getInfo.php?workbook=14_04.xlsx&amp;sheet=U0&amp;row=2735&amp;col=7&amp;number=0.0109&amp;sourceID=14","0.0109")</f>
        <v>0.0109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HYPERLINK("http://141.218.60.56/~jnz1568/getInfo.php?workbook=14_04.xlsx&amp;sheet=U0&amp;row=2736&amp;col=6&amp;number=4.2&amp;sourceID=14","4.2")</f>
        <v>4.2</v>
      </c>
      <c r="G2736" s="4" t="str">
        <f>HYPERLINK("http://141.218.60.56/~jnz1568/getInfo.php?workbook=14_04.xlsx&amp;sheet=U0&amp;row=2736&amp;col=7&amp;number=0.0109&amp;sourceID=14","0.0109")</f>
        <v>0.0109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HYPERLINK("http://141.218.60.56/~jnz1568/getInfo.php?workbook=14_04.xlsx&amp;sheet=U0&amp;row=2737&amp;col=6&amp;number=4.3&amp;sourceID=14","4.3")</f>
        <v>4.3</v>
      </c>
      <c r="G2737" s="4" t="str">
        <f>HYPERLINK("http://141.218.60.56/~jnz1568/getInfo.php?workbook=14_04.xlsx&amp;sheet=U0&amp;row=2737&amp;col=7&amp;number=0.0109&amp;sourceID=14","0.0109")</f>
        <v>0.0109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HYPERLINK("http://141.218.60.56/~jnz1568/getInfo.php?workbook=14_04.xlsx&amp;sheet=U0&amp;row=2738&amp;col=6&amp;number=4.4&amp;sourceID=14","4.4")</f>
        <v>4.4</v>
      </c>
      <c r="G2738" s="4" t="str">
        <f>HYPERLINK("http://141.218.60.56/~jnz1568/getInfo.php?workbook=14_04.xlsx&amp;sheet=U0&amp;row=2738&amp;col=7&amp;number=0.0109&amp;sourceID=14","0.0109")</f>
        <v>0.0109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HYPERLINK("http://141.218.60.56/~jnz1568/getInfo.php?workbook=14_04.xlsx&amp;sheet=U0&amp;row=2739&amp;col=6&amp;number=4.5&amp;sourceID=14","4.5")</f>
        <v>4.5</v>
      </c>
      <c r="G2739" s="4" t="str">
        <f>HYPERLINK("http://141.218.60.56/~jnz1568/getInfo.php?workbook=14_04.xlsx&amp;sheet=U0&amp;row=2739&amp;col=7&amp;number=0.0108&amp;sourceID=14","0.0108")</f>
        <v>0.0108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HYPERLINK("http://141.218.60.56/~jnz1568/getInfo.php?workbook=14_04.xlsx&amp;sheet=U0&amp;row=2740&amp;col=6&amp;number=4.6&amp;sourceID=14","4.6")</f>
        <v>4.6</v>
      </c>
      <c r="G2740" s="4" t="str">
        <f>HYPERLINK("http://141.218.60.56/~jnz1568/getInfo.php?workbook=14_04.xlsx&amp;sheet=U0&amp;row=2740&amp;col=7&amp;number=0.0108&amp;sourceID=14","0.0108")</f>
        <v>0.0108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HYPERLINK("http://141.218.60.56/~jnz1568/getInfo.php?workbook=14_04.xlsx&amp;sheet=U0&amp;row=2741&amp;col=6&amp;number=4.7&amp;sourceID=14","4.7")</f>
        <v>4.7</v>
      </c>
      <c r="G2741" s="4" t="str">
        <f>HYPERLINK("http://141.218.60.56/~jnz1568/getInfo.php?workbook=14_04.xlsx&amp;sheet=U0&amp;row=2741&amp;col=7&amp;number=0.0107&amp;sourceID=14","0.0107")</f>
        <v>0.0107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HYPERLINK("http://141.218.60.56/~jnz1568/getInfo.php?workbook=14_04.xlsx&amp;sheet=U0&amp;row=2742&amp;col=6&amp;number=4.8&amp;sourceID=14","4.8")</f>
        <v>4.8</v>
      </c>
      <c r="G2742" s="4" t="str">
        <f>HYPERLINK("http://141.218.60.56/~jnz1568/getInfo.php?workbook=14_04.xlsx&amp;sheet=U0&amp;row=2742&amp;col=7&amp;number=0.0107&amp;sourceID=14","0.0107")</f>
        <v>0.0107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HYPERLINK("http://141.218.60.56/~jnz1568/getInfo.php?workbook=14_04.xlsx&amp;sheet=U0&amp;row=2743&amp;col=6&amp;number=4.9&amp;sourceID=14","4.9")</f>
        <v>4.9</v>
      </c>
      <c r="G2743" s="4" t="str">
        <f>HYPERLINK("http://141.218.60.56/~jnz1568/getInfo.php?workbook=14_04.xlsx&amp;sheet=U0&amp;row=2743&amp;col=7&amp;number=0.0106&amp;sourceID=14","0.0106")</f>
        <v>0.0106</v>
      </c>
    </row>
    <row r="2744" spans="1:7">
      <c r="A2744" s="3">
        <v>14</v>
      </c>
      <c r="B2744" s="3">
        <v>4</v>
      </c>
      <c r="C2744" s="3">
        <v>2</v>
      </c>
      <c r="D2744" s="3">
        <v>21</v>
      </c>
      <c r="E2744" s="3">
        <v>1</v>
      </c>
      <c r="F2744" s="4" t="str">
        <f>HYPERLINK("http://141.218.60.56/~jnz1568/getInfo.php?workbook=14_04.xlsx&amp;sheet=U0&amp;row=2744&amp;col=6&amp;number=3&amp;sourceID=14","3")</f>
        <v>3</v>
      </c>
      <c r="G2744" s="4" t="str">
        <f>HYPERLINK("http://141.218.60.56/~jnz1568/getInfo.php?workbook=14_04.xlsx&amp;sheet=U0&amp;row=2744&amp;col=7&amp;number=0.0202&amp;sourceID=14","0.0202")</f>
        <v>0.0202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HYPERLINK("http://141.218.60.56/~jnz1568/getInfo.php?workbook=14_04.xlsx&amp;sheet=U0&amp;row=2745&amp;col=6&amp;number=3.1&amp;sourceID=14","3.1")</f>
        <v>3.1</v>
      </c>
      <c r="G2745" s="4" t="str">
        <f>HYPERLINK("http://141.218.60.56/~jnz1568/getInfo.php?workbook=14_04.xlsx&amp;sheet=U0&amp;row=2745&amp;col=7&amp;number=0.0202&amp;sourceID=14","0.0202")</f>
        <v>0.0202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HYPERLINK("http://141.218.60.56/~jnz1568/getInfo.php?workbook=14_04.xlsx&amp;sheet=U0&amp;row=2746&amp;col=6&amp;number=3.2&amp;sourceID=14","3.2")</f>
        <v>3.2</v>
      </c>
      <c r="G2746" s="4" t="str">
        <f>HYPERLINK("http://141.218.60.56/~jnz1568/getInfo.php?workbook=14_04.xlsx&amp;sheet=U0&amp;row=2746&amp;col=7&amp;number=0.0202&amp;sourceID=14","0.0202")</f>
        <v>0.0202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HYPERLINK("http://141.218.60.56/~jnz1568/getInfo.php?workbook=14_04.xlsx&amp;sheet=U0&amp;row=2747&amp;col=6&amp;number=3.3&amp;sourceID=14","3.3")</f>
        <v>3.3</v>
      </c>
      <c r="G2747" s="4" t="str">
        <f>HYPERLINK("http://141.218.60.56/~jnz1568/getInfo.php?workbook=14_04.xlsx&amp;sheet=U0&amp;row=2747&amp;col=7&amp;number=0.0202&amp;sourceID=14","0.0202")</f>
        <v>0.0202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HYPERLINK("http://141.218.60.56/~jnz1568/getInfo.php?workbook=14_04.xlsx&amp;sheet=U0&amp;row=2748&amp;col=6&amp;number=3.4&amp;sourceID=14","3.4")</f>
        <v>3.4</v>
      </c>
      <c r="G2748" s="4" t="str">
        <f>HYPERLINK("http://141.218.60.56/~jnz1568/getInfo.php?workbook=14_04.xlsx&amp;sheet=U0&amp;row=2748&amp;col=7&amp;number=0.0202&amp;sourceID=14","0.0202")</f>
        <v>0.0202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HYPERLINK("http://141.218.60.56/~jnz1568/getInfo.php?workbook=14_04.xlsx&amp;sheet=U0&amp;row=2749&amp;col=6&amp;number=3.5&amp;sourceID=14","3.5")</f>
        <v>3.5</v>
      </c>
      <c r="G2749" s="4" t="str">
        <f>HYPERLINK("http://141.218.60.56/~jnz1568/getInfo.php?workbook=14_04.xlsx&amp;sheet=U0&amp;row=2749&amp;col=7&amp;number=0.0202&amp;sourceID=14","0.0202")</f>
        <v>0.0202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HYPERLINK("http://141.218.60.56/~jnz1568/getInfo.php?workbook=14_04.xlsx&amp;sheet=U0&amp;row=2750&amp;col=6&amp;number=3.6&amp;sourceID=14","3.6")</f>
        <v>3.6</v>
      </c>
      <c r="G2750" s="4" t="str">
        <f>HYPERLINK("http://141.218.60.56/~jnz1568/getInfo.php?workbook=14_04.xlsx&amp;sheet=U0&amp;row=2750&amp;col=7&amp;number=0.0202&amp;sourceID=14","0.0202")</f>
        <v>0.0202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HYPERLINK("http://141.218.60.56/~jnz1568/getInfo.php?workbook=14_04.xlsx&amp;sheet=U0&amp;row=2751&amp;col=6&amp;number=3.7&amp;sourceID=14","3.7")</f>
        <v>3.7</v>
      </c>
      <c r="G2751" s="4" t="str">
        <f>HYPERLINK("http://141.218.60.56/~jnz1568/getInfo.php?workbook=14_04.xlsx&amp;sheet=U0&amp;row=2751&amp;col=7&amp;number=0.0202&amp;sourceID=14","0.0202")</f>
        <v>0.0202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HYPERLINK("http://141.218.60.56/~jnz1568/getInfo.php?workbook=14_04.xlsx&amp;sheet=U0&amp;row=2752&amp;col=6&amp;number=3.8&amp;sourceID=14","3.8")</f>
        <v>3.8</v>
      </c>
      <c r="G2752" s="4" t="str">
        <f>HYPERLINK("http://141.218.60.56/~jnz1568/getInfo.php?workbook=14_04.xlsx&amp;sheet=U0&amp;row=2752&amp;col=7&amp;number=0.0202&amp;sourceID=14","0.0202")</f>
        <v>0.0202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HYPERLINK("http://141.218.60.56/~jnz1568/getInfo.php?workbook=14_04.xlsx&amp;sheet=U0&amp;row=2753&amp;col=6&amp;number=3.9&amp;sourceID=14","3.9")</f>
        <v>3.9</v>
      </c>
      <c r="G2753" s="4" t="str">
        <f>HYPERLINK("http://141.218.60.56/~jnz1568/getInfo.php?workbook=14_04.xlsx&amp;sheet=U0&amp;row=2753&amp;col=7&amp;number=0.0202&amp;sourceID=14","0.0202")</f>
        <v>0.0202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HYPERLINK("http://141.218.60.56/~jnz1568/getInfo.php?workbook=14_04.xlsx&amp;sheet=U0&amp;row=2754&amp;col=6&amp;number=4&amp;sourceID=14","4")</f>
        <v>4</v>
      </c>
      <c r="G2754" s="4" t="str">
        <f>HYPERLINK("http://141.218.60.56/~jnz1568/getInfo.php?workbook=14_04.xlsx&amp;sheet=U0&amp;row=2754&amp;col=7&amp;number=0.0202&amp;sourceID=14","0.0202")</f>
        <v>0.0202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HYPERLINK("http://141.218.60.56/~jnz1568/getInfo.php?workbook=14_04.xlsx&amp;sheet=U0&amp;row=2755&amp;col=6&amp;number=4.1&amp;sourceID=14","4.1")</f>
        <v>4.1</v>
      </c>
      <c r="G2755" s="4" t="str">
        <f>HYPERLINK("http://141.218.60.56/~jnz1568/getInfo.php?workbook=14_04.xlsx&amp;sheet=U0&amp;row=2755&amp;col=7&amp;number=0.0202&amp;sourceID=14","0.0202")</f>
        <v>0.0202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HYPERLINK("http://141.218.60.56/~jnz1568/getInfo.php?workbook=14_04.xlsx&amp;sheet=U0&amp;row=2756&amp;col=6&amp;number=4.2&amp;sourceID=14","4.2")</f>
        <v>4.2</v>
      </c>
      <c r="G2756" s="4" t="str">
        <f>HYPERLINK("http://141.218.60.56/~jnz1568/getInfo.php?workbook=14_04.xlsx&amp;sheet=U0&amp;row=2756&amp;col=7&amp;number=0.0202&amp;sourceID=14","0.0202")</f>
        <v>0.0202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HYPERLINK("http://141.218.60.56/~jnz1568/getInfo.php?workbook=14_04.xlsx&amp;sheet=U0&amp;row=2757&amp;col=6&amp;number=4.3&amp;sourceID=14","4.3")</f>
        <v>4.3</v>
      </c>
      <c r="G2757" s="4" t="str">
        <f>HYPERLINK("http://141.218.60.56/~jnz1568/getInfo.php?workbook=14_04.xlsx&amp;sheet=U0&amp;row=2757&amp;col=7&amp;number=0.0202&amp;sourceID=14","0.0202")</f>
        <v>0.0202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HYPERLINK("http://141.218.60.56/~jnz1568/getInfo.php?workbook=14_04.xlsx&amp;sheet=U0&amp;row=2758&amp;col=6&amp;number=4.4&amp;sourceID=14","4.4")</f>
        <v>4.4</v>
      </c>
      <c r="G2758" s="4" t="str">
        <f>HYPERLINK("http://141.218.60.56/~jnz1568/getInfo.php?workbook=14_04.xlsx&amp;sheet=U0&amp;row=2758&amp;col=7&amp;number=0.0202&amp;sourceID=14","0.0202")</f>
        <v>0.0202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HYPERLINK("http://141.218.60.56/~jnz1568/getInfo.php?workbook=14_04.xlsx&amp;sheet=U0&amp;row=2759&amp;col=6&amp;number=4.5&amp;sourceID=14","4.5")</f>
        <v>4.5</v>
      </c>
      <c r="G2759" s="4" t="str">
        <f>HYPERLINK("http://141.218.60.56/~jnz1568/getInfo.php?workbook=14_04.xlsx&amp;sheet=U0&amp;row=2759&amp;col=7&amp;number=0.0202&amp;sourceID=14","0.0202")</f>
        <v>0.0202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HYPERLINK("http://141.218.60.56/~jnz1568/getInfo.php?workbook=14_04.xlsx&amp;sheet=U0&amp;row=2760&amp;col=6&amp;number=4.6&amp;sourceID=14","4.6")</f>
        <v>4.6</v>
      </c>
      <c r="G2760" s="4" t="str">
        <f>HYPERLINK("http://141.218.60.56/~jnz1568/getInfo.php?workbook=14_04.xlsx&amp;sheet=U0&amp;row=2760&amp;col=7&amp;number=0.0202&amp;sourceID=14","0.0202")</f>
        <v>0.0202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HYPERLINK("http://141.218.60.56/~jnz1568/getInfo.php?workbook=14_04.xlsx&amp;sheet=U0&amp;row=2761&amp;col=6&amp;number=4.7&amp;sourceID=14","4.7")</f>
        <v>4.7</v>
      </c>
      <c r="G2761" s="4" t="str">
        <f>HYPERLINK("http://141.218.60.56/~jnz1568/getInfo.php?workbook=14_04.xlsx&amp;sheet=U0&amp;row=2761&amp;col=7&amp;number=0.0202&amp;sourceID=14","0.0202")</f>
        <v>0.0202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HYPERLINK("http://141.218.60.56/~jnz1568/getInfo.php?workbook=14_04.xlsx&amp;sheet=U0&amp;row=2762&amp;col=6&amp;number=4.8&amp;sourceID=14","4.8")</f>
        <v>4.8</v>
      </c>
      <c r="G2762" s="4" t="str">
        <f>HYPERLINK("http://141.218.60.56/~jnz1568/getInfo.php?workbook=14_04.xlsx&amp;sheet=U0&amp;row=2762&amp;col=7&amp;number=0.0202&amp;sourceID=14","0.0202")</f>
        <v>0.0202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HYPERLINK("http://141.218.60.56/~jnz1568/getInfo.php?workbook=14_04.xlsx&amp;sheet=U0&amp;row=2763&amp;col=6&amp;number=4.9&amp;sourceID=14","4.9")</f>
        <v>4.9</v>
      </c>
      <c r="G2763" s="4" t="str">
        <f>HYPERLINK("http://141.218.60.56/~jnz1568/getInfo.php?workbook=14_04.xlsx&amp;sheet=U0&amp;row=2763&amp;col=7&amp;number=0.0203&amp;sourceID=14","0.0203")</f>
        <v>0.0203</v>
      </c>
    </row>
    <row r="2764" spans="1:7">
      <c r="A2764" s="3">
        <v>14</v>
      </c>
      <c r="B2764" s="3">
        <v>4</v>
      </c>
      <c r="C2764" s="3">
        <v>2</v>
      </c>
      <c r="D2764" s="3">
        <v>22</v>
      </c>
      <c r="E2764" s="3">
        <v>1</v>
      </c>
      <c r="F2764" s="4" t="str">
        <f>HYPERLINK("http://141.218.60.56/~jnz1568/getInfo.php?workbook=14_04.xlsx&amp;sheet=U0&amp;row=2764&amp;col=6&amp;number=3&amp;sourceID=14","3")</f>
        <v>3</v>
      </c>
      <c r="G2764" s="4" t="str">
        <f>HYPERLINK("http://141.218.60.56/~jnz1568/getInfo.php?workbook=14_04.xlsx&amp;sheet=U0&amp;row=2764&amp;col=7&amp;number=0.00114&amp;sourceID=14","0.00114")</f>
        <v>0.00114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HYPERLINK("http://141.218.60.56/~jnz1568/getInfo.php?workbook=14_04.xlsx&amp;sheet=U0&amp;row=2765&amp;col=6&amp;number=3.1&amp;sourceID=14","3.1")</f>
        <v>3.1</v>
      </c>
      <c r="G2765" s="4" t="str">
        <f>HYPERLINK("http://141.218.60.56/~jnz1568/getInfo.php?workbook=14_04.xlsx&amp;sheet=U0&amp;row=2765&amp;col=7&amp;number=0.00114&amp;sourceID=14","0.00114")</f>
        <v>0.00114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HYPERLINK("http://141.218.60.56/~jnz1568/getInfo.php?workbook=14_04.xlsx&amp;sheet=U0&amp;row=2766&amp;col=6&amp;number=3.2&amp;sourceID=14","3.2")</f>
        <v>3.2</v>
      </c>
      <c r="G2766" s="4" t="str">
        <f>HYPERLINK("http://141.218.60.56/~jnz1568/getInfo.php?workbook=14_04.xlsx&amp;sheet=U0&amp;row=2766&amp;col=7&amp;number=0.00114&amp;sourceID=14","0.00114")</f>
        <v>0.00114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HYPERLINK("http://141.218.60.56/~jnz1568/getInfo.php?workbook=14_04.xlsx&amp;sheet=U0&amp;row=2767&amp;col=6&amp;number=3.3&amp;sourceID=14","3.3")</f>
        <v>3.3</v>
      </c>
      <c r="G2767" s="4" t="str">
        <f>HYPERLINK("http://141.218.60.56/~jnz1568/getInfo.php?workbook=14_04.xlsx&amp;sheet=U0&amp;row=2767&amp;col=7&amp;number=0.00114&amp;sourceID=14","0.00114")</f>
        <v>0.00114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HYPERLINK("http://141.218.60.56/~jnz1568/getInfo.php?workbook=14_04.xlsx&amp;sheet=U0&amp;row=2768&amp;col=6&amp;number=3.4&amp;sourceID=14","3.4")</f>
        <v>3.4</v>
      </c>
      <c r="G2768" s="4" t="str">
        <f>HYPERLINK("http://141.218.60.56/~jnz1568/getInfo.php?workbook=14_04.xlsx&amp;sheet=U0&amp;row=2768&amp;col=7&amp;number=0.00114&amp;sourceID=14","0.00114")</f>
        <v>0.00114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HYPERLINK("http://141.218.60.56/~jnz1568/getInfo.php?workbook=14_04.xlsx&amp;sheet=U0&amp;row=2769&amp;col=6&amp;number=3.5&amp;sourceID=14","3.5")</f>
        <v>3.5</v>
      </c>
      <c r="G2769" s="4" t="str">
        <f>HYPERLINK("http://141.218.60.56/~jnz1568/getInfo.php?workbook=14_04.xlsx&amp;sheet=U0&amp;row=2769&amp;col=7&amp;number=0.00114&amp;sourceID=14","0.00114")</f>
        <v>0.00114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HYPERLINK("http://141.218.60.56/~jnz1568/getInfo.php?workbook=14_04.xlsx&amp;sheet=U0&amp;row=2770&amp;col=6&amp;number=3.6&amp;sourceID=14","3.6")</f>
        <v>3.6</v>
      </c>
      <c r="G2770" s="4" t="str">
        <f>HYPERLINK("http://141.218.60.56/~jnz1568/getInfo.php?workbook=14_04.xlsx&amp;sheet=U0&amp;row=2770&amp;col=7&amp;number=0.00114&amp;sourceID=14","0.00114")</f>
        <v>0.00114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HYPERLINK("http://141.218.60.56/~jnz1568/getInfo.php?workbook=14_04.xlsx&amp;sheet=U0&amp;row=2771&amp;col=6&amp;number=3.7&amp;sourceID=14","3.7")</f>
        <v>3.7</v>
      </c>
      <c r="G2771" s="4" t="str">
        <f>HYPERLINK("http://141.218.60.56/~jnz1568/getInfo.php?workbook=14_04.xlsx&amp;sheet=U0&amp;row=2771&amp;col=7&amp;number=0.00114&amp;sourceID=14","0.00114")</f>
        <v>0.00114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HYPERLINK("http://141.218.60.56/~jnz1568/getInfo.php?workbook=14_04.xlsx&amp;sheet=U0&amp;row=2772&amp;col=6&amp;number=3.8&amp;sourceID=14","3.8")</f>
        <v>3.8</v>
      </c>
      <c r="G2772" s="4" t="str">
        <f>HYPERLINK("http://141.218.60.56/~jnz1568/getInfo.php?workbook=14_04.xlsx&amp;sheet=U0&amp;row=2772&amp;col=7&amp;number=0.00114&amp;sourceID=14","0.00114")</f>
        <v>0.00114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HYPERLINK("http://141.218.60.56/~jnz1568/getInfo.php?workbook=14_04.xlsx&amp;sheet=U0&amp;row=2773&amp;col=6&amp;number=3.9&amp;sourceID=14","3.9")</f>
        <v>3.9</v>
      </c>
      <c r="G2773" s="4" t="str">
        <f>HYPERLINK("http://141.218.60.56/~jnz1568/getInfo.php?workbook=14_04.xlsx&amp;sheet=U0&amp;row=2773&amp;col=7&amp;number=0.00114&amp;sourceID=14","0.00114")</f>
        <v>0.00114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HYPERLINK("http://141.218.60.56/~jnz1568/getInfo.php?workbook=14_04.xlsx&amp;sheet=U0&amp;row=2774&amp;col=6&amp;number=4&amp;sourceID=14","4")</f>
        <v>4</v>
      </c>
      <c r="G2774" s="4" t="str">
        <f>HYPERLINK("http://141.218.60.56/~jnz1568/getInfo.php?workbook=14_04.xlsx&amp;sheet=U0&amp;row=2774&amp;col=7&amp;number=0.00114&amp;sourceID=14","0.00114")</f>
        <v>0.00114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HYPERLINK("http://141.218.60.56/~jnz1568/getInfo.php?workbook=14_04.xlsx&amp;sheet=U0&amp;row=2775&amp;col=6&amp;number=4.1&amp;sourceID=14","4.1")</f>
        <v>4.1</v>
      </c>
      <c r="G2775" s="4" t="str">
        <f>HYPERLINK("http://141.218.60.56/~jnz1568/getInfo.php?workbook=14_04.xlsx&amp;sheet=U0&amp;row=2775&amp;col=7&amp;number=0.00114&amp;sourceID=14","0.00114")</f>
        <v>0.00114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HYPERLINK("http://141.218.60.56/~jnz1568/getInfo.php?workbook=14_04.xlsx&amp;sheet=U0&amp;row=2776&amp;col=6&amp;number=4.2&amp;sourceID=14","4.2")</f>
        <v>4.2</v>
      </c>
      <c r="G2776" s="4" t="str">
        <f>HYPERLINK("http://141.218.60.56/~jnz1568/getInfo.php?workbook=14_04.xlsx&amp;sheet=U0&amp;row=2776&amp;col=7&amp;number=0.00114&amp;sourceID=14","0.00114")</f>
        <v>0.00114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HYPERLINK("http://141.218.60.56/~jnz1568/getInfo.php?workbook=14_04.xlsx&amp;sheet=U0&amp;row=2777&amp;col=6&amp;number=4.3&amp;sourceID=14","4.3")</f>
        <v>4.3</v>
      </c>
      <c r="G2777" s="4" t="str">
        <f>HYPERLINK("http://141.218.60.56/~jnz1568/getInfo.php?workbook=14_04.xlsx&amp;sheet=U0&amp;row=2777&amp;col=7&amp;number=0.00114&amp;sourceID=14","0.00114")</f>
        <v>0.00114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HYPERLINK("http://141.218.60.56/~jnz1568/getInfo.php?workbook=14_04.xlsx&amp;sheet=U0&amp;row=2778&amp;col=6&amp;number=4.4&amp;sourceID=14","4.4")</f>
        <v>4.4</v>
      </c>
      <c r="G2778" s="4" t="str">
        <f>HYPERLINK("http://141.218.60.56/~jnz1568/getInfo.php?workbook=14_04.xlsx&amp;sheet=U0&amp;row=2778&amp;col=7&amp;number=0.00114&amp;sourceID=14","0.00114")</f>
        <v>0.00114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HYPERLINK("http://141.218.60.56/~jnz1568/getInfo.php?workbook=14_04.xlsx&amp;sheet=U0&amp;row=2779&amp;col=6&amp;number=4.5&amp;sourceID=14","4.5")</f>
        <v>4.5</v>
      </c>
      <c r="G2779" s="4" t="str">
        <f>HYPERLINK("http://141.218.60.56/~jnz1568/getInfo.php?workbook=14_04.xlsx&amp;sheet=U0&amp;row=2779&amp;col=7&amp;number=0.00114&amp;sourceID=14","0.00114")</f>
        <v>0.00114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HYPERLINK("http://141.218.60.56/~jnz1568/getInfo.php?workbook=14_04.xlsx&amp;sheet=U0&amp;row=2780&amp;col=6&amp;number=4.6&amp;sourceID=14","4.6")</f>
        <v>4.6</v>
      </c>
      <c r="G2780" s="4" t="str">
        <f>HYPERLINK("http://141.218.60.56/~jnz1568/getInfo.php?workbook=14_04.xlsx&amp;sheet=U0&amp;row=2780&amp;col=7&amp;number=0.00114&amp;sourceID=14","0.00114")</f>
        <v>0.00114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HYPERLINK("http://141.218.60.56/~jnz1568/getInfo.php?workbook=14_04.xlsx&amp;sheet=U0&amp;row=2781&amp;col=6&amp;number=4.7&amp;sourceID=14","4.7")</f>
        <v>4.7</v>
      </c>
      <c r="G2781" s="4" t="str">
        <f>HYPERLINK("http://141.218.60.56/~jnz1568/getInfo.php?workbook=14_04.xlsx&amp;sheet=U0&amp;row=2781&amp;col=7&amp;number=0.00114&amp;sourceID=14","0.00114")</f>
        <v>0.00114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HYPERLINK("http://141.218.60.56/~jnz1568/getInfo.php?workbook=14_04.xlsx&amp;sheet=U0&amp;row=2782&amp;col=6&amp;number=4.8&amp;sourceID=14","4.8")</f>
        <v>4.8</v>
      </c>
      <c r="G2782" s="4" t="str">
        <f>HYPERLINK("http://141.218.60.56/~jnz1568/getInfo.php?workbook=14_04.xlsx&amp;sheet=U0&amp;row=2782&amp;col=7&amp;number=0.00113&amp;sourceID=14","0.00113")</f>
        <v>0.00113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HYPERLINK("http://141.218.60.56/~jnz1568/getInfo.php?workbook=14_04.xlsx&amp;sheet=U0&amp;row=2783&amp;col=6&amp;number=4.9&amp;sourceID=14","4.9")</f>
        <v>4.9</v>
      </c>
      <c r="G2783" s="4" t="str">
        <f>HYPERLINK("http://141.218.60.56/~jnz1568/getInfo.php?workbook=14_04.xlsx&amp;sheet=U0&amp;row=2783&amp;col=7&amp;number=0.00113&amp;sourceID=14","0.00113")</f>
        <v>0.00113</v>
      </c>
    </row>
    <row r="2784" spans="1:7">
      <c r="A2784" s="3">
        <v>14</v>
      </c>
      <c r="B2784" s="3">
        <v>4</v>
      </c>
      <c r="C2784" s="3">
        <v>2</v>
      </c>
      <c r="D2784" s="3">
        <v>23</v>
      </c>
      <c r="E2784" s="3">
        <v>1</v>
      </c>
      <c r="F2784" s="4" t="str">
        <f>HYPERLINK("http://141.218.60.56/~jnz1568/getInfo.php?workbook=14_04.xlsx&amp;sheet=U0&amp;row=2784&amp;col=6&amp;number=3&amp;sourceID=14","3")</f>
        <v>3</v>
      </c>
      <c r="G2784" s="4" t="str">
        <f>HYPERLINK("http://141.218.60.56/~jnz1568/getInfo.php?workbook=14_04.xlsx&amp;sheet=U0&amp;row=2784&amp;col=7&amp;number=0.000158&amp;sourceID=14","0.000158")</f>
        <v>0.000158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HYPERLINK("http://141.218.60.56/~jnz1568/getInfo.php?workbook=14_04.xlsx&amp;sheet=U0&amp;row=2785&amp;col=6&amp;number=3.1&amp;sourceID=14","3.1")</f>
        <v>3.1</v>
      </c>
      <c r="G2785" s="4" t="str">
        <f>HYPERLINK("http://141.218.60.56/~jnz1568/getInfo.php?workbook=14_04.xlsx&amp;sheet=U0&amp;row=2785&amp;col=7&amp;number=0.000158&amp;sourceID=14","0.000158")</f>
        <v>0.000158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HYPERLINK("http://141.218.60.56/~jnz1568/getInfo.php?workbook=14_04.xlsx&amp;sheet=U0&amp;row=2786&amp;col=6&amp;number=3.2&amp;sourceID=14","3.2")</f>
        <v>3.2</v>
      </c>
      <c r="G2786" s="4" t="str">
        <f>HYPERLINK("http://141.218.60.56/~jnz1568/getInfo.php?workbook=14_04.xlsx&amp;sheet=U0&amp;row=2786&amp;col=7&amp;number=0.000158&amp;sourceID=14","0.000158")</f>
        <v>0.000158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HYPERLINK("http://141.218.60.56/~jnz1568/getInfo.php?workbook=14_04.xlsx&amp;sheet=U0&amp;row=2787&amp;col=6&amp;number=3.3&amp;sourceID=14","3.3")</f>
        <v>3.3</v>
      </c>
      <c r="G2787" s="4" t="str">
        <f>HYPERLINK("http://141.218.60.56/~jnz1568/getInfo.php?workbook=14_04.xlsx&amp;sheet=U0&amp;row=2787&amp;col=7&amp;number=0.000158&amp;sourceID=14","0.000158")</f>
        <v>0.000158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HYPERLINK("http://141.218.60.56/~jnz1568/getInfo.php?workbook=14_04.xlsx&amp;sheet=U0&amp;row=2788&amp;col=6&amp;number=3.4&amp;sourceID=14","3.4")</f>
        <v>3.4</v>
      </c>
      <c r="G2788" s="4" t="str">
        <f>HYPERLINK("http://141.218.60.56/~jnz1568/getInfo.php?workbook=14_04.xlsx&amp;sheet=U0&amp;row=2788&amp;col=7&amp;number=0.000158&amp;sourceID=14","0.000158")</f>
        <v>0.000158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HYPERLINK("http://141.218.60.56/~jnz1568/getInfo.php?workbook=14_04.xlsx&amp;sheet=U0&amp;row=2789&amp;col=6&amp;number=3.5&amp;sourceID=14","3.5")</f>
        <v>3.5</v>
      </c>
      <c r="G2789" s="4" t="str">
        <f>HYPERLINK("http://141.218.60.56/~jnz1568/getInfo.php?workbook=14_04.xlsx&amp;sheet=U0&amp;row=2789&amp;col=7&amp;number=0.000158&amp;sourceID=14","0.000158")</f>
        <v>0.000158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HYPERLINK("http://141.218.60.56/~jnz1568/getInfo.php?workbook=14_04.xlsx&amp;sheet=U0&amp;row=2790&amp;col=6&amp;number=3.6&amp;sourceID=14","3.6")</f>
        <v>3.6</v>
      </c>
      <c r="G2790" s="4" t="str">
        <f>HYPERLINK("http://141.218.60.56/~jnz1568/getInfo.php?workbook=14_04.xlsx&amp;sheet=U0&amp;row=2790&amp;col=7&amp;number=0.000158&amp;sourceID=14","0.000158")</f>
        <v>0.000158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HYPERLINK("http://141.218.60.56/~jnz1568/getInfo.php?workbook=14_04.xlsx&amp;sheet=U0&amp;row=2791&amp;col=6&amp;number=3.7&amp;sourceID=14","3.7")</f>
        <v>3.7</v>
      </c>
      <c r="G2791" s="4" t="str">
        <f>HYPERLINK("http://141.218.60.56/~jnz1568/getInfo.php?workbook=14_04.xlsx&amp;sheet=U0&amp;row=2791&amp;col=7&amp;number=0.000158&amp;sourceID=14","0.000158")</f>
        <v>0.000158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HYPERLINK("http://141.218.60.56/~jnz1568/getInfo.php?workbook=14_04.xlsx&amp;sheet=U0&amp;row=2792&amp;col=6&amp;number=3.8&amp;sourceID=14","3.8")</f>
        <v>3.8</v>
      </c>
      <c r="G2792" s="4" t="str">
        <f>HYPERLINK("http://141.218.60.56/~jnz1568/getInfo.php?workbook=14_04.xlsx&amp;sheet=U0&amp;row=2792&amp;col=7&amp;number=0.000158&amp;sourceID=14","0.000158")</f>
        <v>0.000158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HYPERLINK("http://141.218.60.56/~jnz1568/getInfo.php?workbook=14_04.xlsx&amp;sheet=U0&amp;row=2793&amp;col=6&amp;number=3.9&amp;sourceID=14","3.9")</f>
        <v>3.9</v>
      </c>
      <c r="G2793" s="4" t="str">
        <f>HYPERLINK("http://141.218.60.56/~jnz1568/getInfo.php?workbook=14_04.xlsx&amp;sheet=U0&amp;row=2793&amp;col=7&amp;number=0.000158&amp;sourceID=14","0.000158")</f>
        <v>0.000158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HYPERLINK("http://141.218.60.56/~jnz1568/getInfo.php?workbook=14_04.xlsx&amp;sheet=U0&amp;row=2794&amp;col=6&amp;number=4&amp;sourceID=14","4")</f>
        <v>4</v>
      </c>
      <c r="G2794" s="4" t="str">
        <f>HYPERLINK("http://141.218.60.56/~jnz1568/getInfo.php?workbook=14_04.xlsx&amp;sheet=U0&amp;row=2794&amp;col=7&amp;number=0.000158&amp;sourceID=14","0.000158")</f>
        <v>0.000158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HYPERLINK("http://141.218.60.56/~jnz1568/getInfo.php?workbook=14_04.xlsx&amp;sheet=U0&amp;row=2795&amp;col=6&amp;number=4.1&amp;sourceID=14","4.1")</f>
        <v>4.1</v>
      </c>
      <c r="G2795" s="4" t="str">
        <f>HYPERLINK("http://141.218.60.56/~jnz1568/getInfo.php?workbook=14_04.xlsx&amp;sheet=U0&amp;row=2795&amp;col=7&amp;number=0.000158&amp;sourceID=14","0.000158")</f>
        <v>0.000158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HYPERLINK("http://141.218.60.56/~jnz1568/getInfo.php?workbook=14_04.xlsx&amp;sheet=U0&amp;row=2796&amp;col=6&amp;number=4.2&amp;sourceID=14","4.2")</f>
        <v>4.2</v>
      </c>
      <c r="G2796" s="4" t="str">
        <f>HYPERLINK("http://141.218.60.56/~jnz1568/getInfo.php?workbook=14_04.xlsx&amp;sheet=U0&amp;row=2796&amp;col=7&amp;number=0.000158&amp;sourceID=14","0.000158")</f>
        <v>0.000158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HYPERLINK("http://141.218.60.56/~jnz1568/getInfo.php?workbook=14_04.xlsx&amp;sheet=U0&amp;row=2797&amp;col=6&amp;number=4.3&amp;sourceID=14","4.3")</f>
        <v>4.3</v>
      </c>
      <c r="G2797" s="4" t="str">
        <f>HYPERLINK("http://141.218.60.56/~jnz1568/getInfo.php?workbook=14_04.xlsx&amp;sheet=U0&amp;row=2797&amp;col=7&amp;number=0.000158&amp;sourceID=14","0.000158")</f>
        <v>0.000158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HYPERLINK("http://141.218.60.56/~jnz1568/getInfo.php?workbook=14_04.xlsx&amp;sheet=U0&amp;row=2798&amp;col=6&amp;number=4.4&amp;sourceID=14","4.4")</f>
        <v>4.4</v>
      </c>
      <c r="G2798" s="4" t="str">
        <f>HYPERLINK("http://141.218.60.56/~jnz1568/getInfo.php?workbook=14_04.xlsx&amp;sheet=U0&amp;row=2798&amp;col=7&amp;number=0.000158&amp;sourceID=14","0.000158")</f>
        <v>0.000158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HYPERLINK("http://141.218.60.56/~jnz1568/getInfo.php?workbook=14_04.xlsx&amp;sheet=U0&amp;row=2799&amp;col=6&amp;number=4.5&amp;sourceID=14","4.5")</f>
        <v>4.5</v>
      </c>
      <c r="G2799" s="4" t="str">
        <f>HYPERLINK("http://141.218.60.56/~jnz1568/getInfo.php?workbook=14_04.xlsx&amp;sheet=U0&amp;row=2799&amp;col=7&amp;number=0.000158&amp;sourceID=14","0.000158")</f>
        <v>0.000158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HYPERLINK("http://141.218.60.56/~jnz1568/getInfo.php?workbook=14_04.xlsx&amp;sheet=U0&amp;row=2800&amp;col=6&amp;number=4.6&amp;sourceID=14","4.6")</f>
        <v>4.6</v>
      </c>
      <c r="G2800" s="4" t="str">
        <f>HYPERLINK("http://141.218.60.56/~jnz1568/getInfo.php?workbook=14_04.xlsx&amp;sheet=U0&amp;row=2800&amp;col=7&amp;number=0.000158&amp;sourceID=14","0.000158")</f>
        <v>0.000158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HYPERLINK("http://141.218.60.56/~jnz1568/getInfo.php?workbook=14_04.xlsx&amp;sheet=U0&amp;row=2801&amp;col=6&amp;number=4.7&amp;sourceID=14","4.7")</f>
        <v>4.7</v>
      </c>
      <c r="G2801" s="4" t="str">
        <f>HYPERLINK("http://141.218.60.56/~jnz1568/getInfo.php?workbook=14_04.xlsx&amp;sheet=U0&amp;row=2801&amp;col=7&amp;number=0.000158&amp;sourceID=14","0.000158")</f>
        <v>0.000158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HYPERLINK("http://141.218.60.56/~jnz1568/getInfo.php?workbook=14_04.xlsx&amp;sheet=U0&amp;row=2802&amp;col=6&amp;number=4.8&amp;sourceID=14","4.8")</f>
        <v>4.8</v>
      </c>
      <c r="G2802" s="4" t="str">
        <f>HYPERLINK("http://141.218.60.56/~jnz1568/getInfo.php?workbook=14_04.xlsx&amp;sheet=U0&amp;row=2802&amp;col=7&amp;number=0.000159&amp;sourceID=14","0.000159")</f>
        <v>0.000159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HYPERLINK("http://141.218.60.56/~jnz1568/getInfo.php?workbook=14_04.xlsx&amp;sheet=U0&amp;row=2803&amp;col=6&amp;number=4.9&amp;sourceID=14","4.9")</f>
        <v>4.9</v>
      </c>
      <c r="G2803" s="4" t="str">
        <f>HYPERLINK("http://141.218.60.56/~jnz1568/getInfo.php?workbook=14_04.xlsx&amp;sheet=U0&amp;row=2803&amp;col=7&amp;number=0.000159&amp;sourceID=14","0.000159")</f>
        <v>0.000159</v>
      </c>
    </row>
    <row r="2804" spans="1:7">
      <c r="A2804" s="3">
        <v>14</v>
      </c>
      <c r="B2804" s="3">
        <v>4</v>
      </c>
      <c r="C2804" s="3">
        <v>2</v>
      </c>
      <c r="D2804" s="3">
        <v>24</v>
      </c>
      <c r="E2804" s="3">
        <v>1</v>
      </c>
      <c r="F2804" s="4" t="str">
        <f>HYPERLINK("http://141.218.60.56/~jnz1568/getInfo.php?workbook=14_04.xlsx&amp;sheet=U0&amp;row=2804&amp;col=6&amp;number=3&amp;sourceID=14","3")</f>
        <v>3</v>
      </c>
      <c r="G2804" s="4" t="str">
        <f>HYPERLINK("http://141.218.60.56/~jnz1568/getInfo.php?workbook=14_04.xlsx&amp;sheet=U0&amp;row=2804&amp;col=7&amp;number=0.000783&amp;sourceID=14","0.000783")</f>
        <v>0.000783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HYPERLINK("http://141.218.60.56/~jnz1568/getInfo.php?workbook=14_04.xlsx&amp;sheet=U0&amp;row=2805&amp;col=6&amp;number=3.1&amp;sourceID=14","3.1")</f>
        <v>3.1</v>
      </c>
      <c r="G2805" s="4" t="str">
        <f>HYPERLINK("http://141.218.60.56/~jnz1568/getInfo.php?workbook=14_04.xlsx&amp;sheet=U0&amp;row=2805&amp;col=7&amp;number=0.000783&amp;sourceID=14","0.000783")</f>
        <v>0.000783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HYPERLINK("http://141.218.60.56/~jnz1568/getInfo.php?workbook=14_04.xlsx&amp;sheet=U0&amp;row=2806&amp;col=6&amp;number=3.2&amp;sourceID=14","3.2")</f>
        <v>3.2</v>
      </c>
      <c r="G2806" s="4" t="str">
        <f>HYPERLINK("http://141.218.60.56/~jnz1568/getInfo.php?workbook=14_04.xlsx&amp;sheet=U0&amp;row=2806&amp;col=7&amp;number=0.000783&amp;sourceID=14","0.000783")</f>
        <v>0.000783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HYPERLINK("http://141.218.60.56/~jnz1568/getInfo.php?workbook=14_04.xlsx&amp;sheet=U0&amp;row=2807&amp;col=6&amp;number=3.3&amp;sourceID=14","3.3")</f>
        <v>3.3</v>
      </c>
      <c r="G2807" s="4" t="str">
        <f>HYPERLINK("http://141.218.60.56/~jnz1568/getInfo.php?workbook=14_04.xlsx&amp;sheet=U0&amp;row=2807&amp;col=7&amp;number=0.000783&amp;sourceID=14","0.000783")</f>
        <v>0.000783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HYPERLINK("http://141.218.60.56/~jnz1568/getInfo.php?workbook=14_04.xlsx&amp;sheet=U0&amp;row=2808&amp;col=6&amp;number=3.4&amp;sourceID=14","3.4")</f>
        <v>3.4</v>
      </c>
      <c r="G2808" s="4" t="str">
        <f>HYPERLINK("http://141.218.60.56/~jnz1568/getInfo.php?workbook=14_04.xlsx&amp;sheet=U0&amp;row=2808&amp;col=7&amp;number=0.000783&amp;sourceID=14","0.000783")</f>
        <v>0.000783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HYPERLINK("http://141.218.60.56/~jnz1568/getInfo.php?workbook=14_04.xlsx&amp;sheet=U0&amp;row=2809&amp;col=6&amp;number=3.5&amp;sourceID=14","3.5")</f>
        <v>3.5</v>
      </c>
      <c r="G2809" s="4" t="str">
        <f>HYPERLINK("http://141.218.60.56/~jnz1568/getInfo.php?workbook=14_04.xlsx&amp;sheet=U0&amp;row=2809&amp;col=7&amp;number=0.000782&amp;sourceID=14","0.000782")</f>
        <v>0.000782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HYPERLINK("http://141.218.60.56/~jnz1568/getInfo.php?workbook=14_04.xlsx&amp;sheet=U0&amp;row=2810&amp;col=6&amp;number=3.6&amp;sourceID=14","3.6")</f>
        <v>3.6</v>
      </c>
      <c r="G2810" s="4" t="str">
        <f>HYPERLINK("http://141.218.60.56/~jnz1568/getInfo.php?workbook=14_04.xlsx&amp;sheet=U0&amp;row=2810&amp;col=7&amp;number=0.000782&amp;sourceID=14","0.000782")</f>
        <v>0.000782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HYPERLINK("http://141.218.60.56/~jnz1568/getInfo.php?workbook=14_04.xlsx&amp;sheet=U0&amp;row=2811&amp;col=6&amp;number=3.7&amp;sourceID=14","3.7")</f>
        <v>3.7</v>
      </c>
      <c r="G2811" s="4" t="str">
        <f>HYPERLINK("http://141.218.60.56/~jnz1568/getInfo.php?workbook=14_04.xlsx&amp;sheet=U0&amp;row=2811&amp;col=7&amp;number=0.000782&amp;sourceID=14","0.000782")</f>
        <v>0.000782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HYPERLINK("http://141.218.60.56/~jnz1568/getInfo.php?workbook=14_04.xlsx&amp;sheet=U0&amp;row=2812&amp;col=6&amp;number=3.8&amp;sourceID=14","3.8")</f>
        <v>3.8</v>
      </c>
      <c r="G2812" s="4" t="str">
        <f>HYPERLINK("http://141.218.60.56/~jnz1568/getInfo.php?workbook=14_04.xlsx&amp;sheet=U0&amp;row=2812&amp;col=7&amp;number=0.000781&amp;sourceID=14","0.000781")</f>
        <v>0.000781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HYPERLINK("http://141.218.60.56/~jnz1568/getInfo.php?workbook=14_04.xlsx&amp;sheet=U0&amp;row=2813&amp;col=6&amp;number=3.9&amp;sourceID=14","3.9")</f>
        <v>3.9</v>
      </c>
      <c r="G2813" s="4" t="str">
        <f>HYPERLINK("http://141.218.60.56/~jnz1568/getInfo.php?workbook=14_04.xlsx&amp;sheet=U0&amp;row=2813&amp;col=7&amp;number=0.000781&amp;sourceID=14","0.000781")</f>
        <v>0.000781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HYPERLINK("http://141.218.60.56/~jnz1568/getInfo.php?workbook=14_04.xlsx&amp;sheet=U0&amp;row=2814&amp;col=6&amp;number=4&amp;sourceID=14","4")</f>
        <v>4</v>
      </c>
      <c r="G2814" s="4" t="str">
        <f>HYPERLINK("http://141.218.60.56/~jnz1568/getInfo.php?workbook=14_04.xlsx&amp;sheet=U0&amp;row=2814&amp;col=7&amp;number=0.00078&amp;sourceID=14","0.00078")</f>
        <v>0.00078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HYPERLINK("http://141.218.60.56/~jnz1568/getInfo.php?workbook=14_04.xlsx&amp;sheet=U0&amp;row=2815&amp;col=6&amp;number=4.1&amp;sourceID=14","4.1")</f>
        <v>4.1</v>
      </c>
      <c r="G2815" s="4" t="str">
        <f>HYPERLINK("http://141.218.60.56/~jnz1568/getInfo.php?workbook=14_04.xlsx&amp;sheet=U0&amp;row=2815&amp;col=7&amp;number=0.000779&amp;sourceID=14","0.000779")</f>
        <v>0.000779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HYPERLINK("http://141.218.60.56/~jnz1568/getInfo.php?workbook=14_04.xlsx&amp;sheet=U0&amp;row=2816&amp;col=6&amp;number=4.2&amp;sourceID=14","4.2")</f>
        <v>4.2</v>
      </c>
      <c r="G2816" s="4" t="str">
        <f>HYPERLINK("http://141.218.60.56/~jnz1568/getInfo.php?workbook=14_04.xlsx&amp;sheet=U0&amp;row=2816&amp;col=7&amp;number=0.000778&amp;sourceID=14","0.000778")</f>
        <v>0.000778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HYPERLINK("http://141.218.60.56/~jnz1568/getInfo.php?workbook=14_04.xlsx&amp;sheet=U0&amp;row=2817&amp;col=6&amp;number=4.3&amp;sourceID=14","4.3")</f>
        <v>4.3</v>
      </c>
      <c r="G2817" s="4" t="str">
        <f>HYPERLINK("http://141.218.60.56/~jnz1568/getInfo.php?workbook=14_04.xlsx&amp;sheet=U0&amp;row=2817&amp;col=7&amp;number=0.000777&amp;sourceID=14","0.000777")</f>
        <v>0.000777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HYPERLINK("http://141.218.60.56/~jnz1568/getInfo.php?workbook=14_04.xlsx&amp;sheet=U0&amp;row=2818&amp;col=6&amp;number=4.4&amp;sourceID=14","4.4")</f>
        <v>4.4</v>
      </c>
      <c r="G2818" s="4" t="str">
        <f>HYPERLINK("http://141.218.60.56/~jnz1568/getInfo.php?workbook=14_04.xlsx&amp;sheet=U0&amp;row=2818&amp;col=7&amp;number=0.000775&amp;sourceID=14","0.000775")</f>
        <v>0.000775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HYPERLINK("http://141.218.60.56/~jnz1568/getInfo.php?workbook=14_04.xlsx&amp;sheet=U0&amp;row=2819&amp;col=6&amp;number=4.5&amp;sourceID=14","4.5")</f>
        <v>4.5</v>
      </c>
      <c r="G2819" s="4" t="str">
        <f>HYPERLINK("http://141.218.60.56/~jnz1568/getInfo.php?workbook=14_04.xlsx&amp;sheet=U0&amp;row=2819&amp;col=7&amp;number=0.000773&amp;sourceID=14","0.000773")</f>
        <v>0.000773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HYPERLINK("http://141.218.60.56/~jnz1568/getInfo.php?workbook=14_04.xlsx&amp;sheet=U0&amp;row=2820&amp;col=6&amp;number=4.6&amp;sourceID=14","4.6")</f>
        <v>4.6</v>
      </c>
      <c r="G2820" s="4" t="str">
        <f>HYPERLINK("http://141.218.60.56/~jnz1568/getInfo.php?workbook=14_04.xlsx&amp;sheet=U0&amp;row=2820&amp;col=7&amp;number=0.000771&amp;sourceID=14","0.000771")</f>
        <v>0.000771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HYPERLINK("http://141.218.60.56/~jnz1568/getInfo.php?workbook=14_04.xlsx&amp;sheet=U0&amp;row=2821&amp;col=6&amp;number=4.7&amp;sourceID=14","4.7")</f>
        <v>4.7</v>
      </c>
      <c r="G2821" s="4" t="str">
        <f>HYPERLINK("http://141.218.60.56/~jnz1568/getInfo.php?workbook=14_04.xlsx&amp;sheet=U0&amp;row=2821&amp;col=7&amp;number=0.000767&amp;sourceID=14","0.000767")</f>
        <v>0.000767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HYPERLINK("http://141.218.60.56/~jnz1568/getInfo.php?workbook=14_04.xlsx&amp;sheet=U0&amp;row=2822&amp;col=6&amp;number=4.8&amp;sourceID=14","4.8")</f>
        <v>4.8</v>
      </c>
      <c r="G2822" s="4" t="str">
        <f>HYPERLINK("http://141.218.60.56/~jnz1568/getInfo.php?workbook=14_04.xlsx&amp;sheet=U0&amp;row=2822&amp;col=7&amp;number=0.000763&amp;sourceID=14","0.000763")</f>
        <v>0.000763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HYPERLINK("http://141.218.60.56/~jnz1568/getInfo.php?workbook=14_04.xlsx&amp;sheet=U0&amp;row=2823&amp;col=6&amp;number=4.9&amp;sourceID=14","4.9")</f>
        <v>4.9</v>
      </c>
      <c r="G2823" s="4" t="str">
        <f>HYPERLINK("http://141.218.60.56/~jnz1568/getInfo.php?workbook=14_04.xlsx&amp;sheet=U0&amp;row=2823&amp;col=7&amp;number=0.000758&amp;sourceID=14","0.000758")</f>
        <v>0.000758</v>
      </c>
    </row>
    <row r="2824" spans="1:7">
      <c r="A2824" s="3">
        <v>14</v>
      </c>
      <c r="B2824" s="3">
        <v>4</v>
      </c>
      <c r="C2824" s="3">
        <v>2</v>
      </c>
      <c r="D2824" s="3">
        <v>25</v>
      </c>
      <c r="E2824" s="3">
        <v>1</v>
      </c>
      <c r="F2824" s="4" t="str">
        <f>HYPERLINK("http://141.218.60.56/~jnz1568/getInfo.php?workbook=14_04.xlsx&amp;sheet=U0&amp;row=2824&amp;col=6&amp;number=3&amp;sourceID=14","3")</f>
        <v>3</v>
      </c>
      <c r="G2824" s="4" t="str">
        <f>HYPERLINK("http://141.218.60.56/~jnz1568/getInfo.php?workbook=14_04.xlsx&amp;sheet=U0&amp;row=2824&amp;col=7&amp;number=0.000839&amp;sourceID=14","0.000839")</f>
        <v>0.000839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HYPERLINK("http://141.218.60.56/~jnz1568/getInfo.php?workbook=14_04.xlsx&amp;sheet=U0&amp;row=2825&amp;col=6&amp;number=3.1&amp;sourceID=14","3.1")</f>
        <v>3.1</v>
      </c>
      <c r="G2825" s="4" t="str">
        <f>HYPERLINK("http://141.218.60.56/~jnz1568/getInfo.php?workbook=14_04.xlsx&amp;sheet=U0&amp;row=2825&amp;col=7&amp;number=0.000839&amp;sourceID=14","0.000839")</f>
        <v>0.000839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HYPERLINK("http://141.218.60.56/~jnz1568/getInfo.php?workbook=14_04.xlsx&amp;sheet=U0&amp;row=2826&amp;col=6&amp;number=3.2&amp;sourceID=14","3.2")</f>
        <v>3.2</v>
      </c>
      <c r="G2826" s="4" t="str">
        <f>HYPERLINK("http://141.218.60.56/~jnz1568/getInfo.php?workbook=14_04.xlsx&amp;sheet=U0&amp;row=2826&amp;col=7&amp;number=0.000839&amp;sourceID=14","0.000839")</f>
        <v>0.000839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HYPERLINK("http://141.218.60.56/~jnz1568/getInfo.php?workbook=14_04.xlsx&amp;sheet=U0&amp;row=2827&amp;col=6&amp;number=3.3&amp;sourceID=14","3.3")</f>
        <v>3.3</v>
      </c>
      <c r="G2827" s="4" t="str">
        <f>HYPERLINK("http://141.218.60.56/~jnz1568/getInfo.php?workbook=14_04.xlsx&amp;sheet=U0&amp;row=2827&amp;col=7&amp;number=0.000839&amp;sourceID=14","0.000839")</f>
        <v>0.000839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HYPERLINK("http://141.218.60.56/~jnz1568/getInfo.php?workbook=14_04.xlsx&amp;sheet=U0&amp;row=2828&amp;col=6&amp;number=3.4&amp;sourceID=14","3.4")</f>
        <v>3.4</v>
      </c>
      <c r="G2828" s="4" t="str">
        <f>HYPERLINK("http://141.218.60.56/~jnz1568/getInfo.php?workbook=14_04.xlsx&amp;sheet=U0&amp;row=2828&amp;col=7&amp;number=0.000839&amp;sourceID=14","0.000839")</f>
        <v>0.000839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HYPERLINK("http://141.218.60.56/~jnz1568/getInfo.php?workbook=14_04.xlsx&amp;sheet=U0&amp;row=2829&amp;col=6&amp;number=3.5&amp;sourceID=14","3.5")</f>
        <v>3.5</v>
      </c>
      <c r="G2829" s="4" t="str">
        <f>HYPERLINK("http://141.218.60.56/~jnz1568/getInfo.php?workbook=14_04.xlsx&amp;sheet=U0&amp;row=2829&amp;col=7&amp;number=0.000839&amp;sourceID=14","0.000839")</f>
        <v>0.000839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HYPERLINK("http://141.218.60.56/~jnz1568/getInfo.php?workbook=14_04.xlsx&amp;sheet=U0&amp;row=2830&amp;col=6&amp;number=3.6&amp;sourceID=14","3.6")</f>
        <v>3.6</v>
      </c>
      <c r="G2830" s="4" t="str">
        <f>HYPERLINK("http://141.218.60.56/~jnz1568/getInfo.php?workbook=14_04.xlsx&amp;sheet=U0&amp;row=2830&amp;col=7&amp;number=0.000839&amp;sourceID=14","0.000839")</f>
        <v>0.000839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HYPERLINK("http://141.218.60.56/~jnz1568/getInfo.php?workbook=14_04.xlsx&amp;sheet=U0&amp;row=2831&amp;col=6&amp;number=3.7&amp;sourceID=14","3.7")</f>
        <v>3.7</v>
      </c>
      <c r="G2831" s="4" t="str">
        <f>HYPERLINK("http://141.218.60.56/~jnz1568/getInfo.php?workbook=14_04.xlsx&amp;sheet=U0&amp;row=2831&amp;col=7&amp;number=0.000839&amp;sourceID=14","0.000839")</f>
        <v>0.000839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HYPERLINK("http://141.218.60.56/~jnz1568/getInfo.php?workbook=14_04.xlsx&amp;sheet=U0&amp;row=2832&amp;col=6&amp;number=3.8&amp;sourceID=14","3.8")</f>
        <v>3.8</v>
      </c>
      <c r="G2832" s="4" t="str">
        <f>HYPERLINK("http://141.218.60.56/~jnz1568/getInfo.php?workbook=14_04.xlsx&amp;sheet=U0&amp;row=2832&amp;col=7&amp;number=0.000839&amp;sourceID=14","0.000839")</f>
        <v>0.000839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HYPERLINK("http://141.218.60.56/~jnz1568/getInfo.php?workbook=14_04.xlsx&amp;sheet=U0&amp;row=2833&amp;col=6&amp;number=3.9&amp;sourceID=14","3.9")</f>
        <v>3.9</v>
      </c>
      <c r="G2833" s="4" t="str">
        <f>HYPERLINK("http://141.218.60.56/~jnz1568/getInfo.php?workbook=14_04.xlsx&amp;sheet=U0&amp;row=2833&amp;col=7&amp;number=0.000839&amp;sourceID=14","0.000839")</f>
        <v>0.000839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HYPERLINK("http://141.218.60.56/~jnz1568/getInfo.php?workbook=14_04.xlsx&amp;sheet=U0&amp;row=2834&amp;col=6&amp;number=4&amp;sourceID=14","4")</f>
        <v>4</v>
      </c>
      <c r="G2834" s="4" t="str">
        <f>HYPERLINK("http://141.218.60.56/~jnz1568/getInfo.php?workbook=14_04.xlsx&amp;sheet=U0&amp;row=2834&amp;col=7&amp;number=0.000839&amp;sourceID=14","0.000839")</f>
        <v>0.000839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HYPERLINK("http://141.218.60.56/~jnz1568/getInfo.php?workbook=14_04.xlsx&amp;sheet=U0&amp;row=2835&amp;col=6&amp;number=4.1&amp;sourceID=14","4.1")</f>
        <v>4.1</v>
      </c>
      <c r="G2835" s="4" t="str">
        <f>HYPERLINK("http://141.218.60.56/~jnz1568/getInfo.php?workbook=14_04.xlsx&amp;sheet=U0&amp;row=2835&amp;col=7&amp;number=0.000839&amp;sourceID=14","0.000839")</f>
        <v>0.000839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HYPERLINK("http://141.218.60.56/~jnz1568/getInfo.php?workbook=14_04.xlsx&amp;sheet=U0&amp;row=2836&amp;col=6&amp;number=4.2&amp;sourceID=14","4.2")</f>
        <v>4.2</v>
      </c>
      <c r="G2836" s="4" t="str">
        <f>HYPERLINK("http://141.218.60.56/~jnz1568/getInfo.php?workbook=14_04.xlsx&amp;sheet=U0&amp;row=2836&amp;col=7&amp;number=0.000839&amp;sourceID=14","0.000839")</f>
        <v>0.000839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HYPERLINK("http://141.218.60.56/~jnz1568/getInfo.php?workbook=14_04.xlsx&amp;sheet=U0&amp;row=2837&amp;col=6&amp;number=4.3&amp;sourceID=14","4.3")</f>
        <v>4.3</v>
      </c>
      <c r="G2837" s="4" t="str">
        <f>HYPERLINK("http://141.218.60.56/~jnz1568/getInfo.php?workbook=14_04.xlsx&amp;sheet=U0&amp;row=2837&amp;col=7&amp;number=0.000839&amp;sourceID=14","0.000839")</f>
        <v>0.000839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HYPERLINK("http://141.218.60.56/~jnz1568/getInfo.php?workbook=14_04.xlsx&amp;sheet=U0&amp;row=2838&amp;col=6&amp;number=4.4&amp;sourceID=14","4.4")</f>
        <v>4.4</v>
      </c>
      <c r="G2838" s="4" t="str">
        <f>HYPERLINK("http://141.218.60.56/~jnz1568/getInfo.php?workbook=14_04.xlsx&amp;sheet=U0&amp;row=2838&amp;col=7&amp;number=0.000839&amp;sourceID=14","0.000839")</f>
        <v>0.000839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HYPERLINK("http://141.218.60.56/~jnz1568/getInfo.php?workbook=14_04.xlsx&amp;sheet=U0&amp;row=2839&amp;col=6&amp;number=4.5&amp;sourceID=14","4.5")</f>
        <v>4.5</v>
      </c>
      <c r="G2839" s="4" t="str">
        <f>HYPERLINK("http://141.218.60.56/~jnz1568/getInfo.php?workbook=14_04.xlsx&amp;sheet=U0&amp;row=2839&amp;col=7&amp;number=0.000839&amp;sourceID=14","0.000839")</f>
        <v>0.000839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HYPERLINK("http://141.218.60.56/~jnz1568/getInfo.php?workbook=14_04.xlsx&amp;sheet=U0&amp;row=2840&amp;col=6&amp;number=4.6&amp;sourceID=14","4.6")</f>
        <v>4.6</v>
      </c>
      <c r="G2840" s="4" t="str">
        <f>HYPERLINK("http://141.218.60.56/~jnz1568/getInfo.php?workbook=14_04.xlsx&amp;sheet=U0&amp;row=2840&amp;col=7&amp;number=0.00084&amp;sourceID=14","0.00084")</f>
        <v>0.00084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HYPERLINK("http://141.218.60.56/~jnz1568/getInfo.php?workbook=14_04.xlsx&amp;sheet=U0&amp;row=2841&amp;col=6&amp;number=4.7&amp;sourceID=14","4.7")</f>
        <v>4.7</v>
      </c>
      <c r="G2841" s="4" t="str">
        <f>HYPERLINK("http://141.218.60.56/~jnz1568/getInfo.php?workbook=14_04.xlsx&amp;sheet=U0&amp;row=2841&amp;col=7&amp;number=0.00084&amp;sourceID=14","0.00084")</f>
        <v>0.00084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HYPERLINK("http://141.218.60.56/~jnz1568/getInfo.php?workbook=14_04.xlsx&amp;sheet=U0&amp;row=2842&amp;col=6&amp;number=4.8&amp;sourceID=14","4.8")</f>
        <v>4.8</v>
      </c>
      <c r="G2842" s="4" t="str">
        <f>HYPERLINK("http://141.218.60.56/~jnz1568/getInfo.php?workbook=14_04.xlsx&amp;sheet=U0&amp;row=2842&amp;col=7&amp;number=0.00084&amp;sourceID=14","0.00084")</f>
        <v>0.00084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HYPERLINK("http://141.218.60.56/~jnz1568/getInfo.php?workbook=14_04.xlsx&amp;sheet=U0&amp;row=2843&amp;col=6&amp;number=4.9&amp;sourceID=14","4.9")</f>
        <v>4.9</v>
      </c>
      <c r="G2843" s="4" t="str">
        <f>HYPERLINK("http://141.218.60.56/~jnz1568/getInfo.php?workbook=14_04.xlsx&amp;sheet=U0&amp;row=2843&amp;col=7&amp;number=0.000841&amp;sourceID=14","0.000841")</f>
        <v>0.000841</v>
      </c>
    </row>
    <row r="2844" spans="1:7">
      <c r="A2844" s="3">
        <v>14</v>
      </c>
      <c r="B2844" s="3">
        <v>4</v>
      </c>
      <c r="C2844" s="3">
        <v>2</v>
      </c>
      <c r="D2844" s="3">
        <v>26</v>
      </c>
      <c r="E2844" s="3">
        <v>1</v>
      </c>
      <c r="F2844" s="4" t="str">
        <f>HYPERLINK("http://141.218.60.56/~jnz1568/getInfo.php?workbook=14_04.xlsx&amp;sheet=U0&amp;row=2844&amp;col=6&amp;number=3&amp;sourceID=14","3")</f>
        <v>3</v>
      </c>
      <c r="G2844" s="4" t="str">
        <f>HYPERLINK("http://141.218.60.56/~jnz1568/getInfo.php?workbook=14_04.xlsx&amp;sheet=U0&amp;row=2844&amp;col=7&amp;number=0.000659&amp;sourceID=14","0.000659")</f>
        <v>0.000659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HYPERLINK("http://141.218.60.56/~jnz1568/getInfo.php?workbook=14_04.xlsx&amp;sheet=U0&amp;row=2845&amp;col=6&amp;number=3.1&amp;sourceID=14","3.1")</f>
        <v>3.1</v>
      </c>
      <c r="G2845" s="4" t="str">
        <f>HYPERLINK("http://141.218.60.56/~jnz1568/getInfo.php?workbook=14_04.xlsx&amp;sheet=U0&amp;row=2845&amp;col=7&amp;number=0.00066&amp;sourceID=14","0.00066")</f>
        <v>0.00066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HYPERLINK("http://141.218.60.56/~jnz1568/getInfo.php?workbook=14_04.xlsx&amp;sheet=U0&amp;row=2846&amp;col=6&amp;number=3.2&amp;sourceID=14","3.2")</f>
        <v>3.2</v>
      </c>
      <c r="G2846" s="4" t="str">
        <f>HYPERLINK("http://141.218.60.56/~jnz1568/getInfo.php?workbook=14_04.xlsx&amp;sheet=U0&amp;row=2846&amp;col=7&amp;number=0.00066&amp;sourceID=14","0.00066")</f>
        <v>0.00066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HYPERLINK("http://141.218.60.56/~jnz1568/getInfo.php?workbook=14_04.xlsx&amp;sheet=U0&amp;row=2847&amp;col=6&amp;number=3.3&amp;sourceID=14","3.3")</f>
        <v>3.3</v>
      </c>
      <c r="G2847" s="4" t="str">
        <f>HYPERLINK("http://141.218.60.56/~jnz1568/getInfo.php?workbook=14_04.xlsx&amp;sheet=U0&amp;row=2847&amp;col=7&amp;number=0.000661&amp;sourceID=14","0.000661")</f>
        <v>0.000661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HYPERLINK("http://141.218.60.56/~jnz1568/getInfo.php?workbook=14_04.xlsx&amp;sheet=U0&amp;row=2848&amp;col=6&amp;number=3.4&amp;sourceID=14","3.4")</f>
        <v>3.4</v>
      </c>
      <c r="G2848" s="4" t="str">
        <f>HYPERLINK("http://141.218.60.56/~jnz1568/getInfo.php?workbook=14_04.xlsx&amp;sheet=U0&amp;row=2848&amp;col=7&amp;number=0.000662&amp;sourceID=14","0.000662")</f>
        <v>0.000662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HYPERLINK("http://141.218.60.56/~jnz1568/getInfo.php?workbook=14_04.xlsx&amp;sheet=U0&amp;row=2849&amp;col=6&amp;number=3.5&amp;sourceID=14","3.5")</f>
        <v>3.5</v>
      </c>
      <c r="G2849" s="4" t="str">
        <f>HYPERLINK("http://141.218.60.56/~jnz1568/getInfo.php?workbook=14_04.xlsx&amp;sheet=U0&amp;row=2849&amp;col=7&amp;number=0.000663&amp;sourceID=14","0.000663")</f>
        <v>0.000663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HYPERLINK("http://141.218.60.56/~jnz1568/getInfo.php?workbook=14_04.xlsx&amp;sheet=U0&amp;row=2850&amp;col=6&amp;number=3.6&amp;sourceID=14","3.6")</f>
        <v>3.6</v>
      </c>
      <c r="G2850" s="4" t="str">
        <f>HYPERLINK("http://141.218.60.56/~jnz1568/getInfo.php?workbook=14_04.xlsx&amp;sheet=U0&amp;row=2850&amp;col=7&amp;number=0.000665&amp;sourceID=14","0.000665")</f>
        <v>0.000665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HYPERLINK("http://141.218.60.56/~jnz1568/getInfo.php?workbook=14_04.xlsx&amp;sheet=U0&amp;row=2851&amp;col=6&amp;number=3.7&amp;sourceID=14","3.7")</f>
        <v>3.7</v>
      </c>
      <c r="G2851" s="4" t="str">
        <f>HYPERLINK("http://141.218.60.56/~jnz1568/getInfo.php?workbook=14_04.xlsx&amp;sheet=U0&amp;row=2851&amp;col=7&amp;number=0.000667&amp;sourceID=14","0.000667")</f>
        <v>0.000667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HYPERLINK("http://141.218.60.56/~jnz1568/getInfo.php?workbook=14_04.xlsx&amp;sheet=U0&amp;row=2852&amp;col=6&amp;number=3.8&amp;sourceID=14","3.8")</f>
        <v>3.8</v>
      </c>
      <c r="G2852" s="4" t="str">
        <f>HYPERLINK("http://141.218.60.56/~jnz1568/getInfo.php?workbook=14_04.xlsx&amp;sheet=U0&amp;row=2852&amp;col=7&amp;number=0.000669&amp;sourceID=14","0.000669")</f>
        <v>0.000669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HYPERLINK("http://141.218.60.56/~jnz1568/getInfo.php?workbook=14_04.xlsx&amp;sheet=U0&amp;row=2853&amp;col=6&amp;number=3.9&amp;sourceID=14","3.9")</f>
        <v>3.9</v>
      </c>
      <c r="G2853" s="4" t="str">
        <f>HYPERLINK("http://141.218.60.56/~jnz1568/getInfo.php?workbook=14_04.xlsx&amp;sheet=U0&amp;row=2853&amp;col=7&amp;number=0.000672&amp;sourceID=14","0.000672")</f>
        <v>0.000672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HYPERLINK("http://141.218.60.56/~jnz1568/getInfo.php?workbook=14_04.xlsx&amp;sheet=U0&amp;row=2854&amp;col=6&amp;number=4&amp;sourceID=14","4")</f>
        <v>4</v>
      </c>
      <c r="G2854" s="4" t="str">
        <f>HYPERLINK("http://141.218.60.56/~jnz1568/getInfo.php?workbook=14_04.xlsx&amp;sheet=U0&amp;row=2854&amp;col=7&amp;number=0.000676&amp;sourceID=14","0.000676")</f>
        <v>0.000676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HYPERLINK("http://141.218.60.56/~jnz1568/getInfo.php?workbook=14_04.xlsx&amp;sheet=U0&amp;row=2855&amp;col=6&amp;number=4.1&amp;sourceID=14","4.1")</f>
        <v>4.1</v>
      </c>
      <c r="G2855" s="4" t="str">
        <f>HYPERLINK("http://141.218.60.56/~jnz1568/getInfo.php?workbook=14_04.xlsx&amp;sheet=U0&amp;row=2855&amp;col=7&amp;number=0.000681&amp;sourceID=14","0.000681")</f>
        <v>0.000681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HYPERLINK("http://141.218.60.56/~jnz1568/getInfo.php?workbook=14_04.xlsx&amp;sheet=U0&amp;row=2856&amp;col=6&amp;number=4.2&amp;sourceID=14","4.2")</f>
        <v>4.2</v>
      </c>
      <c r="G2856" s="4" t="str">
        <f>HYPERLINK("http://141.218.60.56/~jnz1568/getInfo.php?workbook=14_04.xlsx&amp;sheet=U0&amp;row=2856&amp;col=7&amp;number=0.000687&amp;sourceID=14","0.000687")</f>
        <v>0.000687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HYPERLINK("http://141.218.60.56/~jnz1568/getInfo.php?workbook=14_04.xlsx&amp;sheet=U0&amp;row=2857&amp;col=6&amp;number=4.3&amp;sourceID=14","4.3")</f>
        <v>4.3</v>
      </c>
      <c r="G2857" s="4" t="str">
        <f>HYPERLINK("http://141.218.60.56/~jnz1568/getInfo.php?workbook=14_04.xlsx&amp;sheet=U0&amp;row=2857&amp;col=7&amp;number=0.000695&amp;sourceID=14","0.000695")</f>
        <v>0.000695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HYPERLINK("http://141.218.60.56/~jnz1568/getInfo.php?workbook=14_04.xlsx&amp;sheet=U0&amp;row=2858&amp;col=6&amp;number=4.4&amp;sourceID=14","4.4")</f>
        <v>4.4</v>
      </c>
      <c r="G2858" s="4" t="str">
        <f>HYPERLINK("http://141.218.60.56/~jnz1568/getInfo.php?workbook=14_04.xlsx&amp;sheet=U0&amp;row=2858&amp;col=7&amp;number=0.000705&amp;sourceID=14","0.000705")</f>
        <v>0.000705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HYPERLINK("http://141.218.60.56/~jnz1568/getInfo.php?workbook=14_04.xlsx&amp;sheet=U0&amp;row=2859&amp;col=6&amp;number=4.5&amp;sourceID=14","4.5")</f>
        <v>4.5</v>
      </c>
      <c r="G2859" s="4" t="str">
        <f>HYPERLINK("http://141.218.60.56/~jnz1568/getInfo.php?workbook=14_04.xlsx&amp;sheet=U0&amp;row=2859&amp;col=7&amp;number=0.000717&amp;sourceID=14","0.000717")</f>
        <v>0.000717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HYPERLINK("http://141.218.60.56/~jnz1568/getInfo.php?workbook=14_04.xlsx&amp;sheet=U0&amp;row=2860&amp;col=6&amp;number=4.6&amp;sourceID=14","4.6")</f>
        <v>4.6</v>
      </c>
      <c r="G2860" s="4" t="str">
        <f>HYPERLINK("http://141.218.60.56/~jnz1568/getInfo.php?workbook=14_04.xlsx&amp;sheet=U0&amp;row=2860&amp;col=7&amp;number=0.000733&amp;sourceID=14","0.000733")</f>
        <v>0.000733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HYPERLINK("http://141.218.60.56/~jnz1568/getInfo.php?workbook=14_04.xlsx&amp;sheet=U0&amp;row=2861&amp;col=6&amp;number=4.7&amp;sourceID=14","4.7")</f>
        <v>4.7</v>
      </c>
      <c r="G2861" s="4" t="str">
        <f>HYPERLINK("http://141.218.60.56/~jnz1568/getInfo.php?workbook=14_04.xlsx&amp;sheet=U0&amp;row=2861&amp;col=7&amp;number=0.000752&amp;sourceID=14","0.000752")</f>
        <v>0.000752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HYPERLINK("http://141.218.60.56/~jnz1568/getInfo.php?workbook=14_04.xlsx&amp;sheet=U0&amp;row=2862&amp;col=6&amp;number=4.8&amp;sourceID=14","4.8")</f>
        <v>4.8</v>
      </c>
      <c r="G2862" s="4" t="str">
        <f>HYPERLINK("http://141.218.60.56/~jnz1568/getInfo.php?workbook=14_04.xlsx&amp;sheet=U0&amp;row=2862&amp;col=7&amp;number=0.000777&amp;sourceID=14","0.000777")</f>
        <v>0.000777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HYPERLINK("http://141.218.60.56/~jnz1568/getInfo.php?workbook=14_04.xlsx&amp;sheet=U0&amp;row=2863&amp;col=6&amp;number=4.9&amp;sourceID=14","4.9")</f>
        <v>4.9</v>
      </c>
      <c r="G2863" s="4" t="str">
        <f>HYPERLINK("http://141.218.60.56/~jnz1568/getInfo.php?workbook=14_04.xlsx&amp;sheet=U0&amp;row=2863&amp;col=7&amp;number=0.000807&amp;sourceID=14","0.000807")</f>
        <v>0.000807</v>
      </c>
    </row>
    <row r="2864" spans="1:7">
      <c r="A2864" s="3">
        <v>14</v>
      </c>
      <c r="B2864" s="3">
        <v>4</v>
      </c>
      <c r="C2864" s="3">
        <v>2</v>
      </c>
      <c r="D2864" s="3">
        <v>27</v>
      </c>
      <c r="E2864" s="3">
        <v>1</v>
      </c>
      <c r="F2864" s="4" t="str">
        <f>HYPERLINK("http://141.218.60.56/~jnz1568/getInfo.php?workbook=14_04.xlsx&amp;sheet=U0&amp;row=2864&amp;col=6&amp;number=3&amp;sourceID=14","3")</f>
        <v>3</v>
      </c>
      <c r="G2864" s="4" t="str">
        <f>HYPERLINK("http://141.218.60.56/~jnz1568/getInfo.php?workbook=14_04.xlsx&amp;sheet=U0&amp;row=2864&amp;col=7&amp;number=0.00125&amp;sourceID=14","0.00125")</f>
        <v>0.00125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HYPERLINK("http://141.218.60.56/~jnz1568/getInfo.php?workbook=14_04.xlsx&amp;sheet=U0&amp;row=2865&amp;col=6&amp;number=3.1&amp;sourceID=14","3.1")</f>
        <v>3.1</v>
      </c>
      <c r="G2865" s="4" t="str">
        <f>HYPERLINK("http://141.218.60.56/~jnz1568/getInfo.php?workbook=14_04.xlsx&amp;sheet=U0&amp;row=2865&amp;col=7&amp;number=0.00125&amp;sourceID=14","0.00125")</f>
        <v>0.00125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HYPERLINK("http://141.218.60.56/~jnz1568/getInfo.php?workbook=14_04.xlsx&amp;sheet=U0&amp;row=2866&amp;col=6&amp;number=3.2&amp;sourceID=14","3.2")</f>
        <v>3.2</v>
      </c>
      <c r="G2866" s="4" t="str">
        <f>HYPERLINK("http://141.218.60.56/~jnz1568/getInfo.php?workbook=14_04.xlsx&amp;sheet=U0&amp;row=2866&amp;col=7&amp;number=0.00125&amp;sourceID=14","0.00125")</f>
        <v>0.00125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HYPERLINK("http://141.218.60.56/~jnz1568/getInfo.php?workbook=14_04.xlsx&amp;sheet=U0&amp;row=2867&amp;col=6&amp;number=3.3&amp;sourceID=14","3.3")</f>
        <v>3.3</v>
      </c>
      <c r="G2867" s="4" t="str">
        <f>HYPERLINK("http://141.218.60.56/~jnz1568/getInfo.php?workbook=14_04.xlsx&amp;sheet=U0&amp;row=2867&amp;col=7&amp;number=0.00125&amp;sourceID=14","0.00125")</f>
        <v>0.00125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HYPERLINK("http://141.218.60.56/~jnz1568/getInfo.php?workbook=14_04.xlsx&amp;sheet=U0&amp;row=2868&amp;col=6&amp;number=3.4&amp;sourceID=14","3.4")</f>
        <v>3.4</v>
      </c>
      <c r="G2868" s="4" t="str">
        <f>HYPERLINK("http://141.218.60.56/~jnz1568/getInfo.php?workbook=14_04.xlsx&amp;sheet=U0&amp;row=2868&amp;col=7&amp;number=0.00125&amp;sourceID=14","0.00125")</f>
        <v>0.00125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HYPERLINK("http://141.218.60.56/~jnz1568/getInfo.php?workbook=14_04.xlsx&amp;sheet=U0&amp;row=2869&amp;col=6&amp;number=3.5&amp;sourceID=14","3.5")</f>
        <v>3.5</v>
      </c>
      <c r="G2869" s="4" t="str">
        <f>HYPERLINK("http://141.218.60.56/~jnz1568/getInfo.php?workbook=14_04.xlsx&amp;sheet=U0&amp;row=2869&amp;col=7&amp;number=0.00125&amp;sourceID=14","0.00125")</f>
        <v>0.00125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HYPERLINK("http://141.218.60.56/~jnz1568/getInfo.php?workbook=14_04.xlsx&amp;sheet=U0&amp;row=2870&amp;col=6&amp;number=3.6&amp;sourceID=14","3.6")</f>
        <v>3.6</v>
      </c>
      <c r="G2870" s="4" t="str">
        <f>HYPERLINK("http://141.218.60.56/~jnz1568/getInfo.php?workbook=14_04.xlsx&amp;sheet=U0&amp;row=2870&amp;col=7&amp;number=0.00125&amp;sourceID=14","0.00125")</f>
        <v>0.00125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HYPERLINK("http://141.218.60.56/~jnz1568/getInfo.php?workbook=14_04.xlsx&amp;sheet=U0&amp;row=2871&amp;col=6&amp;number=3.7&amp;sourceID=14","3.7")</f>
        <v>3.7</v>
      </c>
      <c r="G2871" s="4" t="str">
        <f>HYPERLINK("http://141.218.60.56/~jnz1568/getInfo.php?workbook=14_04.xlsx&amp;sheet=U0&amp;row=2871&amp;col=7&amp;number=0.00125&amp;sourceID=14","0.00125")</f>
        <v>0.00125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HYPERLINK("http://141.218.60.56/~jnz1568/getInfo.php?workbook=14_04.xlsx&amp;sheet=U0&amp;row=2872&amp;col=6&amp;number=3.8&amp;sourceID=14","3.8")</f>
        <v>3.8</v>
      </c>
      <c r="G2872" s="4" t="str">
        <f>HYPERLINK("http://141.218.60.56/~jnz1568/getInfo.php?workbook=14_04.xlsx&amp;sheet=U0&amp;row=2872&amp;col=7&amp;number=0.00125&amp;sourceID=14","0.00125")</f>
        <v>0.00125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HYPERLINK("http://141.218.60.56/~jnz1568/getInfo.php?workbook=14_04.xlsx&amp;sheet=U0&amp;row=2873&amp;col=6&amp;number=3.9&amp;sourceID=14","3.9")</f>
        <v>3.9</v>
      </c>
      <c r="G2873" s="4" t="str">
        <f>HYPERLINK("http://141.218.60.56/~jnz1568/getInfo.php?workbook=14_04.xlsx&amp;sheet=U0&amp;row=2873&amp;col=7&amp;number=0.00125&amp;sourceID=14","0.00125")</f>
        <v>0.00125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HYPERLINK("http://141.218.60.56/~jnz1568/getInfo.php?workbook=14_04.xlsx&amp;sheet=U0&amp;row=2874&amp;col=6&amp;number=4&amp;sourceID=14","4")</f>
        <v>4</v>
      </c>
      <c r="G2874" s="4" t="str">
        <f>HYPERLINK("http://141.218.60.56/~jnz1568/getInfo.php?workbook=14_04.xlsx&amp;sheet=U0&amp;row=2874&amp;col=7&amp;number=0.00125&amp;sourceID=14","0.00125")</f>
        <v>0.00125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HYPERLINK("http://141.218.60.56/~jnz1568/getInfo.php?workbook=14_04.xlsx&amp;sheet=U0&amp;row=2875&amp;col=6&amp;number=4.1&amp;sourceID=14","4.1")</f>
        <v>4.1</v>
      </c>
      <c r="G2875" s="4" t="str">
        <f>HYPERLINK("http://141.218.60.56/~jnz1568/getInfo.php?workbook=14_04.xlsx&amp;sheet=U0&amp;row=2875&amp;col=7&amp;number=0.00125&amp;sourceID=14","0.00125")</f>
        <v>0.00125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HYPERLINK("http://141.218.60.56/~jnz1568/getInfo.php?workbook=14_04.xlsx&amp;sheet=U0&amp;row=2876&amp;col=6&amp;number=4.2&amp;sourceID=14","4.2")</f>
        <v>4.2</v>
      </c>
      <c r="G2876" s="4" t="str">
        <f>HYPERLINK("http://141.218.60.56/~jnz1568/getInfo.php?workbook=14_04.xlsx&amp;sheet=U0&amp;row=2876&amp;col=7&amp;number=0.00125&amp;sourceID=14","0.00125")</f>
        <v>0.00125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HYPERLINK("http://141.218.60.56/~jnz1568/getInfo.php?workbook=14_04.xlsx&amp;sheet=U0&amp;row=2877&amp;col=6&amp;number=4.3&amp;sourceID=14","4.3")</f>
        <v>4.3</v>
      </c>
      <c r="G2877" s="4" t="str">
        <f>HYPERLINK("http://141.218.60.56/~jnz1568/getInfo.php?workbook=14_04.xlsx&amp;sheet=U0&amp;row=2877&amp;col=7&amp;number=0.00125&amp;sourceID=14","0.00125")</f>
        <v>0.00125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HYPERLINK("http://141.218.60.56/~jnz1568/getInfo.php?workbook=14_04.xlsx&amp;sheet=U0&amp;row=2878&amp;col=6&amp;number=4.4&amp;sourceID=14","4.4")</f>
        <v>4.4</v>
      </c>
      <c r="G2878" s="4" t="str">
        <f>HYPERLINK("http://141.218.60.56/~jnz1568/getInfo.php?workbook=14_04.xlsx&amp;sheet=U0&amp;row=2878&amp;col=7&amp;number=0.00125&amp;sourceID=14","0.00125")</f>
        <v>0.00125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HYPERLINK("http://141.218.60.56/~jnz1568/getInfo.php?workbook=14_04.xlsx&amp;sheet=U0&amp;row=2879&amp;col=6&amp;number=4.5&amp;sourceID=14","4.5")</f>
        <v>4.5</v>
      </c>
      <c r="G2879" s="4" t="str">
        <f>HYPERLINK("http://141.218.60.56/~jnz1568/getInfo.php?workbook=14_04.xlsx&amp;sheet=U0&amp;row=2879&amp;col=7&amp;number=0.00125&amp;sourceID=14","0.00125")</f>
        <v>0.00125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HYPERLINK("http://141.218.60.56/~jnz1568/getInfo.php?workbook=14_04.xlsx&amp;sheet=U0&amp;row=2880&amp;col=6&amp;number=4.6&amp;sourceID=14","4.6")</f>
        <v>4.6</v>
      </c>
      <c r="G2880" s="4" t="str">
        <f>HYPERLINK("http://141.218.60.56/~jnz1568/getInfo.php?workbook=14_04.xlsx&amp;sheet=U0&amp;row=2880&amp;col=7&amp;number=0.00125&amp;sourceID=14","0.00125")</f>
        <v>0.00125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HYPERLINK("http://141.218.60.56/~jnz1568/getInfo.php?workbook=14_04.xlsx&amp;sheet=U0&amp;row=2881&amp;col=6&amp;number=4.7&amp;sourceID=14","4.7")</f>
        <v>4.7</v>
      </c>
      <c r="G2881" s="4" t="str">
        <f>HYPERLINK("http://141.218.60.56/~jnz1568/getInfo.php?workbook=14_04.xlsx&amp;sheet=U0&amp;row=2881&amp;col=7&amp;number=0.00124&amp;sourceID=14","0.00124")</f>
        <v>0.00124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HYPERLINK("http://141.218.60.56/~jnz1568/getInfo.php?workbook=14_04.xlsx&amp;sheet=U0&amp;row=2882&amp;col=6&amp;number=4.8&amp;sourceID=14","4.8")</f>
        <v>4.8</v>
      </c>
      <c r="G2882" s="4" t="str">
        <f>HYPERLINK("http://141.218.60.56/~jnz1568/getInfo.php?workbook=14_04.xlsx&amp;sheet=U0&amp;row=2882&amp;col=7&amp;number=0.00124&amp;sourceID=14","0.00124")</f>
        <v>0.00124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HYPERLINK("http://141.218.60.56/~jnz1568/getInfo.php?workbook=14_04.xlsx&amp;sheet=U0&amp;row=2883&amp;col=6&amp;number=4.9&amp;sourceID=14","4.9")</f>
        <v>4.9</v>
      </c>
      <c r="G2883" s="4" t="str">
        <f>HYPERLINK("http://141.218.60.56/~jnz1568/getInfo.php?workbook=14_04.xlsx&amp;sheet=U0&amp;row=2883&amp;col=7&amp;number=0.00124&amp;sourceID=14","0.00124")</f>
        <v>0.00124</v>
      </c>
    </row>
    <row r="2884" spans="1:7">
      <c r="A2884" s="3">
        <v>14</v>
      </c>
      <c r="B2884" s="3">
        <v>4</v>
      </c>
      <c r="C2884" s="3">
        <v>2</v>
      </c>
      <c r="D2884" s="3">
        <v>28</v>
      </c>
      <c r="E2884" s="3">
        <v>1</v>
      </c>
      <c r="F2884" s="4" t="str">
        <f>HYPERLINK("http://141.218.60.56/~jnz1568/getInfo.php?workbook=14_04.xlsx&amp;sheet=U0&amp;row=2884&amp;col=6&amp;number=3&amp;sourceID=14","3")</f>
        <v>3</v>
      </c>
      <c r="G2884" s="4" t="str">
        <f>HYPERLINK("http://141.218.60.56/~jnz1568/getInfo.php?workbook=14_04.xlsx&amp;sheet=U0&amp;row=2884&amp;col=7&amp;number=0.000121&amp;sourceID=14","0.000121")</f>
        <v>0.000121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HYPERLINK("http://141.218.60.56/~jnz1568/getInfo.php?workbook=14_04.xlsx&amp;sheet=U0&amp;row=2885&amp;col=6&amp;number=3.1&amp;sourceID=14","3.1")</f>
        <v>3.1</v>
      </c>
      <c r="G2885" s="4" t="str">
        <f>HYPERLINK("http://141.218.60.56/~jnz1568/getInfo.php?workbook=14_04.xlsx&amp;sheet=U0&amp;row=2885&amp;col=7&amp;number=0.000121&amp;sourceID=14","0.000121")</f>
        <v>0.000121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HYPERLINK("http://141.218.60.56/~jnz1568/getInfo.php?workbook=14_04.xlsx&amp;sheet=U0&amp;row=2886&amp;col=6&amp;number=3.2&amp;sourceID=14","3.2")</f>
        <v>3.2</v>
      </c>
      <c r="G2886" s="4" t="str">
        <f>HYPERLINK("http://141.218.60.56/~jnz1568/getInfo.php?workbook=14_04.xlsx&amp;sheet=U0&amp;row=2886&amp;col=7&amp;number=0.000121&amp;sourceID=14","0.000121")</f>
        <v>0.000121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HYPERLINK("http://141.218.60.56/~jnz1568/getInfo.php?workbook=14_04.xlsx&amp;sheet=U0&amp;row=2887&amp;col=6&amp;number=3.3&amp;sourceID=14","3.3")</f>
        <v>3.3</v>
      </c>
      <c r="G2887" s="4" t="str">
        <f>HYPERLINK("http://141.218.60.56/~jnz1568/getInfo.php?workbook=14_04.xlsx&amp;sheet=U0&amp;row=2887&amp;col=7&amp;number=0.000121&amp;sourceID=14","0.000121")</f>
        <v>0.000121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HYPERLINK("http://141.218.60.56/~jnz1568/getInfo.php?workbook=14_04.xlsx&amp;sheet=U0&amp;row=2888&amp;col=6&amp;number=3.4&amp;sourceID=14","3.4")</f>
        <v>3.4</v>
      </c>
      <c r="G2888" s="4" t="str">
        <f>HYPERLINK("http://141.218.60.56/~jnz1568/getInfo.php?workbook=14_04.xlsx&amp;sheet=U0&amp;row=2888&amp;col=7&amp;number=0.000121&amp;sourceID=14","0.000121")</f>
        <v>0.000121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HYPERLINK("http://141.218.60.56/~jnz1568/getInfo.php?workbook=14_04.xlsx&amp;sheet=U0&amp;row=2889&amp;col=6&amp;number=3.5&amp;sourceID=14","3.5")</f>
        <v>3.5</v>
      </c>
      <c r="G2889" s="4" t="str">
        <f>HYPERLINK("http://141.218.60.56/~jnz1568/getInfo.php?workbook=14_04.xlsx&amp;sheet=U0&amp;row=2889&amp;col=7&amp;number=0.000121&amp;sourceID=14","0.000121")</f>
        <v>0.000121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HYPERLINK("http://141.218.60.56/~jnz1568/getInfo.php?workbook=14_04.xlsx&amp;sheet=U0&amp;row=2890&amp;col=6&amp;number=3.6&amp;sourceID=14","3.6")</f>
        <v>3.6</v>
      </c>
      <c r="G2890" s="4" t="str">
        <f>HYPERLINK("http://141.218.60.56/~jnz1568/getInfo.php?workbook=14_04.xlsx&amp;sheet=U0&amp;row=2890&amp;col=7&amp;number=0.000121&amp;sourceID=14","0.000121")</f>
        <v>0.000121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HYPERLINK("http://141.218.60.56/~jnz1568/getInfo.php?workbook=14_04.xlsx&amp;sheet=U0&amp;row=2891&amp;col=6&amp;number=3.7&amp;sourceID=14","3.7")</f>
        <v>3.7</v>
      </c>
      <c r="G2891" s="4" t="str">
        <f>HYPERLINK("http://141.218.60.56/~jnz1568/getInfo.php?workbook=14_04.xlsx&amp;sheet=U0&amp;row=2891&amp;col=7&amp;number=0.000121&amp;sourceID=14","0.000121")</f>
        <v>0.000121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HYPERLINK("http://141.218.60.56/~jnz1568/getInfo.php?workbook=14_04.xlsx&amp;sheet=U0&amp;row=2892&amp;col=6&amp;number=3.8&amp;sourceID=14","3.8")</f>
        <v>3.8</v>
      </c>
      <c r="G2892" s="4" t="str">
        <f>HYPERLINK("http://141.218.60.56/~jnz1568/getInfo.php?workbook=14_04.xlsx&amp;sheet=U0&amp;row=2892&amp;col=7&amp;number=0.000121&amp;sourceID=14","0.000121")</f>
        <v>0.000121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HYPERLINK("http://141.218.60.56/~jnz1568/getInfo.php?workbook=14_04.xlsx&amp;sheet=U0&amp;row=2893&amp;col=6&amp;number=3.9&amp;sourceID=14","3.9")</f>
        <v>3.9</v>
      </c>
      <c r="G2893" s="4" t="str">
        <f>HYPERLINK("http://141.218.60.56/~jnz1568/getInfo.php?workbook=14_04.xlsx&amp;sheet=U0&amp;row=2893&amp;col=7&amp;number=0.000121&amp;sourceID=14","0.000121")</f>
        <v>0.000121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HYPERLINK("http://141.218.60.56/~jnz1568/getInfo.php?workbook=14_04.xlsx&amp;sheet=U0&amp;row=2894&amp;col=6&amp;number=4&amp;sourceID=14","4")</f>
        <v>4</v>
      </c>
      <c r="G2894" s="4" t="str">
        <f>HYPERLINK("http://141.218.60.56/~jnz1568/getInfo.php?workbook=14_04.xlsx&amp;sheet=U0&amp;row=2894&amp;col=7&amp;number=0.000121&amp;sourceID=14","0.000121")</f>
        <v>0.000121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HYPERLINK("http://141.218.60.56/~jnz1568/getInfo.php?workbook=14_04.xlsx&amp;sheet=U0&amp;row=2895&amp;col=6&amp;number=4.1&amp;sourceID=14","4.1")</f>
        <v>4.1</v>
      </c>
      <c r="G2895" s="4" t="str">
        <f>HYPERLINK("http://141.218.60.56/~jnz1568/getInfo.php?workbook=14_04.xlsx&amp;sheet=U0&amp;row=2895&amp;col=7&amp;number=0.000121&amp;sourceID=14","0.000121")</f>
        <v>0.000121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HYPERLINK("http://141.218.60.56/~jnz1568/getInfo.php?workbook=14_04.xlsx&amp;sheet=U0&amp;row=2896&amp;col=6&amp;number=4.2&amp;sourceID=14","4.2")</f>
        <v>4.2</v>
      </c>
      <c r="G2896" s="4" t="str">
        <f>HYPERLINK("http://141.218.60.56/~jnz1568/getInfo.php?workbook=14_04.xlsx&amp;sheet=U0&amp;row=2896&amp;col=7&amp;number=0.000121&amp;sourceID=14","0.000121")</f>
        <v>0.000121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HYPERLINK("http://141.218.60.56/~jnz1568/getInfo.php?workbook=14_04.xlsx&amp;sheet=U0&amp;row=2897&amp;col=6&amp;number=4.3&amp;sourceID=14","4.3")</f>
        <v>4.3</v>
      </c>
      <c r="G2897" s="4" t="str">
        <f>HYPERLINK("http://141.218.60.56/~jnz1568/getInfo.php?workbook=14_04.xlsx&amp;sheet=U0&amp;row=2897&amp;col=7&amp;number=0.000121&amp;sourceID=14","0.000121")</f>
        <v>0.000121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HYPERLINK("http://141.218.60.56/~jnz1568/getInfo.php?workbook=14_04.xlsx&amp;sheet=U0&amp;row=2898&amp;col=6&amp;number=4.4&amp;sourceID=14","4.4")</f>
        <v>4.4</v>
      </c>
      <c r="G2898" s="4" t="str">
        <f>HYPERLINK("http://141.218.60.56/~jnz1568/getInfo.php?workbook=14_04.xlsx&amp;sheet=U0&amp;row=2898&amp;col=7&amp;number=0.000121&amp;sourceID=14","0.000121")</f>
        <v>0.000121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HYPERLINK("http://141.218.60.56/~jnz1568/getInfo.php?workbook=14_04.xlsx&amp;sheet=U0&amp;row=2899&amp;col=6&amp;number=4.5&amp;sourceID=14","4.5")</f>
        <v>4.5</v>
      </c>
      <c r="G2899" s="4" t="str">
        <f>HYPERLINK("http://141.218.60.56/~jnz1568/getInfo.php?workbook=14_04.xlsx&amp;sheet=U0&amp;row=2899&amp;col=7&amp;number=0.00012&amp;sourceID=14","0.00012")</f>
        <v>0.00012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HYPERLINK("http://141.218.60.56/~jnz1568/getInfo.php?workbook=14_04.xlsx&amp;sheet=U0&amp;row=2900&amp;col=6&amp;number=4.6&amp;sourceID=14","4.6")</f>
        <v>4.6</v>
      </c>
      <c r="G2900" s="4" t="str">
        <f>HYPERLINK("http://141.218.60.56/~jnz1568/getInfo.php?workbook=14_04.xlsx&amp;sheet=U0&amp;row=2900&amp;col=7&amp;number=0.00012&amp;sourceID=14","0.00012")</f>
        <v>0.00012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HYPERLINK("http://141.218.60.56/~jnz1568/getInfo.php?workbook=14_04.xlsx&amp;sheet=U0&amp;row=2901&amp;col=6&amp;number=4.7&amp;sourceID=14","4.7")</f>
        <v>4.7</v>
      </c>
      <c r="G2901" s="4" t="str">
        <f>HYPERLINK("http://141.218.60.56/~jnz1568/getInfo.php?workbook=14_04.xlsx&amp;sheet=U0&amp;row=2901&amp;col=7&amp;number=0.00012&amp;sourceID=14","0.00012")</f>
        <v>0.00012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HYPERLINK("http://141.218.60.56/~jnz1568/getInfo.php?workbook=14_04.xlsx&amp;sheet=U0&amp;row=2902&amp;col=6&amp;number=4.8&amp;sourceID=14","4.8")</f>
        <v>4.8</v>
      </c>
      <c r="G2902" s="4" t="str">
        <f>HYPERLINK("http://141.218.60.56/~jnz1568/getInfo.php?workbook=14_04.xlsx&amp;sheet=U0&amp;row=2902&amp;col=7&amp;number=0.00012&amp;sourceID=14","0.00012")</f>
        <v>0.00012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HYPERLINK("http://141.218.60.56/~jnz1568/getInfo.php?workbook=14_04.xlsx&amp;sheet=U0&amp;row=2903&amp;col=6&amp;number=4.9&amp;sourceID=14","4.9")</f>
        <v>4.9</v>
      </c>
      <c r="G2903" s="4" t="str">
        <f>HYPERLINK("http://141.218.60.56/~jnz1568/getInfo.php?workbook=14_04.xlsx&amp;sheet=U0&amp;row=2903&amp;col=7&amp;number=0.00012&amp;sourceID=14","0.00012")</f>
        <v>0.00012</v>
      </c>
    </row>
    <row r="2904" spans="1:7">
      <c r="A2904" s="3">
        <v>14</v>
      </c>
      <c r="B2904" s="3">
        <v>4</v>
      </c>
      <c r="C2904" s="3">
        <v>2</v>
      </c>
      <c r="D2904" s="3">
        <v>29</v>
      </c>
      <c r="E2904" s="3">
        <v>1</v>
      </c>
      <c r="F2904" s="4" t="str">
        <f>HYPERLINK("http://141.218.60.56/~jnz1568/getInfo.php?workbook=14_04.xlsx&amp;sheet=U0&amp;row=2904&amp;col=6&amp;number=3&amp;sourceID=14","3")</f>
        <v>3</v>
      </c>
      <c r="G2904" s="4" t="str">
        <f>HYPERLINK("http://141.218.60.56/~jnz1568/getInfo.php?workbook=14_04.xlsx&amp;sheet=U0&amp;row=2904&amp;col=7&amp;number=0.00136&amp;sourceID=14","0.00136")</f>
        <v>0.00136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HYPERLINK("http://141.218.60.56/~jnz1568/getInfo.php?workbook=14_04.xlsx&amp;sheet=U0&amp;row=2905&amp;col=6&amp;number=3.1&amp;sourceID=14","3.1")</f>
        <v>3.1</v>
      </c>
      <c r="G2905" s="4" t="str">
        <f>HYPERLINK("http://141.218.60.56/~jnz1568/getInfo.php?workbook=14_04.xlsx&amp;sheet=U0&amp;row=2905&amp;col=7&amp;number=0.00136&amp;sourceID=14","0.00136")</f>
        <v>0.00136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HYPERLINK("http://141.218.60.56/~jnz1568/getInfo.php?workbook=14_04.xlsx&amp;sheet=U0&amp;row=2906&amp;col=6&amp;number=3.2&amp;sourceID=14","3.2")</f>
        <v>3.2</v>
      </c>
      <c r="G2906" s="4" t="str">
        <f>HYPERLINK("http://141.218.60.56/~jnz1568/getInfo.php?workbook=14_04.xlsx&amp;sheet=U0&amp;row=2906&amp;col=7&amp;number=0.00136&amp;sourceID=14","0.00136")</f>
        <v>0.00136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HYPERLINK("http://141.218.60.56/~jnz1568/getInfo.php?workbook=14_04.xlsx&amp;sheet=U0&amp;row=2907&amp;col=6&amp;number=3.3&amp;sourceID=14","3.3")</f>
        <v>3.3</v>
      </c>
      <c r="G2907" s="4" t="str">
        <f>HYPERLINK("http://141.218.60.56/~jnz1568/getInfo.php?workbook=14_04.xlsx&amp;sheet=U0&amp;row=2907&amp;col=7&amp;number=0.00136&amp;sourceID=14","0.00136")</f>
        <v>0.00136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HYPERLINK("http://141.218.60.56/~jnz1568/getInfo.php?workbook=14_04.xlsx&amp;sheet=U0&amp;row=2908&amp;col=6&amp;number=3.4&amp;sourceID=14","3.4")</f>
        <v>3.4</v>
      </c>
      <c r="G2908" s="4" t="str">
        <f>HYPERLINK("http://141.218.60.56/~jnz1568/getInfo.php?workbook=14_04.xlsx&amp;sheet=U0&amp;row=2908&amp;col=7&amp;number=0.00136&amp;sourceID=14","0.00136")</f>
        <v>0.00136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HYPERLINK("http://141.218.60.56/~jnz1568/getInfo.php?workbook=14_04.xlsx&amp;sheet=U0&amp;row=2909&amp;col=6&amp;number=3.5&amp;sourceID=14","3.5")</f>
        <v>3.5</v>
      </c>
      <c r="G2909" s="4" t="str">
        <f>HYPERLINK("http://141.218.60.56/~jnz1568/getInfo.php?workbook=14_04.xlsx&amp;sheet=U0&amp;row=2909&amp;col=7&amp;number=0.00136&amp;sourceID=14","0.00136")</f>
        <v>0.00136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HYPERLINK("http://141.218.60.56/~jnz1568/getInfo.php?workbook=14_04.xlsx&amp;sheet=U0&amp;row=2910&amp;col=6&amp;number=3.6&amp;sourceID=14","3.6")</f>
        <v>3.6</v>
      </c>
      <c r="G2910" s="4" t="str">
        <f>HYPERLINK("http://141.218.60.56/~jnz1568/getInfo.php?workbook=14_04.xlsx&amp;sheet=U0&amp;row=2910&amp;col=7&amp;number=0.00136&amp;sourceID=14","0.00136")</f>
        <v>0.00136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HYPERLINK("http://141.218.60.56/~jnz1568/getInfo.php?workbook=14_04.xlsx&amp;sheet=U0&amp;row=2911&amp;col=6&amp;number=3.7&amp;sourceID=14","3.7")</f>
        <v>3.7</v>
      </c>
      <c r="G2911" s="4" t="str">
        <f>HYPERLINK("http://141.218.60.56/~jnz1568/getInfo.php?workbook=14_04.xlsx&amp;sheet=U0&amp;row=2911&amp;col=7&amp;number=0.00136&amp;sourceID=14","0.00136")</f>
        <v>0.00136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HYPERLINK("http://141.218.60.56/~jnz1568/getInfo.php?workbook=14_04.xlsx&amp;sheet=U0&amp;row=2912&amp;col=6&amp;number=3.8&amp;sourceID=14","3.8")</f>
        <v>3.8</v>
      </c>
      <c r="G2912" s="4" t="str">
        <f>HYPERLINK("http://141.218.60.56/~jnz1568/getInfo.php?workbook=14_04.xlsx&amp;sheet=U0&amp;row=2912&amp;col=7&amp;number=0.00136&amp;sourceID=14","0.00136")</f>
        <v>0.00136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HYPERLINK("http://141.218.60.56/~jnz1568/getInfo.php?workbook=14_04.xlsx&amp;sheet=U0&amp;row=2913&amp;col=6&amp;number=3.9&amp;sourceID=14","3.9")</f>
        <v>3.9</v>
      </c>
      <c r="G2913" s="4" t="str">
        <f>HYPERLINK("http://141.218.60.56/~jnz1568/getInfo.php?workbook=14_04.xlsx&amp;sheet=U0&amp;row=2913&amp;col=7&amp;number=0.00136&amp;sourceID=14","0.00136")</f>
        <v>0.00136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HYPERLINK("http://141.218.60.56/~jnz1568/getInfo.php?workbook=14_04.xlsx&amp;sheet=U0&amp;row=2914&amp;col=6&amp;number=4&amp;sourceID=14","4")</f>
        <v>4</v>
      </c>
      <c r="G2914" s="4" t="str">
        <f>HYPERLINK("http://141.218.60.56/~jnz1568/getInfo.php?workbook=14_04.xlsx&amp;sheet=U0&amp;row=2914&amp;col=7&amp;number=0.00136&amp;sourceID=14","0.00136")</f>
        <v>0.00136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HYPERLINK("http://141.218.60.56/~jnz1568/getInfo.php?workbook=14_04.xlsx&amp;sheet=U0&amp;row=2915&amp;col=6&amp;number=4.1&amp;sourceID=14","4.1")</f>
        <v>4.1</v>
      </c>
      <c r="G2915" s="4" t="str">
        <f>HYPERLINK("http://141.218.60.56/~jnz1568/getInfo.php?workbook=14_04.xlsx&amp;sheet=U0&amp;row=2915&amp;col=7&amp;number=0.00137&amp;sourceID=14","0.00137")</f>
        <v>0.00137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HYPERLINK("http://141.218.60.56/~jnz1568/getInfo.php?workbook=14_04.xlsx&amp;sheet=U0&amp;row=2916&amp;col=6&amp;number=4.2&amp;sourceID=14","4.2")</f>
        <v>4.2</v>
      </c>
      <c r="G2916" s="4" t="str">
        <f>HYPERLINK("http://141.218.60.56/~jnz1568/getInfo.php?workbook=14_04.xlsx&amp;sheet=U0&amp;row=2916&amp;col=7&amp;number=0.00137&amp;sourceID=14","0.00137")</f>
        <v>0.00137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HYPERLINK("http://141.218.60.56/~jnz1568/getInfo.php?workbook=14_04.xlsx&amp;sheet=U0&amp;row=2917&amp;col=6&amp;number=4.3&amp;sourceID=14","4.3")</f>
        <v>4.3</v>
      </c>
      <c r="G2917" s="4" t="str">
        <f>HYPERLINK("http://141.218.60.56/~jnz1568/getInfo.php?workbook=14_04.xlsx&amp;sheet=U0&amp;row=2917&amp;col=7&amp;number=0.00137&amp;sourceID=14","0.00137")</f>
        <v>0.00137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HYPERLINK("http://141.218.60.56/~jnz1568/getInfo.php?workbook=14_04.xlsx&amp;sheet=U0&amp;row=2918&amp;col=6&amp;number=4.4&amp;sourceID=14","4.4")</f>
        <v>4.4</v>
      </c>
      <c r="G2918" s="4" t="str">
        <f>HYPERLINK("http://141.218.60.56/~jnz1568/getInfo.php?workbook=14_04.xlsx&amp;sheet=U0&amp;row=2918&amp;col=7&amp;number=0.00138&amp;sourceID=14","0.00138")</f>
        <v>0.00138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HYPERLINK("http://141.218.60.56/~jnz1568/getInfo.php?workbook=14_04.xlsx&amp;sheet=U0&amp;row=2919&amp;col=6&amp;number=4.5&amp;sourceID=14","4.5")</f>
        <v>4.5</v>
      </c>
      <c r="G2919" s="4" t="str">
        <f>HYPERLINK("http://141.218.60.56/~jnz1568/getInfo.php?workbook=14_04.xlsx&amp;sheet=U0&amp;row=2919&amp;col=7&amp;number=0.00139&amp;sourceID=14","0.00139")</f>
        <v>0.00139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HYPERLINK("http://141.218.60.56/~jnz1568/getInfo.php?workbook=14_04.xlsx&amp;sheet=U0&amp;row=2920&amp;col=6&amp;number=4.6&amp;sourceID=14","4.6")</f>
        <v>4.6</v>
      </c>
      <c r="G2920" s="4" t="str">
        <f>HYPERLINK("http://141.218.60.56/~jnz1568/getInfo.php?workbook=14_04.xlsx&amp;sheet=U0&amp;row=2920&amp;col=7&amp;number=0.00139&amp;sourceID=14","0.00139")</f>
        <v>0.00139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HYPERLINK("http://141.218.60.56/~jnz1568/getInfo.php?workbook=14_04.xlsx&amp;sheet=U0&amp;row=2921&amp;col=6&amp;number=4.7&amp;sourceID=14","4.7")</f>
        <v>4.7</v>
      </c>
      <c r="G2921" s="4" t="str">
        <f>HYPERLINK("http://141.218.60.56/~jnz1568/getInfo.php?workbook=14_04.xlsx&amp;sheet=U0&amp;row=2921&amp;col=7&amp;number=0.0014&amp;sourceID=14","0.0014")</f>
        <v>0.0014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HYPERLINK("http://141.218.60.56/~jnz1568/getInfo.php?workbook=14_04.xlsx&amp;sheet=U0&amp;row=2922&amp;col=6&amp;number=4.8&amp;sourceID=14","4.8")</f>
        <v>4.8</v>
      </c>
      <c r="G2922" s="4" t="str">
        <f>HYPERLINK("http://141.218.60.56/~jnz1568/getInfo.php?workbook=14_04.xlsx&amp;sheet=U0&amp;row=2922&amp;col=7&amp;number=0.00142&amp;sourceID=14","0.00142")</f>
        <v>0.00142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HYPERLINK("http://141.218.60.56/~jnz1568/getInfo.php?workbook=14_04.xlsx&amp;sheet=U0&amp;row=2923&amp;col=6&amp;number=4.9&amp;sourceID=14","4.9")</f>
        <v>4.9</v>
      </c>
      <c r="G2923" s="4" t="str">
        <f>HYPERLINK("http://141.218.60.56/~jnz1568/getInfo.php?workbook=14_04.xlsx&amp;sheet=U0&amp;row=2923&amp;col=7&amp;number=0.00143&amp;sourceID=14","0.00143")</f>
        <v>0.00143</v>
      </c>
    </row>
    <row r="2924" spans="1:7">
      <c r="A2924" s="3">
        <v>14</v>
      </c>
      <c r="B2924" s="3">
        <v>4</v>
      </c>
      <c r="C2924" s="3">
        <v>2</v>
      </c>
      <c r="D2924" s="3">
        <v>30</v>
      </c>
      <c r="E2924" s="3">
        <v>1</v>
      </c>
      <c r="F2924" s="4" t="str">
        <f>HYPERLINK("http://141.218.60.56/~jnz1568/getInfo.php?workbook=14_04.xlsx&amp;sheet=U0&amp;row=2924&amp;col=6&amp;number=3&amp;sourceID=14","3")</f>
        <v>3</v>
      </c>
      <c r="G2924" s="4" t="str">
        <f>HYPERLINK("http://141.218.60.56/~jnz1568/getInfo.php?workbook=14_04.xlsx&amp;sheet=U0&amp;row=2924&amp;col=7&amp;number=0.000404&amp;sourceID=14","0.000404")</f>
        <v>0.000404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HYPERLINK("http://141.218.60.56/~jnz1568/getInfo.php?workbook=14_04.xlsx&amp;sheet=U0&amp;row=2925&amp;col=6&amp;number=3.1&amp;sourceID=14","3.1")</f>
        <v>3.1</v>
      </c>
      <c r="G2925" s="4" t="str">
        <f>HYPERLINK("http://141.218.60.56/~jnz1568/getInfo.php?workbook=14_04.xlsx&amp;sheet=U0&amp;row=2925&amp;col=7&amp;number=0.000404&amp;sourceID=14","0.000404")</f>
        <v>0.000404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HYPERLINK("http://141.218.60.56/~jnz1568/getInfo.php?workbook=14_04.xlsx&amp;sheet=U0&amp;row=2926&amp;col=6&amp;number=3.2&amp;sourceID=14","3.2")</f>
        <v>3.2</v>
      </c>
      <c r="G2926" s="4" t="str">
        <f>HYPERLINK("http://141.218.60.56/~jnz1568/getInfo.php?workbook=14_04.xlsx&amp;sheet=U0&amp;row=2926&amp;col=7&amp;number=0.000404&amp;sourceID=14","0.000404")</f>
        <v>0.000404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HYPERLINK("http://141.218.60.56/~jnz1568/getInfo.php?workbook=14_04.xlsx&amp;sheet=U0&amp;row=2927&amp;col=6&amp;number=3.3&amp;sourceID=14","3.3")</f>
        <v>3.3</v>
      </c>
      <c r="G2927" s="4" t="str">
        <f>HYPERLINK("http://141.218.60.56/~jnz1568/getInfo.php?workbook=14_04.xlsx&amp;sheet=U0&amp;row=2927&amp;col=7&amp;number=0.000404&amp;sourceID=14","0.000404")</f>
        <v>0.000404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HYPERLINK("http://141.218.60.56/~jnz1568/getInfo.php?workbook=14_04.xlsx&amp;sheet=U0&amp;row=2928&amp;col=6&amp;number=3.4&amp;sourceID=14","3.4")</f>
        <v>3.4</v>
      </c>
      <c r="G2928" s="4" t="str">
        <f>HYPERLINK("http://141.218.60.56/~jnz1568/getInfo.php?workbook=14_04.xlsx&amp;sheet=U0&amp;row=2928&amp;col=7&amp;number=0.000404&amp;sourceID=14","0.000404")</f>
        <v>0.000404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HYPERLINK("http://141.218.60.56/~jnz1568/getInfo.php?workbook=14_04.xlsx&amp;sheet=U0&amp;row=2929&amp;col=6&amp;number=3.5&amp;sourceID=14","3.5")</f>
        <v>3.5</v>
      </c>
      <c r="G2929" s="4" t="str">
        <f>HYPERLINK("http://141.218.60.56/~jnz1568/getInfo.php?workbook=14_04.xlsx&amp;sheet=U0&amp;row=2929&amp;col=7&amp;number=0.000404&amp;sourceID=14","0.000404")</f>
        <v>0.000404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HYPERLINK("http://141.218.60.56/~jnz1568/getInfo.php?workbook=14_04.xlsx&amp;sheet=U0&amp;row=2930&amp;col=6&amp;number=3.6&amp;sourceID=14","3.6")</f>
        <v>3.6</v>
      </c>
      <c r="G2930" s="4" t="str">
        <f>HYPERLINK("http://141.218.60.56/~jnz1568/getInfo.php?workbook=14_04.xlsx&amp;sheet=U0&amp;row=2930&amp;col=7&amp;number=0.000404&amp;sourceID=14","0.000404")</f>
        <v>0.000404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HYPERLINK("http://141.218.60.56/~jnz1568/getInfo.php?workbook=14_04.xlsx&amp;sheet=U0&amp;row=2931&amp;col=6&amp;number=3.7&amp;sourceID=14","3.7")</f>
        <v>3.7</v>
      </c>
      <c r="G2931" s="4" t="str">
        <f>HYPERLINK("http://141.218.60.56/~jnz1568/getInfo.php?workbook=14_04.xlsx&amp;sheet=U0&amp;row=2931&amp;col=7&amp;number=0.000404&amp;sourceID=14","0.000404")</f>
        <v>0.000404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HYPERLINK("http://141.218.60.56/~jnz1568/getInfo.php?workbook=14_04.xlsx&amp;sheet=U0&amp;row=2932&amp;col=6&amp;number=3.8&amp;sourceID=14","3.8")</f>
        <v>3.8</v>
      </c>
      <c r="G2932" s="4" t="str">
        <f>HYPERLINK("http://141.218.60.56/~jnz1568/getInfo.php?workbook=14_04.xlsx&amp;sheet=U0&amp;row=2932&amp;col=7&amp;number=0.000404&amp;sourceID=14","0.000404")</f>
        <v>0.000404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HYPERLINK("http://141.218.60.56/~jnz1568/getInfo.php?workbook=14_04.xlsx&amp;sheet=U0&amp;row=2933&amp;col=6&amp;number=3.9&amp;sourceID=14","3.9")</f>
        <v>3.9</v>
      </c>
      <c r="G2933" s="4" t="str">
        <f>HYPERLINK("http://141.218.60.56/~jnz1568/getInfo.php?workbook=14_04.xlsx&amp;sheet=U0&amp;row=2933&amp;col=7&amp;number=0.000404&amp;sourceID=14","0.000404")</f>
        <v>0.000404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HYPERLINK("http://141.218.60.56/~jnz1568/getInfo.php?workbook=14_04.xlsx&amp;sheet=U0&amp;row=2934&amp;col=6&amp;number=4&amp;sourceID=14","4")</f>
        <v>4</v>
      </c>
      <c r="G2934" s="4" t="str">
        <f>HYPERLINK("http://141.218.60.56/~jnz1568/getInfo.php?workbook=14_04.xlsx&amp;sheet=U0&amp;row=2934&amp;col=7&amp;number=0.000404&amp;sourceID=14","0.000404")</f>
        <v>0.000404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HYPERLINK("http://141.218.60.56/~jnz1568/getInfo.php?workbook=14_04.xlsx&amp;sheet=U0&amp;row=2935&amp;col=6&amp;number=4.1&amp;sourceID=14","4.1")</f>
        <v>4.1</v>
      </c>
      <c r="G2935" s="4" t="str">
        <f>HYPERLINK("http://141.218.60.56/~jnz1568/getInfo.php?workbook=14_04.xlsx&amp;sheet=U0&amp;row=2935&amp;col=7&amp;number=0.000404&amp;sourceID=14","0.000404")</f>
        <v>0.000404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HYPERLINK("http://141.218.60.56/~jnz1568/getInfo.php?workbook=14_04.xlsx&amp;sheet=U0&amp;row=2936&amp;col=6&amp;number=4.2&amp;sourceID=14","4.2")</f>
        <v>4.2</v>
      </c>
      <c r="G2936" s="4" t="str">
        <f>HYPERLINK("http://141.218.60.56/~jnz1568/getInfo.php?workbook=14_04.xlsx&amp;sheet=U0&amp;row=2936&amp;col=7&amp;number=0.000403&amp;sourceID=14","0.000403")</f>
        <v>0.000403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HYPERLINK("http://141.218.60.56/~jnz1568/getInfo.php?workbook=14_04.xlsx&amp;sheet=U0&amp;row=2937&amp;col=6&amp;number=4.3&amp;sourceID=14","4.3")</f>
        <v>4.3</v>
      </c>
      <c r="G2937" s="4" t="str">
        <f>HYPERLINK("http://141.218.60.56/~jnz1568/getInfo.php?workbook=14_04.xlsx&amp;sheet=U0&amp;row=2937&amp;col=7&amp;number=0.000403&amp;sourceID=14","0.000403")</f>
        <v>0.000403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HYPERLINK("http://141.218.60.56/~jnz1568/getInfo.php?workbook=14_04.xlsx&amp;sheet=U0&amp;row=2938&amp;col=6&amp;number=4.4&amp;sourceID=14","4.4")</f>
        <v>4.4</v>
      </c>
      <c r="G2938" s="4" t="str">
        <f>HYPERLINK("http://141.218.60.56/~jnz1568/getInfo.php?workbook=14_04.xlsx&amp;sheet=U0&amp;row=2938&amp;col=7&amp;number=0.000403&amp;sourceID=14","0.000403")</f>
        <v>0.000403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HYPERLINK("http://141.218.60.56/~jnz1568/getInfo.php?workbook=14_04.xlsx&amp;sheet=U0&amp;row=2939&amp;col=6&amp;number=4.5&amp;sourceID=14","4.5")</f>
        <v>4.5</v>
      </c>
      <c r="G2939" s="4" t="str">
        <f>HYPERLINK("http://141.218.60.56/~jnz1568/getInfo.php?workbook=14_04.xlsx&amp;sheet=U0&amp;row=2939&amp;col=7&amp;number=0.000402&amp;sourceID=14","0.000402")</f>
        <v>0.000402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HYPERLINK("http://141.218.60.56/~jnz1568/getInfo.php?workbook=14_04.xlsx&amp;sheet=U0&amp;row=2940&amp;col=6&amp;number=4.6&amp;sourceID=14","4.6")</f>
        <v>4.6</v>
      </c>
      <c r="G2940" s="4" t="str">
        <f>HYPERLINK("http://141.218.60.56/~jnz1568/getInfo.php?workbook=14_04.xlsx&amp;sheet=U0&amp;row=2940&amp;col=7&amp;number=0.000402&amp;sourceID=14","0.000402")</f>
        <v>0.000402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HYPERLINK("http://141.218.60.56/~jnz1568/getInfo.php?workbook=14_04.xlsx&amp;sheet=U0&amp;row=2941&amp;col=6&amp;number=4.7&amp;sourceID=14","4.7")</f>
        <v>4.7</v>
      </c>
      <c r="G2941" s="4" t="str">
        <f>HYPERLINK("http://141.218.60.56/~jnz1568/getInfo.php?workbook=14_04.xlsx&amp;sheet=U0&amp;row=2941&amp;col=7&amp;number=0.000401&amp;sourceID=14","0.000401")</f>
        <v>0.000401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HYPERLINK("http://141.218.60.56/~jnz1568/getInfo.php?workbook=14_04.xlsx&amp;sheet=U0&amp;row=2942&amp;col=6&amp;number=4.8&amp;sourceID=14","4.8")</f>
        <v>4.8</v>
      </c>
      <c r="G2942" s="4" t="str">
        <f>HYPERLINK("http://141.218.60.56/~jnz1568/getInfo.php?workbook=14_04.xlsx&amp;sheet=U0&amp;row=2942&amp;col=7&amp;number=0.0004&amp;sourceID=14","0.0004")</f>
        <v>0.0004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HYPERLINK("http://141.218.60.56/~jnz1568/getInfo.php?workbook=14_04.xlsx&amp;sheet=U0&amp;row=2943&amp;col=6&amp;number=4.9&amp;sourceID=14","4.9")</f>
        <v>4.9</v>
      </c>
      <c r="G2943" s="4" t="str">
        <f>HYPERLINK("http://141.218.60.56/~jnz1568/getInfo.php?workbook=14_04.xlsx&amp;sheet=U0&amp;row=2943&amp;col=7&amp;number=0.000399&amp;sourceID=14","0.000399")</f>
        <v>0.000399</v>
      </c>
    </row>
    <row r="2944" spans="1:7">
      <c r="A2944" s="3">
        <v>14</v>
      </c>
      <c r="B2944" s="3">
        <v>4</v>
      </c>
      <c r="C2944" s="3">
        <v>2</v>
      </c>
      <c r="D2944" s="3">
        <v>31</v>
      </c>
      <c r="E2944" s="3">
        <v>1</v>
      </c>
      <c r="F2944" s="4" t="str">
        <f>HYPERLINK("http://141.218.60.56/~jnz1568/getInfo.php?workbook=14_04.xlsx&amp;sheet=U0&amp;row=2944&amp;col=6&amp;number=3&amp;sourceID=14","3")</f>
        <v>3</v>
      </c>
      <c r="G2944" s="4" t="str">
        <f>HYPERLINK("http://141.218.60.56/~jnz1568/getInfo.php?workbook=14_04.xlsx&amp;sheet=U0&amp;row=2944&amp;col=7&amp;number=0.00129&amp;sourceID=14","0.00129")</f>
        <v>0.00129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HYPERLINK("http://141.218.60.56/~jnz1568/getInfo.php?workbook=14_04.xlsx&amp;sheet=U0&amp;row=2945&amp;col=6&amp;number=3.1&amp;sourceID=14","3.1")</f>
        <v>3.1</v>
      </c>
      <c r="G2945" s="4" t="str">
        <f>HYPERLINK("http://141.218.60.56/~jnz1568/getInfo.php?workbook=14_04.xlsx&amp;sheet=U0&amp;row=2945&amp;col=7&amp;number=0.00129&amp;sourceID=14","0.00129")</f>
        <v>0.00129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HYPERLINK("http://141.218.60.56/~jnz1568/getInfo.php?workbook=14_04.xlsx&amp;sheet=U0&amp;row=2946&amp;col=6&amp;number=3.2&amp;sourceID=14","3.2")</f>
        <v>3.2</v>
      </c>
      <c r="G2946" s="4" t="str">
        <f>HYPERLINK("http://141.218.60.56/~jnz1568/getInfo.php?workbook=14_04.xlsx&amp;sheet=U0&amp;row=2946&amp;col=7&amp;number=0.00129&amp;sourceID=14","0.00129")</f>
        <v>0.00129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HYPERLINK("http://141.218.60.56/~jnz1568/getInfo.php?workbook=14_04.xlsx&amp;sheet=U0&amp;row=2947&amp;col=6&amp;number=3.3&amp;sourceID=14","3.3")</f>
        <v>3.3</v>
      </c>
      <c r="G2947" s="4" t="str">
        <f>HYPERLINK("http://141.218.60.56/~jnz1568/getInfo.php?workbook=14_04.xlsx&amp;sheet=U0&amp;row=2947&amp;col=7&amp;number=0.00129&amp;sourceID=14","0.00129")</f>
        <v>0.00129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HYPERLINK("http://141.218.60.56/~jnz1568/getInfo.php?workbook=14_04.xlsx&amp;sheet=U0&amp;row=2948&amp;col=6&amp;number=3.4&amp;sourceID=14","3.4")</f>
        <v>3.4</v>
      </c>
      <c r="G2948" s="4" t="str">
        <f>HYPERLINK("http://141.218.60.56/~jnz1568/getInfo.php?workbook=14_04.xlsx&amp;sheet=U0&amp;row=2948&amp;col=7&amp;number=0.00129&amp;sourceID=14","0.00129")</f>
        <v>0.00129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HYPERLINK("http://141.218.60.56/~jnz1568/getInfo.php?workbook=14_04.xlsx&amp;sheet=U0&amp;row=2949&amp;col=6&amp;number=3.5&amp;sourceID=14","3.5")</f>
        <v>3.5</v>
      </c>
      <c r="G2949" s="4" t="str">
        <f>HYPERLINK("http://141.218.60.56/~jnz1568/getInfo.php?workbook=14_04.xlsx&amp;sheet=U0&amp;row=2949&amp;col=7&amp;number=0.00129&amp;sourceID=14","0.00129")</f>
        <v>0.00129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HYPERLINK("http://141.218.60.56/~jnz1568/getInfo.php?workbook=14_04.xlsx&amp;sheet=U0&amp;row=2950&amp;col=6&amp;number=3.6&amp;sourceID=14","3.6")</f>
        <v>3.6</v>
      </c>
      <c r="G2950" s="4" t="str">
        <f>HYPERLINK("http://141.218.60.56/~jnz1568/getInfo.php?workbook=14_04.xlsx&amp;sheet=U0&amp;row=2950&amp;col=7&amp;number=0.00129&amp;sourceID=14","0.00129")</f>
        <v>0.00129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HYPERLINK("http://141.218.60.56/~jnz1568/getInfo.php?workbook=14_04.xlsx&amp;sheet=U0&amp;row=2951&amp;col=6&amp;number=3.7&amp;sourceID=14","3.7")</f>
        <v>3.7</v>
      </c>
      <c r="G2951" s="4" t="str">
        <f>HYPERLINK("http://141.218.60.56/~jnz1568/getInfo.php?workbook=14_04.xlsx&amp;sheet=U0&amp;row=2951&amp;col=7&amp;number=0.00129&amp;sourceID=14","0.00129")</f>
        <v>0.00129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HYPERLINK("http://141.218.60.56/~jnz1568/getInfo.php?workbook=14_04.xlsx&amp;sheet=U0&amp;row=2952&amp;col=6&amp;number=3.8&amp;sourceID=14","3.8")</f>
        <v>3.8</v>
      </c>
      <c r="G2952" s="4" t="str">
        <f>HYPERLINK("http://141.218.60.56/~jnz1568/getInfo.php?workbook=14_04.xlsx&amp;sheet=U0&amp;row=2952&amp;col=7&amp;number=0.0013&amp;sourceID=14","0.0013")</f>
        <v>0.0013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HYPERLINK("http://141.218.60.56/~jnz1568/getInfo.php?workbook=14_04.xlsx&amp;sheet=U0&amp;row=2953&amp;col=6&amp;number=3.9&amp;sourceID=14","3.9")</f>
        <v>3.9</v>
      </c>
      <c r="G2953" s="4" t="str">
        <f>HYPERLINK("http://141.218.60.56/~jnz1568/getInfo.php?workbook=14_04.xlsx&amp;sheet=U0&amp;row=2953&amp;col=7&amp;number=0.0013&amp;sourceID=14","0.0013")</f>
        <v>0.0013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HYPERLINK("http://141.218.60.56/~jnz1568/getInfo.php?workbook=14_04.xlsx&amp;sheet=U0&amp;row=2954&amp;col=6&amp;number=4&amp;sourceID=14","4")</f>
        <v>4</v>
      </c>
      <c r="G2954" s="4" t="str">
        <f>HYPERLINK("http://141.218.60.56/~jnz1568/getInfo.php?workbook=14_04.xlsx&amp;sheet=U0&amp;row=2954&amp;col=7&amp;number=0.0013&amp;sourceID=14","0.0013")</f>
        <v>0.0013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HYPERLINK("http://141.218.60.56/~jnz1568/getInfo.php?workbook=14_04.xlsx&amp;sheet=U0&amp;row=2955&amp;col=6&amp;number=4.1&amp;sourceID=14","4.1")</f>
        <v>4.1</v>
      </c>
      <c r="G2955" s="4" t="str">
        <f>HYPERLINK("http://141.218.60.56/~jnz1568/getInfo.php?workbook=14_04.xlsx&amp;sheet=U0&amp;row=2955&amp;col=7&amp;number=0.0013&amp;sourceID=14","0.0013")</f>
        <v>0.0013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HYPERLINK("http://141.218.60.56/~jnz1568/getInfo.php?workbook=14_04.xlsx&amp;sheet=U0&amp;row=2956&amp;col=6&amp;number=4.2&amp;sourceID=14","4.2")</f>
        <v>4.2</v>
      </c>
      <c r="G2956" s="4" t="str">
        <f>HYPERLINK("http://141.218.60.56/~jnz1568/getInfo.php?workbook=14_04.xlsx&amp;sheet=U0&amp;row=2956&amp;col=7&amp;number=0.00131&amp;sourceID=14","0.00131")</f>
        <v>0.00131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HYPERLINK("http://141.218.60.56/~jnz1568/getInfo.php?workbook=14_04.xlsx&amp;sheet=U0&amp;row=2957&amp;col=6&amp;number=4.3&amp;sourceID=14","4.3")</f>
        <v>4.3</v>
      </c>
      <c r="G2957" s="4" t="str">
        <f>HYPERLINK("http://141.218.60.56/~jnz1568/getInfo.php?workbook=14_04.xlsx&amp;sheet=U0&amp;row=2957&amp;col=7&amp;number=0.00131&amp;sourceID=14","0.00131")</f>
        <v>0.00131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HYPERLINK("http://141.218.60.56/~jnz1568/getInfo.php?workbook=14_04.xlsx&amp;sheet=U0&amp;row=2958&amp;col=6&amp;number=4.4&amp;sourceID=14","4.4")</f>
        <v>4.4</v>
      </c>
      <c r="G2958" s="4" t="str">
        <f>HYPERLINK("http://141.218.60.56/~jnz1568/getInfo.php?workbook=14_04.xlsx&amp;sheet=U0&amp;row=2958&amp;col=7&amp;number=0.00132&amp;sourceID=14","0.00132")</f>
        <v>0.00132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HYPERLINK("http://141.218.60.56/~jnz1568/getInfo.php?workbook=14_04.xlsx&amp;sheet=U0&amp;row=2959&amp;col=6&amp;number=4.5&amp;sourceID=14","4.5")</f>
        <v>4.5</v>
      </c>
      <c r="G2959" s="4" t="str">
        <f>HYPERLINK("http://141.218.60.56/~jnz1568/getInfo.php?workbook=14_04.xlsx&amp;sheet=U0&amp;row=2959&amp;col=7&amp;number=0.00133&amp;sourceID=14","0.00133")</f>
        <v>0.00133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HYPERLINK("http://141.218.60.56/~jnz1568/getInfo.php?workbook=14_04.xlsx&amp;sheet=U0&amp;row=2960&amp;col=6&amp;number=4.6&amp;sourceID=14","4.6")</f>
        <v>4.6</v>
      </c>
      <c r="G2960" s="4" t="str">
        <f>HYPERLINK("http://141.218.60.56/~jnz1568/getInfo.php?workbook=14_04.xlsx&amp;sheet=U0&amp;row=2960&amp;col=7&amp;number=0.00134&amp;sourceID=14","0.00134")</f>
        <v>0.00134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HYPERLINK("http://141.218.60.56/~jnz1568/getInfo.php?workbook=14_04.xlsx&amp;sheet=U0&amp;row=2961&amp;col=6&amp;number=4.7&amp;sourceID=14","4.7")</f>
        <v>4.7</v>
      </c>
      <c r="G2961" s="4" t="str">
        <f>HYPERLINK("http://141.218.60.56/~jnz1568/getInfo.php?workbook=14_04.xlsx&amp;sheet=U0&amp;row=2961&amp;col=7&amp;number=0.00135&amp;sourceID=14","0.00135")</f>
        <v>0.00135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HYPERLINK("http://141.218.60.56/~jnz1568/getInfo.php?workbook=14_04.xlsx&amp;sheet=U0&amp;row=2962&amp;col=6&amp;number=4.8&amp;sourceID=14","4.8")</f>
        <v>4.8</v>
      </c>
      <c r="G2962" s="4" t="str">
        <f>HYPERLINK("http://141.218.60.56/~jnz1568/getInfo.php?workbook=14_04.xlsx&amp;sheet=U0&amp;row=2962&amp;col=7&amp;number=0.00136&amp;sourceID=14","0.00136")</f>
        <v>0.00136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HYPERLINK("http://141.218.60.56/~jnz1568/getInfo.php?workbook=14_04.xlsx&amp;sheet=U0&amp;row=2963&amp;col=6&amp;number=4.9&amp;sourceID=14","4.9")</f>
        <v>4.9</v>
      </c>
      <c r="G2963" s="4" t="str">
        <f>HYPERLINK("http://141.218.60.56/~jnz1568/getInfo.php?workbook=14_04.xlsx&amp;sheet=U0&amp;row=2963&amp;col=7&amp;number=0.00138&amp;sourceID=14","0.00138")</f>
        <v>0.00138</v>
      </c>
    </row>
    <row r="2964" spans="1:7">
      <c r="A2964" s="3">
        <v>14</v>
      </c>
      <c r="B2964" s="3">
        <v>4</v>
      </c>
      <c r="C2964" s="3">
        <v>2</v>
      </c>
      <c r="D2964" s="3">
        <v>32</v>
      </c>
      <c r="E2964" s="3">
        <v>1</v>
      </c>
      <c r="F2964" s="4" t="str">
        <f>HYPERLINK("http://141.218.60.56/~jnz1568/getInfo.php?workbook=14_04.xlsx&amp;sheet=U0&amp;row=2964&amp;col=6&amp;number=3&amp;sourceID=14","3")</f>
        <v>3</v>
      </c>
      <c r="G2964" s="4" t="str">
        <f>HYPERLINK("http://141.218.60.56/~jnz1568/getInfo.php?workbook=14_04.xlsx&amp;sheet=U0&amp;row=2964&amp;col=7&amp;number=0.000496&amp;sourceID=14","0.000496")</f>
        <v>0.000496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HYPERLINK("http://141.218.60.56/~jnz1568/getInfo.php?workbook=14_04.xlsx&amp;sheet=U0&amp;row=2965&amp;col=6&amp;number=3.1&amp;sourceID=14","3.1")</f>
        <v>3.1</v>
      </c>
      <c r="G2965" s="4" t="str">
        <f>HYPERLINK("http://141.218.60.56/~jnz1568/getInfo.php?workbook=14_04.xlsx&amp;sheet=U0&amp;row=2965&amp;col=7&amp;number=0.000496&amp;sourceID=14","0.000496")</f>
        <v>0.000496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HYPERLINK("http://141.218.60.56/~jnz1568/getInfo.php?workbook=14_04.xlsx&amp;sheet=U0&amp;row=2966&amp;col=6&amp;number=3.2&amp;sourceID=14","3.2")</f>
        <v>3.2</v>
      </c>
      <c r="G2966" s="4" t="str">
        <f>HYPERLINK("http://141.218.60.56/~jnz1568/getInfo.php?workbook=14_04.xlsx&amp;sheet=U0&amp;row=2966&amp;col=7&amp;number=0.000496&amp;sourceID=14","0.000496")</f>
        <v>0.000496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HYPERLINK("http://141.218.60.56/~jnz1568/getInfo.php?workbook=14_04.xlsx&amp;sheet=U0&amp;row=2967&amp;col=6&amp;number=3.3&amp;sourceID=14","3.3")</f>
        <v>3.3</v>
      </c>
      <c r="G2967" s="4" t="str">
        <f>HYPERLINK("http://141.218.60.56/~jnz1568/getInfo.php?workbook=14_04.xlsx&amp;sheet=U0&amp;row=2967&amp;col=7&amp;number=0.000496&amp;sourceID=14","0.000496")</f>
        <v>0.000496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HYPERLINK("http://141.218.60.56/~jnz1568/getInfo.php?workbook=14_04.xlsx&amp;sheet=U0&amp;row=2968&amp;col=6&amp;number=3.4&amp;sourceID=14","3.4")</f>
        <v>3.4</v>
      </c>
      <c r="G2968" s="4" t="str">
        <f>HYPERLINK("http://141.218.60.56/~jnz1568/getInfo.php?workbook=14_04.xlsx&amp;sheet=U0&amp;row=2968&amp;col=7&amp;number=0.000496&amp;sourceID=14","0.000496")</f>
        <v>0.000496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HYPERLINK("http://141.218.60.56/~jnz1568/getInfo.php?workbook=14_04.xlsx&amp;sheet=U0&amp;row=2969&amp;col=6&amp;number=3.5&amp;sourceID=14","3.5")</f>
        <v>3.5</v>
      </c>
      <c r="G2969" s="4" t="str">
        <f>HYPERLINK("http://141.218.60.56/~jnz1568/getInfo.php?workbook=14_04.xlsx&amp;sheet=U0&amp;row=2969&amp;col=7&amp;number=0.000496&amp;sourceID=14","0.000496")</f>
        <v>0.000496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HYPERLINK("http://141.218.60.56/~jnz1568/getInfo.php?workbook=14_04.xlsx&amp;sheet=U0&amp;row=2970&amp;col=6&amp;number=3.6&amp;sourceID=14","3.6")</f>
        <v>3.6</v>
      </c>
      <c r="G2970" s="4" t="str">
        <f>HYPERLINK("http://141.218.60.56/~jnz1568/getInfo.php?workbook=14_04.xlsx&amp;sheet=U0&amp;row=2970&amp;col=7&amp;number=0.000496&amp;sourceID=14","0.000496")</f>
        <v>0.000496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HYPERLINK("http://141.218.60.56/~jnz1568/getInfo.php?workbook=14_04.xlsx&amp;sheet=U0&amp;row=2971&amp;col=6&amp;number=3.7&amp;sourceID=14","3.7")</f>
        <v>3.7</v>
      </c>
      <c r="G2971" s="4" t="str">
        <f>HYPERLINK("http://141.218.60.56/~jnz1568/getInfo.php?workbook=14_04.xlsx&amp;sheet=U0&amp;row=2971&amp;col=7&amp;number=0.000496&amp;sourceID=14","0.000496")</f>
        <v>0.000496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HYPERLINK("http://141.218.60.56/~jnz1568/getInfo.php?workbook=14_04.xlsx&amp;sheet=U0&amp;row=2972&amp;col=6&amp;number=3.8&amp;sourceID=14","3.8")</f>
        <v>3.8</v>
      </c>
      <c r="G2972" s="4" t="str">
        <f>HYPERLINK("http://141.218.60.56/~jnz1568/getInfo.php?workbook=14_04.xlsx&amp;sheet=U0&amp;row=2972&amp;col=7&amp;number=0.000496&amp;sourceID=14","0.000496")</f>
        <v>0.000496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HYPERLINK("http://141.218.60.56/~jnz1568/getInfo.php?workbook=14_04.xlsx&amp;sheet=U0&amp;row=2973&amp;col=6&amp;number=3.9&amp;sourceID=14","3.9")</f>
        <v>3.9</v>
      </c>
      <c r="G2973" s="4" t="str">
        <f>HYPERLINK("http://141.218.60.56/~jnz1568/getInfo.php?workbook=14_04.xlsx&amp;sheet=U0&amp;row=2973&amp;col=7&amp;number=0.000496&amp;sourceID=14","0.000496")</f>
        <v>0.000496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HYPERLINK("http://141.218.60.56/~jnz1568/getInfo.php?workbook=14_04.xlsx&amp;sheet=U0&amp;row=2974&amp;col=6&amp;number=4&amp;sourceID=14","4")</f>
        <v>4</v>
      </c>
      <c r="G2974" s="4" t="str">
        <f>HYPERLINK("http://141.218.60.56/~jnz1568/getInfo.php?workbook=14_04.xlsx&amp;sheet=U0&amp;row=2974&amp;col=7&amp;number=0.000496&amp;sourceID=14","0.000496")</f>
        <v>0.000496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HYPERLINK("http://141.218.60.56/~jnz1568/getInfo.php?workbook=14_04.xlsx&amp;sheet=U0&amp;row=2975&amp;col=6&amp;number=4.1&amp;sourceID=14","4.1")</f>
        <v>4.1</v>
      </c>
      <c r="G2975" s="4" t="str">
        <f>HYPERLINK("http://141.218.60.56/~jnz1568/getInfo.php?workbook=14_04.xlsx&amp;sheet=U0&amp;row=2975&amp;col=7&amp;number=0.000496&amp;sourceID=14","0.000496")</f>
        <v>0.000496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HYPERLINK("http://141.218.60.56/~jnz1568/getInfo.php?workbook=14_04.xlsx&amp;sheet=U0&amp;row=2976&amp;col=6&amp;number=4.2&amp;sourceID=14","4.2")</f>
        <v>4.2</v>
      </c>
      <c r="G2976" s="4" t="str">
        <f>HYPERLINK("http://141.218.60.56/~jnz1568/getInfo.php?workbook=14_04.xlsx&amp;sheet=U0&amp;row=2976&amp;col=7&amp;number=0.000495&amp;sourceID=14","0.000495")</f>
        <v>0.000495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HYPERLINK("http://141.218.60.56/~jnz1568/getInfo.php?workbook=14_04.xlsx&amp;sheet=U0&amp;row=2977&amp;col=6&amp;number=4.3&amp;sourceID=14","4.3")</f>
        <v>4.3</v>
      </c>
      <c r="G2977" s="4" t="str">
        <f>HYPERLINK("http://141.218.60.56/~jnz1568/getInfo.php?workbook=14_04.xlsx&amp;sheet=U0&amp;row=2977&amp;col=7&amp;number=0.000495&amp;sourceID=14","0.000495")</f>
        <v>0.000495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HYPERLINK("http://141.218.60.56/~jnz1568/getInfo.php?workbook=14_04.xlsx&amp;sheet=U0&amp;row=2978&amp;col=6&amp;number=4.4&amp;sourceID=14","4.4")</f>
        <v>4.4</v>
      </c>
      <c r="G2978" s="4" t="str">
        <f>HYPERLINK("http://141.218.60.56/~jnz1568/getInfo.php?workbook=14_04.xlsx&amp;sheet=U0&amp;row=2978&amp;col=7&amp;number=0.000495&amp;sourceID=14","0.000495")</f>
        <v>0.000495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HYPERLINK("http://141.218.60.56/~jnz1568/getInfo.php?workbook=14_04.xlsx&amp;sheet=U0&amp;row=2979&amp;col=6&amp;number=4.5&amp;sourceID=14","4.5")</f>
        <v>4.5</v>
      </c>
      <c r="G2979" s="4" t="str">
        <f>HYPERLINK("http://141.218.60.56/~jnz1568/getInfo.php?workbook=14_04.xlsx&amp;sheet=U0&amp;row=2979&amp;col=7&amp;number=0.000494&amp;sourceID=14","0.000494")</f>
        <v>0.000494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HYPERLINK("http://141.218.60.56/~jnz1568/getInfo.php?workbook=14_04.xlsx&amp;sheet=U0&amp;row=2980&amp;col=6&amp;number=4.6&amp;sourceID=14","4.6")</f>
        <v>4.6</v>
      </c>
      <c r="G2980" s="4" t="str">
        <f>HYPERLINK("http://141.218.60.56/~jnz1568/getInfo.php?workbook=14_04.xlsx&amp;sheet=U0&amp;row=2980&amp;col=7&amp;number=0.000493&amp;sourceID=14","0.000493")</f>
        <v>0.000493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HYPERLINK("http://141.218.60.56/~jnz1568/getInfo.php?workbook=14_04.xlsx&amp;sheet=U0&amp;row=2981&amp;col=6&amp;number=4.7&amp;sourceID=14","4.7")</f>
        <v>4.7</v>
      </c>
      <c r="G2981" s="4" t="str">
        <f>HYPERLINK("http://141.218.60.56/~jnz1568/getInfo.php?workbook=14_04.xlsx&amp;sheet=U0&amp;row=2981&amp;col=7&amp;number=0.000493&amp;sourceID=14","0.000493")</f>
        <v>0.000493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HYPERLINK("http://141.218.60.56/~jnz1568/getInfo.php?workbook=14_04.xlsx&amp;sheet=U0&amp;row=2982&amp;col=6&amp;number=4.8&amp;sourceID=14","4.8")</f>
        <v>4.8</v>
      </c>
      <c r="G2982" s="4" t="str">
        <f>HYPERLINK("http://141.218.60.56/~jnz1568/getInfo.php?workbook=14_04.xlsx&amp;sheet=U0&amp;row=2982&amp;col=7&amp;number=0.000492&amp;sourceID=14","0.000492")</f>
        <v>0.000492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HYPERLINK("http://141.218.60.56/~jnz1568/getInfo.php?workbook=14_04.xlsx&amp;sheet=U0&amp;row=2983&amp;col=6&amp;number=4.9&amp;sourceID=14","4.9")</f>
        <v>4.9</v>
      </c>
      <c r="G2983" s="4" t="str">
        <f>HYPERLINK("http://141.218.60.56/~jnz1568/getInfo.php?workbook=14_04.xlsx&amp;sheet=U0&amp;row=2983&amp;col=7&amp;number=0.00049&amp;sourceID=14","0.00049")</f>
        <v>0.00049</v>
      </c>
    </row>
    <row r="2984" spans="1:7">
      <c r="A2984" s="3">
        <v>14</v>
      </c>
      <c r="B2984" s="3">
        <v>4</v>
      </c>
      <c r="C2984" s="3">
        <v>2</v>
      </c>
      <c r="D2984" s="3">
        <v>33</v>
      </c>
      <c r="E2984" s="3">
        <v>1</v>
      </c>
      <c r="F2984" s="4" t="str">
        <f>HYPERLINK("http://141.218.60.56/~jnz1568/getInfo.php?workbook=14_04.xlsx&amp;sheet=U0&amp;row=2984&amp;col=6&amp;number=3&amp;sourceID=14","3")</f>
        <v>3</v>
      </c>
      <c r="G2984" s="4" t="str">
        <f>HYPERLINK("http://141.218.60.56/~jnz1568/getInfo.php?workbook=14_04.xlsx&amp;sheet=U0&amp;row=2984&amp;col=7&amp;number=0.0137&amp;sourceID=14","0.0137")</f>
        <v>0.0137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HYPERLINK("http://141.218.60.56/~jnz1568/getInfo.php?workbook=14_04.xlsx&amp;sheet=U0&amp;row=2985&amp;col=6&amp;number=3.1&amp;sourceID=14","3.1")</f>
        <v>3.1</v>
      </c>
      <c r="G2985" s="4" t="str">
        <f>HYPERLINK("http://141.218.60.56/~jnz1568/getInfo.php?workbook=14_04.xlsx&amp;sheet=U0&amp;row=2985&amp;col=7&amp;number=0.0137&amp;sourceID=14","0.0137")</f>
        <v>0.0137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HYPERLINK("http://141.218.60.56/~jnz1568/getInfo.php?workbook=14_04.xlsx&amp;sheet=U0&amp;row=2986&amp;col=6&amp;number=3.2&amp;sourceID=14","3.2")</f>
        <v>3.2</v>
      </c>
      <c r="G2986" s="4" t="str">
        <f>HYPERLINK("http://141.218.60.56/~jnz1568/getInfo.php?workbook=14_04.xlsx&amp;sheet=U0&amp;row=2986&amp;col=7&amp;number=0.0137&amp;sourceID=14","0.0137")</f>
        <v>0.0137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HYPERLINK("http://141.218.60.56/~jnz1568/getInfo.php?workbook=14_04.xlsx&amp;sheet=U0&amp;row=2987&amp;col=6&amp;number=3.3&amp;sourceID=14","3.3")</f>
        <v>3.3</v>
      </c>
      <c r="G2987" s="4" t="str">
        <f>HYPERLINK("http://141.218.60.56/~jnz1568/getInfo.php?workbook=14_04.xlsx&amp;sheet=U0&amp;row=2987&amp;col=7&amp;number=0.0137&amp;sourceID=14","0.0137")</f>
        <v>0.0137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HYPERLINK("http://141.218.60.56/~jnz1568/getInfo.php?workbook=14_04.xlsx&amp;sheet=U0&amp;row=2988&amp;col=6&amp;number=3.4&amp;sourceID=14","3.4")</f>
        <v>3.4</v>
      </c>
      <c r="G2988" s="4" t="str">
        <f>HYPERLINK("http://141.218.60.56/~jnz1568/getInfo.php?workbook=14_04.xlsx&amp;sheet=U0&amp;row=2988&amp;col=7&amp;number=0.0137&amp;sourceID=14","0.0137")</f>
        <v>0.0137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HYPERLINK("http://141.218.60.56/~jnz1568/getInfo.php?workbook=14_04.xlsx&amp;sheet=U0&amp;row=2989&amp;col=6&amp;number=3.5&amp;sourceID=14","3.5")</f>
        <v>3.5</v>
      </c>
      <c r="G2989" s="4" t="str">
        <f>HYPERLINK("http://141.218.60.56/~jnz1568/getInfo.php?workbook=14_04.xlsx&amp;sheet=U0&amp;row=2989&amp;col=7&amp;number=0.0137&amp;sourceID=14","0.0137")</f>
        <v>0.0137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HYPERLINK("http://141.218.60.56/~jnz1568/getInfo.php?workbook=14_04.xlsx&amp;sheet=U0&amp;row=2990&amp;col=6&amp;number=3.6&amp;sourceID=14","3.6")</f>
        <v>3.6</v>
      </c>
      <c r="G2990" s="4" t="str">
        <f>HYPERLINK("http://141.218.60.56/~jnz1568/getInfo.php?workbook=14_04.xlsx&amp;sheet=U0&amp;row=2990&amp;col=7&amp;number=0.0137&amp;sourceID=14","0.0137")</f>
        <v>0.0137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HYPERLINK("http://141.218.60.56/~jnz1568/getInfo.php?workbook=14_04.xlsx&amp;sheet=U0&amp;row=2991&amp;col=6&amp;number=3.7&amp;sourceID=14","3.7")</f>
        <v>3.7</v>
      </c>
      <c r="G2991" s="4" t="str">
        <f>HYPERLINK("http://141.218.60.56/~jnz1568/getInfo.php?workbook=14_04.xlsx&amp;sheet=U0&amp;row=2991&amp;col=7&amp;number=0.0137&amp;sourceID=14","0.0137")</f>
        <v>0.0137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HYPERLINK("http://141.218.60.56/~jnz1568/getInfo.php?workbook=14_04.xlsx&amp;sheet=U0&amp;row=2992&amp;col=6&amp;number=3.8&amp;sourceID=14","3.8")</f>
        <v>3.8</v>
      </c>
      <c r="G2992" s="4" t="str">
        <f>HYPERLINK("http://141.218.60.56/~jnz1568/getInfo.php?workbook=14_04.xlsx&amp;sheet=U0&amp;row=2992&amp;col=7&amp;number=0.0138&amp;sourceID=14","0.0138")</f>
        <v>0.0138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HYPERLINK("http://141.218.60.56/~jnz1568/getInfo.php?workbook=14_04.xlsx&amp;sheet=U0&amp;row=2993&amp;col=6&amp;number=3.9&amp;sourceID=14","3.9")</f>
        <v>3.9</v>
      </c>
      <c r="G2993" s="4" t="str">
        <f>HYPERLINK("http://141.218.60.56/~jnz1568/getInfo.php?workbook=14_04.xlsx&amp;sheet=U0&amp;row=2993&amp;col=7&amp;number=0.0138&amp;sourceID=14","0.0138")</f>
        <v>0.0138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HYPERLINK("http://141.218.60.56/~jnz1568/getInfo.php?workbook=14_04.xlsx&amp;sheet=U0&amp;row=2994&amp;col=6&amp;number=4&amp;sourceID=14","4")</f>
        <v>4</v>
      </c>
      <c r="G2994" s="4" t="str">
        <f>HYPERLINK("http://141.218.60.56/~jnz1568/getInfo.php?workbook=14_04.xlsx&amp;sheet=U0&amp;row=2994&amp;col=7&amp;number=0.0138&amp;sourceID=14","0.0138")</f>
        <v>0.0138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HYPERLINK("http://141.218.60.56/~jnz1568/getInfo.php?workbook=14_04.xlsx&amp;sheet=U0&amp;row=2995&amp;col=6&amp;number=4.1&amp;sourceID=14","4.1")</f>
        <v>4.1</v>
      </c>
      <c r="G2995" s="4" t="str">
        <f>HYPERLINK("http://141.218.60.56/~jnz1568/getInfo.php?workbook=14_04.xlsx&amp;sheet=U0&amp;row=2995&amp;col=7&amp;number=0.0138&amp;sourceID=14","0.0138")</f>
        <v>0.0138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HYPERLINK("http://141.218.60.56/~jnz1568/getInfo.php?workbook=14_04.xlsx&amp;sheet=U0&amp;row=2996&amp;col=6&amp;number=4.2&amp;sourceID=14","4.2")</f>
        <v>4.2</v>
      </c>
      <c r="G2996" s="4" t="str">
        <f>HYPERLINK("http://141.218.60.56/~jnz1568/getInfo.php?workbook=14_04.xlsx&amp;sheet=U0&amp;row=2996&amp;col=7&amp;number=0.0138&amp;sourceID=14","0.0138")</f>
        <v>0.0138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HYPERLINK("http://141.218.60.56/~jnz1568/getInfo.php?workbook=14_04.xlsx&amp;sheet=U0&amp;row=2997&amp;col=6&amp;number=4.3&amp;sourceID=14","4.3")</f>
        <v>4.3</v>
      </c>
      <c r="G2997" s="4" t="str">
        <f>HYPERLINK("http://141.218.60.56/~jnz1568/getInfo.php?workbook=14_04.xlsx&amp;sheet=U0&amp;row=2997&amp;col=7&amp;number=0.0138&amp;sourceID=14","0.0138")</f>
        <v>0.0138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HYPERLINK("http://141.218.60.56/~jnz1568/getInfo.php?workbook=14_04.xlsx&amp;sheet=U0&amp;row=2998&amp;col=6&amp;number=4.4&amp;sourceID=14","4.4")</f>
        <v>4.4</v>
      </c>
      <c r="G2998" s="4" t="str">
        <f>HYPERLINK("http://141.218.60.56/~jnz1568/getInfo.php?workbook=14_04.xlsx&amp;sheet=U0&amp;row=2998&amp;col=7&amp;number=0.0138&amp;sourceID=14","0.0138")</f>
        <v>0.0138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HYPERLINK("http://141.218.60.56/~jnz1568/getInfo.php?workbook=14_04.xlsx&amp;sheet=U0&amp;row=2999&amp;col=6&amp;number=4.5&amp;sourceID=14","4.5")</f>
        <v>4.5</v>
      </c>
      <c r="G2999" s="4" t="str">
        <f>HYPERLINK("http://141.218.60.56/~jnz1568/getInfo.php?workbook=14_04.xlsx&amp;sheet=U0&amp;row=2999&amp;col=7&amp;number=0.0138&amp;sourceID=14","0.0138")</f>
        <v>0.0138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HYPERLINK("http://141.218.60.56/~jnz1568/getInfo.php?workbook=14_04.xlsx&amp;sheet=U0&amp;row=3000&amp;col=6&amp;number=4.6&amp;sourceID=14","4.6")</f>
        <v>4.6</v>
      </c>
      <c r="G3000" s="4" t="str">
        <f>HYPERLINK("http://141.218.60.56/~jnz1568/getInfo.php?workbook=14_04.xlsx&amp;sheet=U0&amp;row=3000&amp;col=7&amp;number=0.0138&amp;sourceID=14","0.0138")</f>
        <v>0.0138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HYPERLINK("http://141.218.60.56/~jnz1568/getInfo.php?workbook=14_04.xlsx&amp;sheet=U0&amp;row=3001&amp;col=6&amp;number=4.7&amp;sourceID=14","4.7")</f>
        <v>4.7</v>
      </c>
      <c r="G3001" s="4" t="str">
        <f>HYPERLINK("http://141.218.60.56/~jnz1568/getInfo.php?workbook=14_04.xlsx&amp;sheet=U0&amp;row=3001&amp;col=7&amp;number=0.0138&amp;sourceID=14","0.0138")</f>
        <v>0.0138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HYPERLINK("http://141.218.60.56/~jnz1568/getInfo.php?workbook=14_04.xlsx&amp;sheet=U0&amp;row=3002&amp;col=6&amp;number=4.8&amp;sourceID=14","4.8")</f>
        <v>4.8</v>
      </c>
      <c r="G3002" s="4" t="str">
        <f>HYPERLINK("http://141.218.60.56/~jnz1568/getInfo.php?workbook=14_04.xlsx&amp;sheet=U0&amp;row=3002&amp;col=7&amp;number=0.0139&amp;sourceID=14","0.0139")</f>
        <v>0.0139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HYPERLINK("http://141.218.60.56/~jnz1568/getInfo.php?workbook=14_04.xlsx&amp;sheet=U0&amp;row=3003&amp;col=6&amp;number=4.9&amp;sourceID=14","4.9")</f>
        <v>4.9</v>
      </c>
      <c r="G3003" s="4" t="str">
        <f>HYPERLINK("http://141.218.60.56/~jnz1568/getInfo.php?workbook=14_04.xlsx&amp;sheet=U0&amp;row=3003&amp;col=7&amp;number=0.0139&amp;sourceID=14","0.0139")</f>
        <v>0.0139</v>
      </c>
    </row>
    <row r="3004" spans="1:7">
      <c r="A3004" s="3">
        <v>14</v>
      </c>
      <c r="B3004" s="3">
        <v>4</v>
      </c>
      <c r="C3004" s="3">
        <v>2</v>
      </c>
      <c r="D3004" s="3">
        <v>34</v>
      </c>
      <c r="E3004" s="3">
        <v>1</v>
      </c>
      <c r="F3004" s="4" t="str">
        <f>HYPERLINK("http://141.218.60.56/~jnz1568/getInfo.php?workbook=14_04.xlsx&amp;sheet=U0&amp;row=3004&amp;col=6&amp;number=3&amp;sourceID=14","3")</f>
        <v>3</v>
      </c>
      <c r="G3004" s="4" t="str">
        <f>HYPERLINK("http://141.218.60.56/~jnz1568/getInfo.php?workbook=14_04.xlsx&amp;sheet=U0&amp;row=3004&amp;col=7&amp;number=0.00377&amp;sourceID=14","0.00377")</f>
        <v>0.00377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HYPERLINK("http://141.218.60.56/~jnz1568/getInfo.php?workbook=14_04.xlsx&amp;sheet=U0&amp;row=3005&amp;col=6&amp;number=3.1&amp;sourceID=14","3.1")</f>
        <v>3.1</v>
      </c>
      <c r="G3005" s="4" t="str">
        <f>HYPERLINK("http://141.218.60.56/~jnz1568/getInfo.php?workbook=14_04.xlsx&amp;sheet=U0&amp;row=3005&amp;col=7&amp;number=0.00377&amp;sourceID=14","0.00377")</f>
        <v>0.00377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HYPERLINK("http://141.218.60.56/~jnz1568/getInfo.php?workbook=14_04.xlsx&amp;sheet=U0&amp;row=3006&amp;col=6&amp;number=3.2&amp;sourceID=14","3.2")</f>
        <v>3.2</v>
      </c>
      <c r="G3006" s="4" t="str">
        <f>HYPERLINK("http://141.218.60.56/~jnz1568/getInfo.php?workbook=14_04.xlsx&amp;sheet=U0&amp;row=3006&amp;col=7&amp;number=0.00377&amp;sourceID=14","0.00377")</f>
        <v>0.00377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HYPERLINK("http://141.218.60.56/~jnz1568/getInfo.php?workbook=14_04.xlsx&amp;sheet=U0&amp;row=3007&amp;col=6&amp;number=3.3&amp;sourceID=14","3.3")</f>
        <v>3.3</v>
      </c>
      <c r="G3007" s="4" t="str">
        <f>HYPERLINK("http://141.218.60.56/~jnz1568/getInfo.php?workbook=14_04.xlsx&amp;sheet=U0&amp;row=3007&amp;col=7&amp;number=0.00377&amp;sourceID=14","0.00377")</f>
        <v>0.00377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HYPERLINK("http://141.218.60.56/~jnz1568/getInfo.php?workbook=14_04.xlsx&amp;sheet=U0&amp;row=3008&amp;col=6&amp;number=3.4&amp;sourceID=14","3.4")</f>
        <v>3.4</v>
      </c>
      <c r="G3008" s="4" t="str">
        <f>HYPERLINK("http://141.218.60.56/~jnz1568/getInfo.php?workbook=14_04.xlsx&amp;sheet=U0&amp;row=3008&amp;col=7&amp;number=0.00377&amp;sourceID=14","0.00377")</f>
        <v>0.00377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HYPERLINK("http://141.218.60.56/~jnz1568/getInfo.php?workbook=14_04.xlsx&amp;sheet=U0&amp;row=3009&amp;col=6&amp;number=3.5&amp;sourceID=14","3.5")</f>
        <v>3.5</v>
      </c>
      <c r="G3009" s="4" t="str">
        <f>HYPERLINK("http://141.218.60.56/~jnz1568/getInfo.php?workbook=14_04.xlsx&amp;sheet=U0&amp;row=3009&amp;col=7&amp;number=0.00377&amp;sourceID=14","0.00377")</f>
        <v>0.00377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HYPERLINK("http://141.218.60.56/~jnz1568/getInfo.php?workbook=14_04.xlsx&amp;sheet=U0&amp;row=3010&amp;col=6&amp;number=3.6&amp;sourceID=14","3.6")</f>
        <v>3.6</v>
      </c>
      <c r="G3010" s="4" t="str">
        <f>HYPERLINK("http://141.218.60.56/~jnz1568/getInfo.php?workbook=14_04.xlsx&amp;sheet=U0&amp;row=3010&amp;col=7&amp;number=0.00377&amp;sourceID=14","0.00377")</f>
        <v>0.00377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HYPERLINK("http://141.218.60.56/~jnz1568/getInfo.php?workbook=14_04.xlsx&amp;sheet=U0&amp;row=3011&amp;col=6&amp;number=3.7&amp;sourceID=14","3.7")</f>
        <v>3.7</v>
      </c>
      <c r="G3011" s="4" t="str">
        <f>HYPERLINK("http://141.218.60.56/~jnz1568/getInfo.php?workbook=14_04.xlsx&amp;sheet=U0&amp;row=3011&amp;col=7&amp;number=0.00377&amp;sourceID=14","0.00377")</f>
        <v>0.00377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HYPERLINK("http://141.218.60.56/~jnz1568/getInfo.php?workbook=14_04.xlsx&amp;sheet=U0&amp;row=3012&amp;col=6&amp;number=3.8&amp;sourceID=14","3.8")</f>
        <v>3.8</v>
      </c>
      <c r="G3012" s="4" t="str">
        <f>HYPERLINK("http://141.218.60.56/~jnz1568/getInfo.php?workbook=14_04.xlsx&amp;sheet=U0&amp;row=3012&amp;col=7&amp;number=0.00377&amp;sourceID=14","0.00377")</f>
        <v>0.00377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HYPERLINK("http://141.218.60.56/~jnz1568/getInfo.php?workbook=14_04.xlsx&amp;sheet=U0&amp;row=3013&amp;col=6&amp;number=3.9&amp;sourceID=14","3.9")</f>
        <v>3.9</v>
      </c>
      <c r="G3013" s="4" t="str">
        <f>HYPERLINK("http://141.218.60.56/~jnz1568/getInfo.php?workbook=14_04.xlsx&amp;sheet=U0&amp;row=3013&amp;col=7&amp;number=0.00377&amp;sourceID=14","0.00377")</f>
        <v>0.00377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HYPERLINK("http://141.218.60.56/~jnz1568/getInfo.php?workbook=14_04.xlsx&amp;sheet=U0&amp;row=3014&amp;col=6&amp;number=4&amp;sourceID=14","4")</f>
        <v>4</v>
      </c>
      <c r="G3014" s="4" t="str">
        <f>HYPERLINK("http://141.218.60.56/~jnz1568/getInfo.php?workbook=14_04.xlsx&amp;sheet=U0&amp;row=3014&amp;col=7&amp;number=0.00376&amp;sourceID=14","0.00376")</f>
        <v>0.00376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HYPERLINK("http://141.218.60.56/~jnz1568/getInfo.php?workbook=14_04.xlsx&amp;sheet=U0&amp;row=3015&amp;col=6&amp;number=4.1&amp;sourceID=14","4.1")</f>
        <v>4.1</v>
      </c>
      <c r="G3015" s="4" t="str">
        <f>HYPERLINK("http://141.218.60.56/~jnz1568/getInfo.php?workbook=14_04.xlsx&amp;sheet=U0&amp;row=3015&amp;col=7&amp;number=0.00376&amp;sourceID=14","0.00376")</f>
        <v>0.00376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HYPERLINK("http://141.218.60.56/~jnz1568/getInfo.php?workbook=14_04.xlsx&amp;sheet=U0&amp;row=3016&amp;col=6&amp;number=4.2&amp;sourceID=14","4.2")</f>
        <v>4.2</v>
      </c>
      <c r="G3016" s="4" t="str">
        <f>HYPERLINK("http://141.218.60.56/~jnz1568/getInfo.php?workbook=14_04.xlsx&amp;sheet=U0&amp;row=3016&amp;col=7&amp;number=0.00376&amp;sourceID=14","0.00376")</f>
        <v>0.00376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HYPERLINK("http://141.218.60.56/~jnz1568/getInfo.php?workbook=14_04.xlsx&amp;sheet=U0&amp;row=3017&amp;col=6&amp;number=4.3&amp;sourceID=14","4.3")</f>
        <v>4.3</v>
      </c>
      <c r="G3017" s="4" t="str">
        <f>HYPERLINK("http://141.218.60.56/~jnz1568/getInfo.php?workbook=14_04.xlsx&amp;sheet=U0&amp;row=3017&amp;col=7&amp;number=0.00376&amp;sourceID=14","0.00376")</f>
        <v>0.00376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HYPERLINK("http://141.218.60.56/~jnz1568/getInfo.php?workbook=14_04.xlsx&amp;sheet=U0&amp;row=3018&amp;col=6&amp;number=4.4&amp;sourceID=14","4.4")</f>
        <v>4.4</v>
      </c>
      <c r="G3018" s="4" t="str">
        <f>HYPERLINK("http://141.218.60.56/~jnz1568/getInfo.php?workbook=14_04.xlsx&amp;sheet=U0&amp;row=3018&amp;col=7&amp;number=0.00375&amp;sourceID=14","0.00375")</f>
        <v>0.00375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HYPERLINK("http://141.218.60.56/~jnz1568/getInfo.php?workbook=14_04.xlsx&amp;sheet=U0&amp;row=3019&amp;col=6&amp;number=4.5&amp;sourceID=14","4.5")</f>
        <v>4.5</v>
      </c>
      <c r="G3019" s="4" t="str">
        <f>HYPERLINK("http://141.218.60.56/~jnz1568/getInfo.php?workbook=14_04.xlsx&amp;sheet=U0&amp;row=3019&amp;col=7&amp;number=0.00375&amp;sourceID=14","0.00375")</f>
        <v>0.00375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HYPERLINK("http://141.218.60.56/~jnz1568/getInfo.php?workbook=14_04.xlsx&amp;sheet=U0&amp;row=3020&amp;col=6&amp;number=4.6&amp;sourceID=14","4.6")</f>
        <v>4.6</v>
      </c>
      <c r="G3020" s="4" t="str">
        <f>HYPERLINK("http://141.218.60.56/~jnz1568/getInfo.php?workbook=14_04.xlsx&amp;sheet=U0&amp;row=3020&amp;col=7&amp;number=0.00375&amp;sourceID=14","0.00375")</f>
        <v>0.00375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HYPERLINK("http://141.218.60.56/~jnz1568/getInfo.php?workbook=14_04.xlsx&amp;sheet=U0&amp;row=3021&amp;col=6&amp;number=4.7&amp;sourceID=14","4.7")</f>
        <v>4.7</v>
      </c>
      <c r="G3021" s="4" t="str">
        <f>HYPERLINK("http://141.218.60.56/~jnz1568/getInfo.php?workbook=14_04.xlsx&amp;sheet=U0&amp;row=3021&amp;col=7&amp;number=0.00374&amp;sourceID=14","0.00374")</f>
        <v>0.00374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HYPERLINK("http://141.218.60.56/~jnz1568/getInfo.php?workbook=14_04.xlsx&amp;sheet=U0&amp;row=3022&amp;col=6&amp;number=4.8&amp;sourceID=14","4.8")</f>
        <v>4.8</v>
      </c>
      <c r="G3022" s="4" t="str">
        <f>HYPERLINK("http://141.218.60.56/~jnz1568/getInfo.php?workbook=14_04.xlsx&amp;sheet=U0&amp;row=3022&amp;col=7&amp;number=0.00373&amp;sourceID=14","0.00373")</f>
        <v>0.00373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HYPERLINK("http://141.218.60.56/~jnz1568/getInfo.php?workbook=14_04.xlsx&amp;sheet=U0&amp;row=3023&amp;col=6&amp;number=4.9&amp;sourceID=14","4.9")</f>
        <v>4.9</v>
      </c>
      <c r="G3023" s="4" t="str">
        <f>HYPERLINK("http://141.218.60.56/~jnz1568/getInfo.php?workbook=14_04.xlsx&amp;sheet=U0&amp;row=3023&amp;col=7&amp;number=0.00372&amp;sourceID=14","0.00372")</f>
        <v>0.00372</v>
      </c>
    </row>
    <row r="3024" spans="1:7">
      <c r="A3024" s="3">
        <v>14</v>
      </c>
      <c r="B3024" s="3">
        <v>4</v>
      </c>
      <c r="C3024" s="3">
        <v>2</v>
      </c>
      <c r="D3024" s="3">
        <v>35</v>
      </c>
      <c r="E3024" s="3">
        <v>1</v>
      </c>
      <c r="F3024" s="4" t="str">
        <f>HYPERLINK("http://141.218.60.56/~jnz1568/getInfo.php?workbook=14_04.xlsx&amp;sheet=U0&amp;row=3024&amp;col=6&amp;number=3&amp;sourceID=14","3")</f>
        <v>3</v>
      </c>
      <c r="G3024" s="4" t="str">
        <f>HYPERLINK("http://141.218.60.56/~jnz1568/getInfo.php?workbook=14_04.xlsx&amp;sheet=U0&amp;row=3024&amp;col=7&amp;number=0.00577&amp;sourceID=14","0.00577")</f>
        <v>0.00577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HYPERLINK("http://141.218.60.56/~jnz1568/getInfo.php?workbook=14_04.xlsx&amp;sheet=U0&amp;row=3025&amp;col=6&amp;number=3.1&amp;sourceID=14","3.1")</f>
        <v>3.1</v>
      </c>
      <c r="G3025" s="4" t="str">
        <f>HYPERLINK("http://141.218.60.56/~jnz1568/getInfo.php?workbook=14_04.xlsx&amp;sheet=U0&amp;row=3025&amp;col=7&amp;number=0.00577&amp;sourceID=14","0.00577")</f>
        <v>0.00577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HYPERLINK("http://141.218.60.56/~jnz1568/getInfo.php?workbook=14_04.xlsx&amp;sheet=U0&amp;row=3026&amp;col=6&amp;number=3.2&amp;sourceID=14","3.2")</f>
        <v>3.2</v>
      </c>
      <c r="G3026" s="4" t="str">
        <f>HYPERLINK("http://141.218.60.56/~jnz1568/getInfo.php?workbook=14_04.xlsx&amp;sheet=U0&amp;row=3026&amp;col=7&amp;number=0.00577&amp;sourceID=14","0.00577")</f>
        <v>0.00577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HYPERLINK("http://141.218.60.56/~jnz1568/getInfo.php?workbook=14_04.xlsx&amp;sheet=U0&amp;row=3027&amp;col=6&amp;number=3.3&amp;sourceID=14","3.3")</f>
        <v>3.3</v>
      </c>
      <c r="G3027" s="4" t="str">
        <f>HYPERLINK("http://141.218.60.56/~jnz1568/getInfo.php?workbook=14_04.xlsx&amp;sheet=U0&amp;row=3027&amp;col=7&amp;number=0.00577&amp;sourceID=14","0.00577")</f>
        <v>0.00577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HYPERLINK("http://141.218.60.56/~jnz1568/getInfo.php?workbook=14_04.xlsx&amp;sheet=U0&amp;row=3028&amp;col=6&amp;number=3.4&amp;sourceID=14","3.4")</f>
        <v>3.4</v>
      </c>
      <c r="G3028" s="4" t="str">
        <f>HYPERLINK("http://141.218.60.56/~jnz1568/getInfo.php?workbook=14_04.xlsx&amp;sheet=U0&amp;row=3028&amp;col=7&amp;number=0.00577&amp;sourceID=14","0.00577")</f>
        <v>0.00577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HYPERLINK("http://141.218.60.56/~jnz1568/getInfo.php?workbook=14_04.xlsx&amp;sheet=U0&amp;row=3029&amp;col=6&amp;number=3.5&amp;sourceID=14","3.5")</f>
        <v>3.5</v>
      </c>
      <c r="G3029" s="4" t="str">
        <f>HYPERLINK("http://141.218.60.56/~jnz1568/getInfo.php?workbook=14_04.xlsx&amp;sheet=U0&amp;row=3029&amp;col=7&amp;number=0.00577&amp;sourceID=14","0.00577")</f>
        <v>0.00577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HYPERLINK("http://141.218.60.56/~jnz1568/getInfo.php?workbook=14_04.xlsx&amp;sheet=U0&amp;row=3030&amp;col=6&amp;number=3.6&amp;sourceID=14","3.6")</f>
        <v>3.6</v>
      </c>
      <c r="G3030" s="4" t="str">
        <f>HYPERLINK("http://141.218.60.56/~jnz1568/getInfo.php?workbook=14_04.xlsx&amp;sheet=U0&amp;row=3030&amp;col=7&amp;number=0.00577&amp;sourceID=14","0.00577")</f>
        <v>0.00577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HYPERLINK("http://141.218.60.56/~jnz1568/getInfo.php?workbook=14_04.xlsx&amp;sheet=U0&amp;row=3031&amp;col=6&amp;number=3.7&amp;sourceID=14","3.7")</f>
        <v>3.7</v>
      </c>
      <c r="G3031" s="4" t="str">
        <f>HYPERLINK("http://141.218.60.56/~jnz1568/getInfo.php?workbook=14_04.xlsx&amp;sheet=U0&amp;row=3031&amp;col=7&amp;number=0.00577&amp;sourceID=14","0.00577")</f>
        <v>0.00577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HYPERLINK("http://141.218.60.56/~jnz1568/getInfo.php?workbook=14_04.xlsx&amp;sheet=U0&amp;row=3032&amp;col=6&amp;number=3.8&amp;sourceID=14","3.8")</f>
        <v>3.8</v>
      </c>
      <c r="G3032" s="4" t="str">
        <f>HYPERLINK("http://141.218.60.56/~jnz1568/getInfo.php?workbook=14_04.xlsx&amp;sheet=U0&amp;row=3032&amp;col=7&amp;number=0.00578&amp;sourceID=14","0.00578")</f>
        <v>0.00578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HYPERLINK("http://141.218.60.56/~jnz1568/getInfo.php?workbook=14_04.xlsx&amp;sheet=U0&amp;row=3033&amp;col=6&amp;number=3.9&amp;sourceID=14","3.9")</f>
        <v>3.9</v>
      </c>
      <c r="G3033" s="4" t="str">
        <f>HYPERLINK("http://141.218.60.56/~jnz1568/getInfo.php?workbook=14_04.xlsx&amp;sheet=U0&amp;row=3033&amp;col=7&amp;number=0.00578&amp;sourceID=14","0.00578")</f>
        <v>0.00578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HYPERLINK("http://141.218.60.56/~jnz1568/getInfo.php?workbook=14_04.xlsx&amp;sheet=U0&amp;row=3034&amp;col=6&amp;number=4&amp;sourceID=14","4")</f>
        <v>4</v>
      </c>
      <c r="G3034" s="4" t="str">
        <f>HYPERLINK("http://141.218.60.56/~jnz1568/getInfo.php?workbook=14_04.xlsx&amp;sheet=U0&amp;row=3034&amp;col=7&amp;number=0.00578&amp;sourceID=14","0.00578")</f>
        <v>0.00578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HYPERLINK("http://141.218.60.56/~jnz1568/getInfo.php?workbook=14_04.xlsx&amp;sheet=U0&amp;row=3035&amp;col=6&amp;number=4.1&amp;sourceID=14","4.1")</f>
        <v>4.1</v>
      </c>
      <c r="G3035" s="4" t="str">
        <f>HYPERLINK("http://141.218.60.56/~jnz1568/getInfo.php?workbook=14_04.xlsx&amp;sheet=U0&amp;row=3035&amp;col=7&amp;number=0.00578&amp;sourceID=14","0.00578")</f>
        <v>0.00578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HYPERLINK("http://141.218.60.56/~jnz1568/getInfo.php?workbook=14_04.xlsx&amp;sheet=U0&amp;row=3036&amp;col=6&amp;number=4.2&amp;sourceID=14","4.2")</f>
        <v>4.2</v>
      </c>
      <c r="G3036" s="4" t="str">
        <f>HYPERLINK("http://141.218.60.56/~jnz1568/getInfo.php?workbook=14_04.xlsx&amp;sheet=U0&amp;row=3036&amp;col=7&amp;number=0.00579&amp;sourceID=14","0.00579")</f>
        <v>0.00579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HYPERLINK("http://141.218.60.56/~jnz1568/getInfo.php?workbook=14_04.xlsx&amp;sheet=U0&amp;row=3037&amp;col=6&amp;number=4.3&amp;sourceID=14","4.3")</f>
        <v>4.3</v>
      </c>
      <c r="G3037" s="4" t="str">
        <f>HYPERLINK("http://141.218.60.56/~jnz1568/getInfo.php?workbook=14_04.xlsx&amp;sheet=U0&amp;row=3037&amp;col=7&amp;number=0.00579&amp;sourceID=14","0.00579")</f>
        <v>0.00579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HYPERLINK("http://141.218.60.56/~jnz1568/getInfo.php?workbook=14_04.xlsx&amp;sheet=U0&amp;row=3038&amp;col=6&amp;number=4.4&amp;sourceID=14","4.4")</f>
        <v>4.4</v>
      </c>
      <c r="G3038" s="4" t="str">
        <f>HYPERLINK("http://141.218.60.56/~jnz1568/getInfo.php?workbook=14_04.xlsx&amp;sheet=U0&amp;row=3038&amp;col=7&amp;number=0.0058&amp;sourceID=14","0.0058")</f>
        <v>0.0058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HYPERLINK("http://141.218.60.56/~jnz1568/getInfo.php?workbook=14_04.xlsx&amp;sheet=U0&amp;row=3039&amp;col=6&amp;number=4.5&amp;sourceID=14","4.5")</f>
        <v>4.5</v>
      </c>
      <c r="G3039" s="4" t="str">
        <f>HYPERLINK("http://141.218.60.56/~jnz1568/getInfo.php?workbook=14_04.xlsx&amp;sheet=U0&amp;row=3039&amp;col=7&amp;number=0.0058&amp;sourceID=14","0.0058")</f>
        <v>0.0058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HYPERLINK("http://141.218.60.56/~jnz1568/getInfo.php?workbook=14_04.xlsx&amp;sheet=U0&amp;row=3040&amp;col=6&amp;number=4.6&amp;sourceID=14","4.6")</f>
        <v>4.6</v>
      </c>
      <c r="G3040" s="4" t="str">
        <f>HYPERLINK("http://141.218.60.56/~jnz1568/getInfo.php?workbook=14_04.xlsx&amp;sheet=U0&amp;row=3040&amp;col=7&amp;number=0.00581&amp;sourceID=14","0.00581")</f>
        <v>0.00581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HYPERLINK("http://141.218.60.56/~jnz1568/getInfo.php?workbook=14_04.xlsx&amp;sheet=U0&amp;row=3041&amp;col=6&amp;number=4.7&amp;sourceID=14","4.7")</f>
        <v>4.7</v>
      </c>
      <c r="G3041" s="4" t="str">
        <f>HYPERLINK("http://141.218.60.56/~jnz1568/getInfo.php?workbook=14_04.xlsx&amp;sheet=U0&amp;row=3041&amp;col=7&amp;number=0.00583&amp;sourceID=14","0.00583")</f>
        <v>0.00583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HYPERLINK("http://141.218.60.56/~jnz1568/getInfo.php?workbook=14_04.xlsx&amp;sheet=U0&amp;row=3042&amp;col=6&amp;number=4.8&amp;sourceID=14","4.8")</f>
        <v>4.8</v>
      </c>
      <c r="G3042" s="4" t="str">
        <f>HYPERLINK("http://141.218.60.56/~jnz1568/getInfo.php?workbook=14_04.xlsx&amp;sheet=U0&amp;row=3042&amp;col=7&amp;number=0.00584&amp;sourceID=14","0.00584")</f>
        <v>0.00584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HYPERLINK("http://141.218.60.56/~jnz1568/getInfo.php?workbook=14_04.xlsx&amp;sheet=U0&amp;row=3043&amp;col=6&amp;number=4.9&amp;sourceID=14","4.9")</f>
        <v>4.9</v>
      </c>
      <c r="G3043" s="4" t="str">
        <f>HYPERLINK("http://141.218.60.56/~jnz1568/getInfo.php?workbook=14_04.xlsx&amp;sheet=U0&amp;row=3043&amp;col=7&amp;number=0.00586&amp;sourceID=14","0.00586")</f>
        <v>0.00586</v>
      </c>
    </row>
    <row r="3044" spans="1:7">
      <c r="A3044" s="3">
        <v>14</v>
      </c>
      <c r="B3044" s="3">
        <v>4</v>
      </c>
      <c r="C3044" s="3">
        <v>2</v>
      </c>
      <c r="D3044" s="3">
        <v>36</v>
      </c>
      <c r="E3044" s="3">
        <v>1</v>
      </c>
      <c r="F3044" s="4" t="str">
        <f>HYPERLINK("http://141.218.60.56/~jnz1568/getInfo.php?workbook=14_04.xlsx&amp;sheet=U0&amp;row=3044&amp;col=6&amp;number=3&amp;sourceID=14","3")</f>
        <v>3</v>
      </c>
      <c r="G3044" s="4" t="str">
        <f>HYPERLINK("http://141.218.60.56/~jnz1568/getInfo.php?workbook=14_04.xlsx&amp;sheet=U0&amp;row=3044&amp;col=7&amp;number=2.03e-05&amp;sourceID=14","2.03e-05")</f>
        <v>2.03e-05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HYPERLINK("http://141.218.60.56/~jnz1568/getInfo.php?workbook=14_04.xlsx&amp;sheet=U0&amp;row=3045&amp;col=6&amp;number=3.1&amp;sourceID=14","3.1")</f>
        <v>3.1</v>
      </c>
      <c r="G3045" s="4" t="str">
        <f>HYPERLINK("http://141.218.60.56/~jnz1568/getInfo.php?workbook=14_04.xlsx&amp;sheet=U0&amp;row=3045&amp;col=7&amp;number=2.03e-05&amp;sourceID=14","2.03e-05")</f>
        <v>2.03e-05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HYPERLINK("http://141.218.60.56/~jnz1568/getInfo.php?workbook=14_04.xlsx&amp;sheet=U0&amp;row=3046&amp;col=6&amp;number=3.2&amp;sourceID=14","3.2")</f>
        <v>3.2</v>
      </c>
      <c r="G3046" s="4" t="str">
        <f>HYPERLINK("http://141.218.60.56/~jnz1568/getInfo.php?workbook=14_04.xlsx&amp;sheet=U0&amp;row=3046&amp;col=7&amp;number=2.03e-05&amp;sourceID=14","2.03e-05")</f>
        <v>2.03e-05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HYPERLINK("http://141.218.60.56/~jnz1568/getInfo.php?workbook=14_04.xlsx&amp;sheet=U0&amp;row=3047&amp;col=6&amp;number=3.3&amp;sourceID=14","3.3")</f>
        <v>3.3</v>
      </c>
      <c r="G3047" s="4" t="str">
        <f>HYPERLINK("http://141.218.60.56/~jnz1568/getInfo.php?workbook=14_04.xlsx&amp;sheet=U0&amp;row=3047&amp;col=7&amp;number=2.03e-05&amp;sourceID=14","2.03e-05")</f>
        <v>2.03e-05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HYPERLINK("http://141.218.60.56/~jnz1568/getInfo.php?workbook=14_04.xlsx&amp;sheet=U0&amp;row=3048&amp;col=6&amp;number=3.4&amp;sourceID=14","3.4")</f>
        <v>3.4</v>
      </c>
      <c r="G3048" s="4" t="str">
        <f>HYPERLINK("http://141.218.60.56/~jnz1568/getInfo.php?workbook=14_04.xlsx&amp;sheet=U0&amp;row=3048&amp;col=7&amp;number=2.03e-05&amp;sourceID=14","2.03e-05")</f>
        <v>2.03e-05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HYPERLINK("http://141.218.60.56/~jnz1568/getInfo.php?workbook=14_04.xlsx&amp;sheet=U0&amp;row=3049&amp;col=6&amp;number=3.5&amp;sourceID=14","3.5")</f>
        <v>3.5</v>
      </c>
      <c r="G3049" s="4" t="str">
        <f>HYPERLINK("http://141.218.60.56/~jnz1568/getInfo.php?workbook=14_04.xlsx&amp;sheet=U0&amp;row=3049&amp;col=7&amp;number=2.03e-05&amp;sourceID=14","2.03e-05")</f>
        <v>2.03e-05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HYPERLINK("http://141.218.60.56/~jnz1568/getInfo.php?workbook=14_04.xlsx&amp;sheet=U0&amp;row=3050&amp;col=6&amp;number=3.6&amp;sourceID=14","3.6")</f>
        <v>3.6</v>
      </c>
      <c r="G3050" s="4" t="str">
        <f>HYPERLINK("http://141.218.60.56/~jnz1568/getInfo.php?workbook=14_04.xlsx&amp;sheet=U0&amp;row=3050&amp;col=7&amp;number=2.03e-05&amp;sourceID=14","2.03e-05")</f>
        <v>2.03e-05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HYPERLINK("http://141.218.60.56/~jnz1568/getInfo.php?workbook=14_04.xlsx&amp;sheet=U0&amp;row=3051&amp;col=6&amp;number=3.7&amp;sourceID=14","3.7")</f>
        <v>3.7</v>
      </c>
      <c r="G3051" s="4" t="str">
        <f>HYPERLINK("http://141.218.60.56/~jnz1568/getInfo.php?workbook=14_04.xlsx&amp;sheet=U0&amp;row=3051&amp;col=7&amp;number=2.03e-05&amp;sourceID=14","2.03e-05")</f>
        <v>2.03e-05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HYPERLINK("http://141.218.60.56/~jnz1568/getInfo.php?workbook=14_04.xlsx&amp;sheet=U0&amp;row=3052&amp;col=6&amp;number=3.8&amp;sourceID=14","3.8")</f>
        <v>3.8</v>
      </c>
      <c r="G3052" s="4" t="str">
        <f>HYPERLINK("http://141.218.60.56/~jnz1568/getInfo.php?workbook=14_04.xlsx&amp;sheet=U0&amp;row=3052&amp;col=7&amp;number=2.03e-05&amp;sourceID=14","2.03e-05")</f>
        <v>2.03e-05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HYPERLINK("http://141.218.60.56/~jnz1568/getInfo.php?workbook=14_04.xlsx&amp;sheet=U0&amp;row=3053&amp;col=6&amp;number=3.9&amp;sourceID=14","3.9")</f>
        <v>3.9</v>
      </c>
      <c r="G3053" s="4" t="str">
        <f>HYPERLINK("http://141.218.60.56/~jnz1568/getInfo.php?workbook=14_04.xlsx&amp;sheet=U0&amp;row=3053&amp;col=7&amp;number=2.03e-05&amp;sourceID=14","2.03e-05")</f>
        <v>2.03e-05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HYPERLINK("http://141.218.60.56/~jnz1568/getInfo.php?workbook=14_04.xlsx&amp;sheet=U0&amp;row=3054&amp;col=6&amp;number=4&amp;sourceID=14","4")</f>
        <v>4</v>
      </c>
      <c r="G3054" s="4" t="str">
        <f>HYPERLINK("http://141.218.60.56/~jnz1568/getInfo.php?workbook=14_04.xlsx&amp;sheet=U0&amp;row=3054&amp;col=7&amp;number=2.03e-05&amp;sourceID=14","2.03e-05")</f>
        <v>2.03e-05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HYPERLINK("http://141.218.60.56/~jnz1568/getInfo.php?workbook=14_04.xlsx&amp;sheet=U0&amp;row=3055&amp;col=6&amp;number=4.1&amp;sourceID=14","4.1")</f>
        <v>4.1</v>
      </c>
      <c r="G3055" s="4" t="str">
        <f>HYPERLINK("http://141.218.60.56/~jnz1568/getInfo.php?workbook=14_04.xlsx&amp;sheet=U0&amp;row=3055&amp;col=7&amp;number=2.03e-05&amp;sourceID=14","2.03e-05")</f>
        <v>2.03e-05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HYPERLINK("http://141.218.60.56/~jnz1568/getInfo.php?workbook=14_04.xlsx&amp;sheet=U0&amp;row=3056&amp;col=6&amp;number=4.2&amp;sourceID=14","4.2")</f>
        <v>4.2</v>
      </c>
      <c r="G3056" s="4" t="str">
        <f>HYPERLINK("http://141.218.60.56/~jnz1568/getInfo.php?workbook=14_04.xlsx&amp;sheet=U0&amp;row=3056&amp;col=7&amp;number=2.03e-05&amp;sourceID=14","2.03e-05")</f>
        <v>2.03e-05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HYPERLINK("http://141.218.60.56/~jnz1568/getInfo.php?workbook=14_04.xlsx&amp;sheet=U0&amp;row=3057&amp;col=6&amp;number=4.3&amp;sourceID=14","4.3")</f>
        <v>4.3</v>
      </c>
      <c r="G3057" s="4" t="str">
        <f>HYPERLINK("http://141.218.60.56/~jnz1568/getInfo.php?workbook=14_04.xlsx&amp;sheet=U0&amp;row=3057&amp;col=7&amp;number=2.03e-05&amp;sourceID=14","2.03e-05")</f>
        <v>2.03e-05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HYPERLINK("http://141.218.60.56/~jnz1568/getInfo.php?workbook=14_04.xlsx&amp;sheet=U0&amp;row=3058&amp;col=6&amp;number=4.4&amp;sourceID=14","4.4")</f>
        <v>4.4</v>
      </c>
      <c r="G3058" s="4" t="str">
        <f>HYPERLINK("http://141.218.60.56/~jnz1568/getInfo.php?workbook=14_04.xlsx&amp;sheet=U0&amp;row=3058&amp;col=7&amp;number=2.03e-05&amp;sourceID=14","2.03e-05")</f>
        <v>2.03e-05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HYPERLINK("http://141.218.60.56/~jnz1568/getInfo.php?workbook=14_04.xlsx&amp;sheet=U0&amp;row=3059&amp;col=6&amp;number=4.5&amp;sourceID=14","4.5")</f>
        <v>4.5</v>
      </c>
      <c r="G3059" s="4" t="str">
        <f>HYPERLINK("http://141.218.60.56/~jnz1568/getInfo.php?workbook=14_04.xlsx&amp;sheet=U0&amp;row=3059&amp;col=7&amp;number=2.02e-05&amp;sourceID=14","2.02e-05")</f>
        <v>2.02e-05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HYPERLINK("http://141.218.60.56/~jnz1568/getInfo.php?workbook=14_04.xlsx&amp;sheet=U0&amp;row=3060&amp;col=6&amp;number=4.6&amp;sourceID=14","4.6")</f>
        <v>4.6</v>
      </c>
      <c r="G3060" s="4" t="str">
        <f>HYPERLINK("http://141.218.60.56/~jnz1568/getInfo.php?workbook=14_04.xlsx&amp;sheet=U0&amp;row=3060&amp;col=7&amp;number=2.02e-05&amp;sourceID=14","2.02e-05")</f>
        <v>2.02e-05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HYPERLINK("http://141.218.60.56/~jnz1568/getInfo.php?workbook=14_04.xlsx&amp;sheet=U0&amp;row=3061&amp;col=6&amp;number=4.7&amp;sourceID=14","4.7")</f>
        <v>4.7</v>
      </c>
      <c r="G3061" s="4" t="str">
        <f>HYPERLINK("http://141.218.60.56/~jnz1568/getInfo.php?workbook=14_04.xlsx&amp;sheet=U0&amp;row=3061&amp;col=7&amp;number=2.02e-05&amp;sourceID=14","2.02e-05")</f>
        <v>2.02e-05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HYPERLINK("http://141.218.60.56/~jnz1568/getInfo.php?workbook=14_04.xlsx&amp;sheet=U0&amp;row=3062&amp;col=6&amp;number=4.8&amp;sourceID=14","4.8")</f>
        <v>4.8</v>
      </c>
      <c r="G3062" s="4" t="str">
        <f>HYPERLINK("http://141.218.60.56/~jnz1568/getInfo.php?workbook=14_04.xlsx&amp;sheet=U0&amp;row=3062&amp;col=7&amp;number=2.02e-05&amp;sourceID=14","2.02e-05")</f>
        <v>2.02e-05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HYPERLINK("http://141.218.60.56/~jnz1568/getInfo.php?workbook=14_04.xlsx&amp;sheet=U0&amp;row=3063&amp;col=6&amp;number=4.9&amp;sourceID=14","4.9")</f>
        <v>4.9</v>
      </c>
      <c r="G3063" s="4" t="str">
        <f>HYPERLINK("http://141.218.60.56/~jnz1568/getInfo.php?workbook=14_04.xlsx&amp;sheet=U0&amp;row=3063&amp;col=7&amp;number=2.01e-05&amp;sourceID=14","2.01e-05")</f>
        <v>2.01e-05</v>
      </c>
    </row>
    <row r="3064" spans="1:7">
      <c r="A3064" s="3">
        <v>14</v>
      </c>
      <c r="B3064" s="3">
        <v>4</v>
      </c>
      <c r="C3064" s="3">
        <v>2</v>
      </c>
      <c r="D3064" s="3">
        <v>37</v>
      </c>
      <c r="E3064" s="3">
        <v>1</v>
      </c>
      <c r="F3064" s="4" t="str">
        <f>HYPERLINK("http://141.218.60.56/~jnz1568/getInfo.php?workbook=14_04.xlsx&amp;sheet=U0&amp;row=3064&amp;col=6&amp;number=3&amp;sourceID=14","3")</f>
        <v>3</v>
      </c>
      <c r="G3064" s="4" t="str">
        <f>HYPERLINK("http://141.218.60.56/~jnz1568/getInfo.php?workbook=14_04.xlsx&amp;sheet=U0&amp;row=3064&amp;col=7&amp;number=0.000943&amp;sourceID=14","0.000943")</f>
        <v>0.000943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HYPERLINK("http://141.218.60.56/~jnz1568/getInfo.php?workbook=14_04.xlsx&amp;sheet=U0&amp;row=3065&amp;col=6&amp;number=3.1&amp;sourceID=14","3.1")</f>
        <v>3.1</v>
      </c>
      <c r="G3065" s="4" t="str">
        <f>HYPERLINK("http://141.218.60.56/~jnz1568/getInfo.php?workbook=14_04.xlsx&amp;sheet=U0&amp;row=3065&amp;col=7&amp;number=0.000943&amp;sourceID=14","0.000943")</f>
        <v>0.000943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HYPERLINK("http://141.218.60.56/~jnz1568/getInfo.php?workbook=14_04.xlsx&amp;sheet=U0&amp;row=3066&amp;col=6&amp;number=3.2&amp;sourceID=14","3.2")</f>
        <v>3.2</v>
      </c>
      <c r="G3066" s="4" t="str">
        <f>HYPERLINK("http://141.218.60.56/~jnz1568/getInfo.php?workbook=14_04.xlsx&amp;sheet=U0&amp;row=3066&amp;col=7&amp;number=0.000943&amp;sourceID=14","0.000943")</f>
        <v>0.000943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HYPERLINK("http://141.218.60.56/~jnz1568/getInfo.php?workbook=14_04.xlsx&amp;sheet=U0&amp;row=3067&amp;col=6&amp;number=3.3&amp;sourceID=14","3.3")</f>
        <v>3.3</v>
      </c>
      <c r="G3067" s="4" t="str">
        <f>HYPERLINK("http://141.218.60.56/~jnz1568/getInfo.php?workbook=14_04.xlsx&amp;sheet=U0&amp;row=3067&amp;col=7&amp;number=0.000943&amp;sourceID=14","0.000943")</f>
        <v>0.000943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HYPERLINK("http://141.218.60.56/~jnz1568/getInfo.php?workbook=14_04.xlsx&amp;sheet=U0&amp;row=3068&amp;col=6&amp;number=3.4&amp;sourceID=14","3.4")</f>
        <v>3.4</v>
      </c>
      <c r="G3068" s="4" t="str">
        <f>HYPERLINK("http://141.218.60.56/~jnz1568/getInfo.php?workbook=14_04.xlsx&amp;sheet=U0&amp;row=3068&amp;col=7&amp;number=0.000943&amp;sourceID=14","0.000943")</f>
        <v>0.000943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HYPERLINK("http://141.218.60.56/~jnz1568/getInfo.php?workbook=14_04.xlsx&amp;sheet=U0&amp;row=3069&amp;col=6&amp;number=3.5&amp;sourceID=14","3.5")</f>
        <v>3.5</v>
      </c>
      <c r="G3069" s="4" t="str">
        <f>HYPERLINK("http://141.218.60.56/~jnz1568/getInfo.php?workbook=14_04.xlsx&amp;sheet=U0&amp;row=3069&amp;col=7&amp;number=0.000942&amp;sourceID=14","0.000942")</f>
        <v>0.000942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HYPERLINK("http://141.218.60.56/~jnz1568/getInfo.php?workbook=14_04.xlsx&amp;sheet=U0&amp;row=3070&amp;col=6&amp;number=3.6&amp;sourceID=14","3.6")</f>
        <v>3.6</v>
      </c>
      <c r="G3070" s="4" t="str">
        <f>HYPERLINK("http://141.218.60.56/~jnz1568/getInfo.php?workbook=14_04.xlsx&amp;sheet=U0&amp;row=3070&amp;col=7&amp;number=0.000942&amp;sourceID=14","0.000942")</f>
        <v>0.000942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HYPERLINK("http://141.218.60.56/~jnz1568/getInfo.php?workbook=14_04.xlsx&amp;sheet=U0&amp;row=3071&amp;col=6&amp;number=3.7&amp;sourceID=14","3.7")</f>
        <v>3.7</v>
      </c>
      <c r="G3071" s="4" t="str">
        <f>HYPERLINK("http://141.218.60.56/~jnz1568/getInfo.php?workbook=14_04.xlsx&amp;sheet=U0&amp;row=3071&amp;col=7&amp;number=0.000942&amp;sourceID=14","0.000942")</f>
        <v>0.000942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HYPERLINK("http://141.218.60.56/~jnz1568/getInfo.php?workbook=14_04.xlsx&amp;sheet=U0&amp;row=3072&amp;col=6&amp;number=3.8&amp;sourceID=14","3.8")</f>
        <v>3.8</v>
      </c>
      <c r="G3072" s="4" t="str">
        <f>HYPERLINK("http://141.218.60.56/~jnz1568/getInfo.php?workbook=14_04.xlsx&amp;sheet=U0&amp;row=3072&amp;col=7&amp;number=0.000941&amp;sourceID=14","0.000941")</f>
        <v>0.000941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HYPERLINK("http://141.218.60.56/~jnz1568/getInfo.php?workbook=14_04.xlsx&amp;sheet=U0&amp;row=3073&amp;col=6&amp;number=3.9&amp;sourceID=14","3.9")</f>
        <v>3.9</v>
      </c>
      <c r="G3073" s="4" t="str">
        <f>HYPERLINK("http://141.218.60.56/~jnz1568/getInfo.php?workbook=14_04.xlsx&amp;sheet=U0&amp;row=3073&amp;col=7&amp;number=0.000941&amp;sourceID=14","0.000941")</f>
        <v>0.000941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HYPERLINK("http://141.218.60.56/~jnz1568/getInfo.php?workbook=14_04.xlsx&amp;sheet=U0&amp;row=3074&amp;col=6&amp;number=4&amp;sourceID=14","4")</f>
        <v>4</v>
      </c>
      <c r="G3074" s="4" t="str">
        <f>HYPERLINK("http://141.218.60.56/~jnz1568/getInfo.php?workbook=14_04.xlsx&amp;sheet=U0&amp;row=3074&amp;col=7&amp;number=0.00094&amp;sourceID=14","0.00094")</f>
        <v>0.00094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HYPERLINK("http://141.218.60.56/~jnz1568/getInfo.php?workbook=14_04.xlsx&amp;sheet=U0&amp;row=3075&amp;col=6&amp;number=4.1&amp;sourceID=14","4.1")</f>
        <v>4.1</v>
      </c>
      <c r="G3075" s="4" t="str">
        <f>HYPERLINK("http://141.218.60.56/~jnz1568/getInfo.php?workbook=14_04.xlsx&amp;sheet=U0&amp;row=3075&amp;col=7&amp;number=0.000939&amp;sourceID=14","0.000939")</f>
        <v>0.000939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HYPERLINK("http://141.218.60.56/~jnz1568/getInfo.php?workbook=14_04.xlsx&amp;sheet=U0&amp;row=3076&amp;col=6&amp;number=4.2&amp;sourceID=14","4.2")</f>
        <v>4.2</v>
      </c>
      <c r="G3076" s="4" t="str">
        <f>HYPERLINK("http://141.218.60.56/~jnz1568/getInfo.php?workbook=14_04.xlsx&amp;sheet=U0&amp;row=3076&amp;col=7&amp;number=0.000938&amp;sourceID=14","0.000938")</f>
        <v>0.000938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HYPERLINK("http://141.218.60.56/~jnz1568/getInfo.php?workbook=14_04.xlsx&amp;sheet=U0&amp;row=3077&amp;col=6&amp;number=4.3&amp;sourceID=14","4.3")</f>
        <v>4.3</v>
      </c>
      <c r="G3077" s="4" t="str">
        <f>HYPERLINK("http://141.218.60.56/~jnz1568/getInfo.php?workbook=14_04.xlsx&amp;sheet=U0&amp;row=3077&amp;col=7&amp;number=0.000937&amp;sourceID=14","0.000937")</f>
        <v>0.000937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HYPERLINK("http://141.218.60.56/~jnz1568/getInfo.php?workbook=14_04.xlsx&amp;sheet=U0&amp;row=3078&amp;col=6&amp;number=4.4&amp;sourceID=14","4.4")</f>
        <v>4.4</v>
      </c>
      <c r="G3078" s="4" t="str">
        <f>HYPERLINK("http://141.218.60.56/~jnz1568/getInfo.php?workbook=14_04.xlsx&amp;sheet=U0&amp;row=3078&amp;col=7&amp;number=0.000935&amp;sourceID=14","0.000935")</f>
        <v>0.000935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HYPERLINK("http://141.218.60.56/~jnz1568/getInfo.php?workbook=14_04.xlsx&amp;sheet=U0&amp;row=3079&amp;col=6&amp;number=4.5&amp;sourceID=14","4.5")</f>
        <v>4.5</v>
      </c>
      <c r="G3079" s="4" t="str">
        <f>HYPERLINK("http://141.218.60.56/~jnz1568/getInfo.php?workbook=14_04.xlsx&amp;sheet=U0&amp;row=3079&amp;col=7&amp;number=0.000933&amp;sourceID=14","0.000933")</f>
        <v>0.000933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HYPERLINK("http://141.218.60.56/~jnz1568/getInfo.php?workbook=14_04.xlsx&amp;sheet=U0&amp;row=3080&amp;col=6&amp;number=4.6&amp;sourceID=14","4.6")</f>
        <v>4.6</v>
      </c>
      <c r="G3080" s="4" t="str">
        <f>HYPERLINK("http://141.218.60.56/~jnz1568/getInfo.php?workbook=14_04.xlsx&amp;sheet=U0&amp;row=3080&amp;col=7&amp;number=0.00093&amp;sourceID=14","0.00093")</f>
        <v>0.00093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HYPERLINK("http://141.218.60.56/~jnz1568/getInfo.php?workbook=14_04.xlsx&amp;sheet=U0&amp;row=3081&amp;col=6&amp;number=4.7&amp;sourceID=14","4.7")</f>
        <v>4.7</v>
      </c>
      <c r="G3081" s="4" t="str">
        <f>HYPERLINK("http://141.218.60.56/~jnz1568/getInfo.php?workbook=14_04.xlsx&amp;sheet=U0&amp;row=3081&amp;col=7&amp;number=0.000927&amp;sourceID=14","0.000927")</f>
        <v>0.000927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HYPERLINK("http://141.218.60.56/~jnz1568/getInfo.php?workbook=14_04.xlsx&amp;sheet=U0&amp;row=3082&amp;col=6&amp;number=4.8&amp;sourceID=14","4.8")</f>
        <v>4.8</v>
      </c>
      <c r="G3082" s="4" t="str">
        <f>HYPERLINK("http://141.218.60.56/~jnz1568/getInfo.php?workbook=14_04.xlsx&amp;sheet=U0&amp;row=3082&amp;col=7&amp;number=0.000923&amp;sourceID=14","0.000923")</f>
        <v>0.000923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HYPERLINK("http://141.218.60.56/~jnz1568/getInfo.php?workbook=14_04.xlsx&amp;sheet=U0&amp;row=3083&amp;col=6&amp;number=4.9&amp;sourceID=14","4.9")</f>
        <v>4.9</v>
      </c>
      <c r="G3083" s="4" t="str">
        <f>HYPERLINK("http://141.218.60.56/~jnz1568/getInfo.php?workbook=14_04.xlsx&amp;sheet=U0&amp;row=3083&amp;col=7&amp;number=0.000918&amp;sourceID=14","0.000918")</f>
        <v>0.000918</v>
      </c>
    </row>
    <row r="3084" spans="1:7">
      <c r="A3084" s="3">
        <v>14</v>
      </c>
      <c r="B3084" s="3">
        <v>4</v>
      </c>
      <c r="C3084" s="3">
        <v>2</v>
      </c>
      <c r="D3084" s="3">
        <v>38</v>
      </c>
      <c r="E3084" s="3">
        <v>1</v>
      </c>
      <c r="F3084" s="4" t="str">
        <f>HYPERLINK("http://141.218.60.56/~jnz1568/getInfo.php?workbook=14_04.xlsx&amp;sheet=U0&amp;row=3084&amp;col=6&amp;number=3&amp;sourceID=14","3")</f>
        <v>3</v>
      </c>
      <c r="G3084" s="4" t="str">
        <f>HYPERLINK("http://141.218.60.56/~jnz1568/getInfo.php?workbook=14_04.xlsx&amp;sheet=U0&amp;row=3084&amp;col=7&amp;number=0.00186&amp;sourceID=14","0.00186")</f>
        <v>0.00186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HYPERLINK("http://141.218.60.56/~jnz1568/getInfo.php?workbook=14_04.xlsx&amp;sheet=U0&amp;row=3085&amp;col=6&amp;number=3.1&amp;sourceID=14","3.1")</f>
        <v>3.1</v>
      </c>
      <c r="G3085" s="4" t="str">
        <f>HYPERLINK("http://141.218.60.56/~jnz1568/getInfo.php?workbook=14_04.xlsx&amp;sheet=U0&amp;row=3085&amp;col=7&amp;number=0.00186&amp;sourceID=14","0.00186")</f>
        <v>0.00186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HYPERLINK("http://141.218.60.56/~jnz1568/getInfo.php?workbook=14_04.xlsx&amp;sheet=U0&amp;row=3086&amp;col=6&amp;number=3.2&amp;sourceID=14","3.2")</f>
        <v>3.2</v>
      </c>
      <c r="G3086" s="4" t="str">
        <f>HYPERLINK("http://141.218.60.56/~jnz1568/getInfo.php?workbook=14_04.xlsx&amp;sheet=U0&amp;row=3086&amp;col=7&amp;number=0.00186&amp;sourceID=14","0.00186")</f>
        <v>0.00186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HYPERLINK("http://141.218.60.56/~jnz1568/getInfo.php?workbook=14_04.xlsx&amp;sheet=U0&amp;row=3087&amp;col=6&amp;number=3.3&amp;sourceID=14","3.3")</f>
        <v>3.3</v>
      </c>
      <c r="G3087" s="4" t="str">
        <f>HYPERLINK("http://141.218.60.56/~jnz1568/getInfo.php?workbook=14_04.xlsx&amp;sheet=U0&amp;row=3087&amp;col=7&amp;number=0.00186&amp;sourceID=14","0.00186")</f>
        <v>0.00186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HYPERLINK("http://141.218.60.56/~jnz1568/getInfo.php?workbook=14_04.xlsx&amp;sheet=U0&amp;row=3088&amp;col=6&amp;number=3.4&amp;sourceID=14","3.4")</f>
        <v>3.4</v>
      </c>
      <c r="G3088" s="4" t="str">
        <f>HYPERLINK("http://141.218.60.56/~jnz1568/getInfo.php?workbook=14_04.xlsx&amp;sheet=U0&amp;row=3088&amp;col=7&amp;number=0.00186&amp;sourceID=14","0.00186")</f>
        <v>0.00186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HYPERLINK("http://141.218.60.56/~jnz1568/getInfo.php?workbook=14_04.xlsx&amp;sheet=U0&amp;row=3089&amp;col=6&amp;number=3.5&amp;sourceID=14","3.5")</f>
        <v>3.5</v>
      </c>
      <c r="G3089" s="4" t="str">
        <f>HYPERLINK("http://141.218.60.56/~jnz1568/getInfo.php?workbook=14_04.xlsx&amp;sheet=U0&amp;row=3089&amp;col=7&amp;number=0.00186&amp;sourceID=14","0.00186")</f>
        <v>0.00186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HYPERLINK("http://141.218.60.56/~jnz1568/getInfo.php?workbook=14_04.xlsx&amp;sheet=U0&amp;row=3090&amp;col=6&amp;number=3.6&amp;sourceID=14","3.6")</f>
        <v>3.6</v>
      </c>
      <c r="G3090" s="4" t="str">
        <f>HYPERLINK("http://141.218.60.56/~jnz1568/getInfo.php?workbook=14_04.xlsx&amp;sheet=U0&amp;row=3090&amp;col=7&amp;number=0.00186&amp;sourceID=14","0.00186")</f>
        <v>0.00186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HYPERLINK("http://141.218.60.56/~jnz1568/getInfo.php?workbook=14_04.xlsx&amp;sheet=U0&amp;row=3091&amp;col=6&amp;number=3.7&amp;sourceID=14","3.7")</f>
        <v>3.7</v>
      </c>
      <c r="G3091" s="4" t="str">
        <f>HYPERLINK("http://141.218.60.56/~jnz1568/getInfo.php?workbook=14_04.xlsx&amp;sheet=U0&amp;row=3091&amp;col=7&amp;number=0.00186&amp;sourceID=14","0.00186")</f>
        <v>0.00186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HYPERLINK("http://141.218.60.56/~jnz1568/getInfo.php?workbook=14_04.xlsx&amp;sheet=U0&amp;row=3092&amp;col=6&amp;number=3.8&amp;sourceID=14","3.8")</f>
        <v>3.8</v>
      </c>
      <c r="G3092" s="4" t="str">
        <f>HYPERLINK("http://141.218.60.56/~jnz1568/getInfo.php?workbook=14_04.xlsx&amp;sheet=U0&amp;row=3092&amp;col=7&amp;number=0.00186&amp;sourceID=14","0.00186")</f>
        <v>0.00186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HYPERLINK("http://141.218.60.56/~jnz1568/getInfo.php?workbook=14_04.xlsx&amp;sheet=U0&amp;row=3093&amp;col=6&amp;number=3.9&amp;sourceID=14","3.9")</f>
        <v>3.9</v>
      </c>
      <c r="G3093" s="4" t="str">
        <f>HYPERLINK("http://141.218.60.56/~jnz1568/getInfo.php?workbook=14_04.xlsx&amp;sheet=U0&amp;row=3093&amp;col=7&amp;number=0.00186&amp;sourceID=14","0.00186")</f>
        <v>0.00186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HYPERLINK("http://141.218.60.56/~jnz1568/getInfo.php?workbook=14_04.xlsx&amp;sheet=U0&amp;row=3094&amp;col=6&amp;number=4&amp;sourceID=14","4")</f>
        <v>4</v>
      </c>
      <c r="G3094" s="4" t="str">
        <f>HYPERLINK("http://141.218.60.56/~jnz1568/getInfo.php?workbook=14_04.xlsx&amp;sheet=U0&amp;row=3094&amp;col=7&amp;number=0.00185&amp;sourceID=14","0.00185")</f>
        <v>0.00185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HYPERLINK("http://141.218.60.56/~jnz1568/getInfo.php?workbook=14_04.xlsx&amp;sheet=U0&amp;row=3095&amp;col=6&amp;number=4.1&amp;sourceID=14","4.1")</f>
        <v>4.1</v>
      </c>
      <c r="G3095" s="4" t="str">
        <f>HYPERLINK("http://141.218.60.56/~jnz1568/getInfo.php?workbook=14_04.xlsx&amp;sheet=U0&amp;row=3095&amp;col=7&amp;number=0.00185&amp;sourceID=14","0.00185")</f>
        <v>0.00185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HYPERLINK("http://141.218.60.56/~jnz1568/getInfo.php?workbook=14_04.xlsx&amp;sheet=U0&amp;row=3096&amp;col=6&amp;number=4.2&amp;sourceID=14","4.2")</f>
        <v>4.2</v>
      </c>
      <c r="G3096" s="4" t="str">
        <f>HYPERLINK("http://141.218.60.56/~jnz1568/getInfo.php?workbook=14_04.xlsx&amp;sheet=U0&amp;row=3096&amp;col=7&amp;number=0.00185&amp;sourceID=14","0.00185")</f>
        <v>0.00185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HYPERLINK("http://141.218.60.56/~jnz1568/getInfo.php?workbook=14_04.xlsx&amp;sheet=U0&amp;row=3097&amp;col=6&amp;number=4.3&amp;sourceID=14","4.3")</f>
        <v>4.3</v>
      </c>
      <c r="G3097" s="4" t="str">
        <f>HYPERLINK("http://141.218.60.56/~jnz1568/getInfo.php?workbook=14_04.xlsx&amp;sheet=U0&amp;row=3097&amp;col=7&amp;number=0.00185&amp;sourceID=14","0.00185")</f>
        <v>0.00185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HYPERLINK("http://141.218.60.56/~jnz1568/getInfo.php?workbook=14_04.xlsx&amp;sheet=U0&amp;row=3098&amp;col=6&amp;number=4.4&amp;sourceID=14","4.4")</f>
        <v>4.4</v>
      </c>
      <c r="G3098" s="4" t="str">
        <f>HYPERLINK("http://141.218.60.56/~jnz1568/getInfo.php?workbook=14_04.xlsx&amp;sheet=U0&amp;row=3098&amp;col=7&amp;number=0.00185&amp;sourceID=14","0.00185")</f>
        <v>0.00185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HYPERLINK("http://141.218.60.56/~jnz1568/getInfo.php?workbook=14_04.xlsx&amp;sheet=U0&amp;row=3099&amp;col=6&amp;number=4.5&amp;sourceID=14","4.5")</f>
        <v>4.5</v>
      </c>
      <c r="G3099" s="4" t="str">
        <f>HYPERLINK("http://141.218.60.56/~jnz1568/getInfo.php?workbook=14_04.xlsx&amp;sheet=U0&amp;row=3099&amp;col=7&amp;number=0.00185&amp;sourceID=14","0.00185")</f>
        <v>0.00185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HYPERLINK("http://141.218.60.56/~jnz1568/getInfo.php?workbook=14_04.xlsx&amp;sheet=U0&amp;row=3100&amp;col=6&amp;number=4.6&amp;sourceID=14","4.6")</f>
        <v>4.6</v>
      </c>
      <c r="G3100" s="4" t="str">
        <f>HYPERLINK("http://141.218.60.56/~jnz1568/getInfo.php?workbook=14_04.xlsx&amp;sheet=U0&amp;row=3100&amp;col=7&amp;number=0.00185&amp;sourceID=14","0.00185")</f>
        <v>0.00185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HYPERLINK("http://141.218.60.56/~jnz1568/getInfo.php?workbook=14_04.xlsx&amp;sheet=U0&amp;row=3101&amp;col=6&amp;number=4.7&amp;sourceID=14","4.7")</f>
        <v>4.7</v>
      </c>
      <c r="G3101" s="4" t="str">
        <f>HYPERLINK("http://141.218.60.56/~jnz1568/getInfo.php?workbook=14_04.xlsx&amp;sheet=U0&amp;row=3101&amp;col=7&amp;number=0.00184&amp;sourceID=14","0.00184")</f>
        <v>0.00184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HYPERLINK("http://141.218.60.56/~jnz1568/getInfo.php?workbook=14_04.xlsx&amp;sheet=U0&amp;row=3102&amp;col=6&amp;number=4.8&amp;sourceID=14","4.8")</f>
        <v>4.8</v>
      </c>
      <c r="G3102" s="4" t="str">
        <f>HYPERLINK("http://141.218.60.56/~jnz1568/getInfo.php?workbook=14_04.xlsx&amp;sheet=U0&amp;row=3102&amp;col=7&amp;number=0.00184&amp;sourceID=14","0.00184")</f>
        <v>0.00184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HYPERLINK("http://141.218.60.56/~jnz1568/getInfo.php?workbook=14_04.xlsx&amp;sheet=U0&amp;row=3103&amp;col=6&amp;number=4.9&amp;sourceID=14","4.9")</f>
        <v>4.9</v>
      </c>
      <c r="G3103" s="4" t="str">
        <f>HYPERLINK("http://141.218.60.56/~jnz1568/getInfo.php?workbook=14_04.xlsx&amp;sheet=U0&amp;row=3103&amp;col=7&amp;number=0.00183&amp;sourceID=14","0.00183")</f>
        <v>0.00183</v>
      </c>
    </row>
    <row r="3104" spans="1:7">
      <c r="A3104" s="3">
        <v>14</v>
      </c>
      <c r="B3104" s="3">
        <v>4</v>
      </c>
      <c r="C3104" s="3">
        <v>2</v>
      </c>
      <c r="D3104" s="3">
        <v>39</v>
      </c>
      <c r="E3104" s="3">
        <v>1</v>
      </c>
      <c r="F3104" s="4" t="str">
        <f>HYPERLINK("http://141.218.60.56/~jnz1568/getInfo.php?workbook=14_04.xlsx&amp;sheet=U0&amp;row=3104&amp;col=6&amp;number=3&amp;sourceID=14","3")</f>
        <v>3</v>
      </c>
      <c r="G3104" s="4" t="str">
        <f>HYPERLINK("http://141.218.60.56/~jnz1568/getInfo.php?workbook=14_04.xlsx&amp;sheet=U0&amp;row=3104&amp;col=7&amp;number=0.0117&amp;sourceID=14","0.0117")</f>
        <v>0.0117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HYPERLINK("http://141.218.60.56/~jnz1568/getInfo.php?workbook=14_04.xlsx&amp;sheet=U0&amp;row=3105&amp;col=6&amp;number=3.1&amp;sourceID=14","3.1")</f>
        <v>3.1</v>
      </c>
      <c r="G3105" s="4" t="str">
        <f>HYPERLINK("http://141.218.60.56/~jnz1568/getInfo.php?workbook=14_04.xlsx&amp;sheet=U0&amp;row=3105&amp;col=7&amp;number=0.0117&amp;sourceID=14","0.0117")</f>
        <v>0.0117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HYPERLINK("http://141.218.60.56/~jnz1568/getInfo.php?workbook=14_04.xlsx&amp;sheet=U0&amp;row=3106&amp;col=6&amp;number=3.2&amp;sourceID=14","3.2")</f>
        <v>3.2</v>
      </c>
      <c r="G3106" s="4" t="str">
        <f>HYPERLINK("http://141.218.60.56/~jnz1568/getInfo.php?workbook=14_04.xlsx&amp;sheet=U0&amp;row=3106&amp;col=7&amp;number=0.0117&amp;sourceID=14","0.0117")</f>
        <v>0.0117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HYPERLINK("http://141.218.60.56/~jnz1568/getInfo.php?workbook=14_04.xlsx&amp;sheet=U0&amp;row=3107&amp;col=6&amp;number=3.3&amp;sourceID=14","3.3")</f>
        <v>3.3</v>
      </c>
      <c r="G3107" s="4" t="str">
        <f>HYPERLINK("http://141.218.60.56/~jnz1568/getInfo.php?workbook=14_04.xlsx&amp;sheet=U0&amp;row=3107&amp;col=7&amp;number=0.0117&amp;sourceID=14","0.0117")</f>
        <v>0.0117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HYPERLINK("http://141.218.60.56/~jnz1568/getInfo.php?workbook=14_04.xlsx&amp;sheet=U0&amp;row=3108&amp;col=6&amp;number=3.4&amp;sourceID=14","3.4")</f>
        <v>3.4</v>
      </c>
      <c r="G3108" s="4" t="str">
        <f>HYPERLINK("http://141.218.60.56/~jnz1568/getInfo.php?workbook=14_04.xlsx&amp;sheet=U0&amp;row=3108&amp;col=7&amp;number=0.0117&amp;sourceID=14","0.0117")</f>
        <v>0.0117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HYPERLINK("http://141.218.60.56/~jnz1568/getInfo.php?workbook=14_04.xlsx&amp;sheet=U0&amp;row=3109&amp;col=6&amp;number=3.5&amp;sourceID=14","3.5")</f>
        <v>3.5</v>
      </c>
      <c r="G3109" s="4" t="str">
        <f>HYPERLINK("http://141.218.60.56/~jnz1568/getInfo.php?workbook=14_04.xlsx&amp;sheet=U0&amp;row=3109&amp;col=7&amp;number=0.0117&amp;sourceID=14","0.0117")</f>
        <v>0.0117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HYPERLINK("http://141.218.60.56/~jnz1568/getInfo.php?workbook=14_04.xlsx&amp;sheet=U0&amp;row=3110&amp;col=6&amp;number=3.6&amp;sourceID=14","3.6")</f>
        <v>3.6</v>
      </c>
      <c r="G3110" s="4" t="str">
        <f>HYPERLINK("http://141.218.60.56/~jnz1568/getInfo.php?workbook=14_04.xlsx&amp;sheet=U0&amp;row=3110&amp;col=7&amp;number=0.0117&amp;sourceID=14","0.0117")</f>
        <v>0.0117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HYPERLINK("http://141.218.60.56/~jnz1568/getInfo.php?workbook=14_04.xlsx&amp;sheet=U0&amp;row=3111&amp;col=6&amp;number=3.7&amp;sourceID=14","3.7")</f>
        <v>3.7</v>
      </c>
      <c r="G3111" s="4" t="str">
        <f>HYPERLINK("http://141.218.60.56/~jnz1568/getInfo.php?workbook=14_04.xlsx&amp;sheet=U0&amp;row=3111&amp;col=7&amp;number=0.0117&amp;sourceID=14","0.0117")</f>
        <v>0.0117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HYPERLINK("http://141.218.60.56/~jnz1568/getInfo.php?workbook=14_04.xlsx&amp;sheet=U0&amp;row=3112&amp;col=6&amp;number=3.8&amp;sourceID=14","3.8")</f>
        <v>3.8</v>
      </c>
      <c r="G3112" s="4" t="str">
        <f>HYPERLINK("http://141.218.60.56/~jnz1568/getInfo.php?workbook=14_04.xlsx&amp;sheet=U0&amp;row=3112&amp;col=7&amp;number=0.0117&amp;sourceID=14","0.0117")</f>
        <v>0.0117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HYPERLINK("http://141.218.60.56/~jnz1568/getInfo.php?workbook=14_04.xlsx&amp;sheet=U0&amp;row=3113&amp;col=6&amp;number=3.9&amp;sourceID=14","3.9")</f>
        <v>3.9</v>
      </c>
      <c r="G3113" s="4" t="str">
        <f>HYPERLINK("http://141.218.60.56/~jnz1568/getInfo.php?workbook=14_04.xlsx&amp;sheet=U0&amp;row=3113&amp;col=7&amp;number=0.0117&amp;sourceID=14","0.0117")</f>
        <v>0.0117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HYPERLINK("http://141.218.60.56/~jnz1568/getInfo.php?workbook=14_04.xlsx&amp;sheet=U0&amp;row=3114&amp;col=6&amp;number=4&amp;sourceID=14","4")</f>
        <v>4</v>
      </c>
      <c r="G3114" s="4" t="str">
        <f>HYPERLINK("http://141.218.60.56/~jnz1568/getInfo.php?workbook=14_04.xlsx&amp;sheet=U0&amp;row=3114&amp;col=7&amp;number=0.0117&amp;sourceID=14","0.0117")</f>
        <v>0.0117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HYPERLINK("http://141.218.60.56/~jnz1568/getInfo.php?workbook=14_04.xlsx&amp;sheet=U0&amp;row=3115&amp;col=6&amp;number=4.1&amp;sourceID=14","4.1")</f>
        <v>4.1</v>
      </c>
      <c r="G3115" s="4" t="str">
        <f>HYPERLINK("http://141.218.60.56/~jnz1568/getInfo.php?workbook=14_04.xlsx&amp;sheet=U0&amp;row=3115&amp;col=7&amp;number=0.0117&amp;sourceID=14","0.0117")</f>
        <v>0.0117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HYPERLINK("http://141.218.60.56/~jnz1568/getInfo.php?workbook=14_04.xlsx&amp;sheet=U0&amp;row=3116&amp;col=6&amp;number=4.2&amp;sourceID=14","4.2")</f>
        <v>4.2</v>
      </c>
      <c r="G3116" s="4" t="str">
        <f>HYPERLINK("http://141.218.60.56/~jnz1568/getInfo.php?workbook=14_04.xlsx&amp;sheet=U0&amp;row=3116&amp;col=7&amp;number=0.0117&amp;sourceID=14","0.0117")</f>
        <v>0.0117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HYPERLINK("http://141.218.60.56/~jnz1568/getInfo.php?workbook=14_04.xlsx&amp;sheet=U0&amp;row=3117&amp;col=6&amp;number=4.3&amp;sourceID=14","4.3")</f>
        <v>4.3</v>
      </c>
      <c r="G3117" s="4" t="str">
        <f>HYPERLINK("http://141.218.60.56/~jnz1568/getInfo.php?workbook=14_04.xlsx&amp;sheet=U0&amp;row=3117&amp;col=7&amp;number=0.0117&amp;sourceID=14","0.0117")</f>
        <v>0.0117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HYPERLINK("http://141.218.60.56/~jnz1568/getInfo.php?workbook=14_04.xlsx&amp;sheet=U0&amp;row=3118&amp;col=6&amp;number=4.4&amp;sourceID=14","4.4")</f>
        <v>4.4</v>
      </c>
      <c r="G3118" s="4" t="str">
        <f>HYPERLINK("http://141.218.60.56/~jnz1568/getInfo.php?workbook=14_04.xlsx&amp;sheet=U0&amp;row=3118&amp;col=7&amp;number=0.0117&amp;sourceID=14","0.0117")</f>
        <v>0.0117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HYPERLINK("http://141.218.60.56/~jnz1568/getInfo.php?workbook=14_04.xlsx&amp;sheet=U0&amp;row=3119&amp;col=6&amp;number=4.5&amp;sourceID=14","4.5")</f>
        <v>4.5</v>
      </c>
      <c r="G3119" s="4" t="str">
        <f>HYPERLINK("http://141.218.60.56/~jnz1568/getInfo.php?workbook=14_04.xlsx&amp;sheet=U0&amp;row=3119&amp;col=7&amp;number=0.0117&amp;sourceID=14","0.0117")</f>
        <v>0.0117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HYPERLINK("http://141.218.60.56/~jnz1568/getInfo.php?workbook=14_04.xlsx&amp;sheet=U0&amp;row=3120&amp;col=6&amp;number=4.6&amp;sourceID=14","4.6")</f>
        <v>4.6</v>
      </c>
      <c r="G3120" s="4" t="str">
        <f>HYPERLINK("http://141.218.60.56/~jnz1568/getInfo.php?workbook=14_04.xlsx&amp;sheet=U0&amp;row=3120&amp;col=7&amp;number=0.0118&amp;sourceID=14","0.0118")</f>
        <v>0.0118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HYPERLINK("http://141.218.60.56/~jnz1568/getInfo.php?workbook=14_04.xlsx&amp;sheet=U0&amp;row=3121&amp;col=6&amp;number=4.7&amp;sourceID=14","4.7")</f>
        <v>4.7</v>
      </c>
      <c r="G3121" s="4" t="str">
        <f>HYPERLINK("http://141.218.60.56/~jnz1568/getInfo.php?workbook=14_04.xlsx&amp;sheet=U0&amp;row=3121&amp;col=7&amp;number=0.0118&amp;sourceID=14","0.0118")</f>
        <v>0.0118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HYPERLINK("http://141.218.60.56/~jnz1568/getInfo.php?workbook=14_04.xlsx&amp;sheet=U0&amp;row=3122&amp;col=6&amp;number=4.8&amp;sourceID=14","4.8")</f>
        <v>4.8</v>
      </c>
      <c r="G3122" s="4" t="str">
        <f>HYPERLINK("http://141.218.60.56/~jnz1568/getInfo.php?workbook=14_04.xlsx&amp;sheet=U0&amp;row=3122&amp;col=7&amp;number=0.0118&amp;sourceID=14","0.0118")</f>
        <v>0.0118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HYPERLINK("http://141.218.60.56/~jnz1568/getInfo.php?workbook=14_04.xlsx&amp;sheet=U0&amp;row=3123&amp;col=6&amp;number=4.9&amp;sourceID=14","4.9")</f>
        <v>4.9</v>
      </c>
      <c r="G3123" s="4" t="str">
        <f>HYPERLINK("http://141.218.60.56/~jnz1568/getInfo.php?workbook=14_04.xlsx&amp;sheet=U0&amp;row=3123&amp;col=7&amp;number=0.0118&amp;sourceID=14","0.0118")</f>
        <v>0.0118</v>
      </c>
    </row>
    <row r="3124" spans="1:7">
      <c r="A3124" s="3">
        <v>14</v>
      </c>
      <c r="B3124" s="3">
        <v>4</v>
      </c>
      <c r="C3124" s="3">
        <v>2</v>
      </c>
      <c r="D3124" s="3">
        <v>40</v>
      </c>
      <c r="E3124" s="3">
        <v>1</v>
      </c>
      <c r="F3124" s="4" t="str">
        <f>HYPERLINK("http://141.218.60.56/~jnz1568/getInfo.php?workbook=14_04.xlsx&amp;sheet=U0&amp;row=3124&amp;col=6&amp;number=3&amp;sourceID=14","3")</f>
        <v>3</v>
      </c>
      <c r="G3124" s="4" t="str">
        <f>HYPERLINK("http://141.218.60.56/~jnz1568/getInfo.php?workbook=14_04.xlsx&amp;sheet=U0&amp;row=3124&amp;col=7&amp;number=0.00123&amp;sourceID=14","0.00123")</f>
        <v>0.00123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HYPERLINK("http://141.218.60.56/~jnz1568/getInfo.php?workbook=14_04.xlsx&amp;sheet=U0&amp;row=3125&amp;col=6&amp;number=3.1&amp;sourceID=14","3.1")</f>
        <v>3.1</v>
      </c>
      <c r="G3125" s="4" t="str">
        <f>HYPERLINK("http://141.218.60.56/~jnz1568/getInfo.php?workbook=14_04.xlsx&amp;sheet=U0&amp;row=3125&amp;col=7&amp;number=0.00123&amp;sourceID=14","0.00123")</f>
        <v>0.00123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HYPERLINK("http://141.218.60.56/~jnz1568/getInfo.php?workbook=14_04.xlsx&amp;sheet=U0&amp;row=3126&amp;col=6&amp;number=3.2&amp;sourceID=14","3.2")</f>
        <v>3.2</v>
      </c>
      <c r="G3126" s="4" t="str">
        <f>HYPERLINK("http://141.218.60.56/~jnz1568/getInfo.php?workbook=14_04.xlsx&amp;sheet=U0&amp;row=3126&amp;col=7&amp;number=0.00123&amp;sourceID=14","0.00123")</f>
        <v>0.00123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HYPERLINK("http://141.218.60.56/~jnz1568/getInfo.php?workbook=14_04.xlsx&amp;sheet=U0&amp;row=3127&amp;col=6&amp;number=3.3&amp;sourceID=14","3.3")</f>
        <v>3.3</v>
      </c>
      <c r="G3127" s="4" t="str">
        <f>HYPERLINK("http://141.218.60.56/~jnz1568/getInfo.php?workbook=14_04.xlsx&amp;sheet=U0&amp;row=3127&amp;col=7&amp;number=0.00123&amp;sourceID=14","0.00123")</f>
        <v>0.00123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HYPERLINK("http://141.218.60.56/~jnz1568/getInfo.php?workbook=14_04.xlsx&amp;sheet=U0&amp;row=3128&amp;col=6&amp;number=3.4&amp;sourceID=14","3.4")</f>
        <v>3.4</v>
      </c>
      <c r="G3128" s="4" t="str">
        <f>HYPERLINK("http://141.218.60.56/~jnz1568/getInfo.php?workbook=14_04.xlsx&amp;sheet=U0&amp;row=3128&amp;col=7&amp;number=0.00123&amp;sourceID=14","0.00123")</f>
        <v>0.00123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HYPERLINK("http://141.218.60.56/~jnz1568/getInfo.php?workbook=14_04.xlsx&amp;sheet=U0&amp;row=3129&amp;col=6&amp;number=3.5&amp;sourceID=14","3.5")</f>
        <v>3.5</v>
      </c>
      <c r="G3129" s="4" t="str">
        <f>HYPERLINK("http://141.218.60.56/~jnz1568/getInfo.php?workbook=14_04.xlsx&amp;sheet=U0&amp;row=3129&amp;col=7&amp;number=0.00123&amp;sourceID=14","0.00123")</f>
        <v>0.00123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HYPERLINK("http://141.218.60.56/~jnz1568/getInfo.php?workbook=14_04.xlsx&amp;sheet=U0&amp;row=3130&amp;col=6&amp;number=3.6&amp;sourceID=14","3.6")</f>
        <v>3.6</v>
      </c>
      <c r="G3130" s="4" t="str">
        <f>HYPERLINK("http://141.218.60.56/~jnz1568/getInfo.php?workbook=14_04.xlsx&amp;sheet=U0&amp;row=3130&amp;col=7&amp;number=0.00123&amp;sourceID=14","0.00123")</f>
        <v>0.00123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HYPERLINK("http://141.218.60.56/~jnz1568/getInfo.php?workbook=14_04.xlsx&amp;sheet=U0&amp;row=3131&amp;col=6&amp;number=3.7&amp;sourceID=14","3.7")</f>
        <v>3.7</v>
      </c>
      <c r="G3131" s="4" t="str">
        <f>HYPERLINK("http://141.218.60.56/~jnz1568/getInfo.php?workbook=14_04.xlsx&amp;sheet=U0&amp;row=3131&amp;col=7&amp;number=0.00122&amp;sourceID=14","0.00122")</f>
        <v>0.00122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HYPERLINK("http://141.218.60.56/~jnz1568/getInfo.php?workbook=14_04.xlsx&amp;sheet=U0&amp;row=3132&amp;col=6&amp;number=3.8&amp;sourceID=14","3.8")</f>
        <v>3.8</v>
      </c>
      <c r="G3132" s="4" t="str">
        <f>HYPERLINK("http://141.218.60.56/~jnz1568/getInfo.php?workbook=14_04.xlsx&amp;sheet=U0&amp;row=3132&amp;col=7&amp;number=0.00122&amp;sourceID=14","0.00122")</f>
        <v>0.00122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HYPERLINK("http://141.218.60.56/~jnz1568/getInfo.php?workbook=14_04.xlsx&amp;sheet=U0&amp;row=3133&amp;col=6&amp;number=3.9&amp;sourceID=14","3.9")</f>
        <v>3.9</v>
      </c>
      <c r="G3133" s="4" t="str">
        <f>HYPERLINK("http://141.218.60.56/~jnz1568/getInfo.php?workbook=14_04.xlsx&amp;sheet=U0&amp;row=3133&amp;col=7&amp;number=0.00122&amp;sourceID=14","0.00122")</f>
        <v>0.00122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HYPERLINK("http://141.218.60.56/~jnz1568/getInfo.php?workbook=14_04.xlsx&amp;sheet=U0&amp;row=3134&amp;col=6&amp;number=4&amp;sourceID=14","4")</f>
        <v>4</v>
      </c>
      <c r="G3134" s="4" t="str">
        <f>HYPERLINK("http://141.218.60.56/~jnz1568/getInfo.php?workbook=14_04.xlsx&amp;sheet=U0&amp;row=3134&amp;col=7&amp;number=0.00122&amp;sourceID=14","0.00122")</f>
        <v>0.00122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HYPERLINK("http://141.218.60.56/~jnz1568/getInfo.php?workbook=14_04.xlsx&amp;sheet=U0&amp;row=3135&amp;col=6&amp;number=4.1&amp;sourceID=14","4.1")</f>
        <v>4.1</v>
      </c>
      <c r="G3135" s="4" t="str">
        <f>HYPERLINK("http://141.218.60.56/~jnz1568/getInfo.php?workbook=14_04.xlsx&amp;sheet=U0&amp;row=3135&amp;col=7&amp;number=0.00122&amp;sourceID=14","0.00122")</f>
        <v>0.00122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HYPERLINK("http://141.218.60.56/~jnz1568/getInfo.php?workbook=14_04.xlsx&amp;sheet=U0&amp;row=3136&amp;col=6&amp;number=4.2&amp;sourceID=14","4.2")</f>
        <v>4.2</v>
      </c>
      <c r="G3136" s="4" t="str">
        <f>HYPERLINK("http://141.218.60.56/~jnz1568/getInfo.php?workbook=14_04.xlsx&amp;sheet=U0&amp;row=3136&amp;col=7&amp;number=0.00122&amp;sourceID=14","0.00122")</f>
        <v>0.00122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HYPERLINK("http://141.218.60.56/~jnz1568/getInfo.php?workbook=14_04.xlsx&amp;sheet=U0&amp;row=3137&amp;col=6&amp;number=4.3&amp;sourceID=14","4.3")</f>
        <v>4.3</v>
      </c>
      <c r="G3137" s="4" t="str">
        <f>HYPERLINK("http://141.218.60.56/~jnz1568/getInfo.php?workbook=14_04.xlsx&amp;sheet=U0&amp;row=3137&amp;col=7&amp;number=0.00122&amp;sourceID=14","0.00122")</f>
        <v>0.00122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HYPERLINK("http://141.218.60.56/~jnz1568/getInfo.php?workbook=14_04.xlsx&amp;sheet=U0&amp;row=3138&amp;col=6&amp;number=4.4&amp;sourceID=14","4.4")</f>
        <v>4.4</v>
      </c>
      <c r="G3138" s="4" t="str">
        <f>HYPERLINK("http://141.218.60.56/~jnz1568/getInfo.php?workbook=14_04.xlsx&amp;sheet=U0&amp;row=3138&amp;col=7&amp;number=0.00122&amp;sourceID=14","0.00122")</f>
        <v>0.00122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HYPERLINK("http://141.218.60.56/~jnz1568/getInfo.php?workbook=14_04.xlsx&amp;sheet=U0&amp;row=3139&amp;col=6&amp;number=4.5&amp;sourceID=14","4.5")</f>
        <v>4.5</v>
      </c>
      <c r="G3139" s="4" t="str">
        <f>HYPERLINK("http://141.218.60.56/~jnz1568/getInfo.php?workbook=14_04.xlsx&amp;sheet=U0&amp;row=3139&amp;col=7&amp;number=0.00122&amp;sourceID=14","0.00122")</f>
        <v>0.00122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HYPERLINK("http://141.218.60.56/~jnz1568/getInfo.php?workbook=14_04.xlsx&amp;sheet=U0&amp;row=3140&amp;col=6&amp;number=4.6&amp;sourceID=14","4.6")</f>
        <v>4.6</v>
      </c>
      <c r="G3140" s="4" t="str">
        <f>HYPERLINK("http://141.218.60.56/~jnz1568/getInfo.php?workbook=14_04.xlsx&amp;sheet=U0&amp;row=3140&amp;col=7&amp;number=0.00122&amp;sourceID=14","0.00122")</f>
        <v>0.00122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HYPERLINK("http://141.218.60.56/~jnz1568/getInfo.php?workbook=14_04.xlsx&amp;sheet=U0&amp;row=3141&amp;col=6&amp;number=4.7&amp;sourceID=14","4.7")</f>
        <v>4.7</v>
      </c>
      <c r="G3141" s="4" t="str">
        <f>HYPERLINK("http://141.218.60.56/~jnz1568/getInfo.php?workbook=14_04.xlsx&amp;sheet=U0&amp;row=3141&amp;col=7&amp;number=0.00122&amp;sourceID=14","0.00122")</f>
        <v>0.00122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HYPERLINK("http://141.218.60.56/~jnz1568/getInfo.php?workbook=14_04.xlsx&amp;sheet=U0&amp;row=3142&amp;col=6&amp;number=4.8&amp;sourceID=14","4.8")</f>
        <v>4.8</v>
      </c>
      <c r="G3142" s="4" t="str">
        <f>HYPERLINK("http://141.218.60.56/~jnz1568/getInfo.php?workbook=14_04.xlsx&amp;sheet=U0&amp;row=3142&amp;col=7&amp;number=0.00121&amp;sourceID=14","0.00121")</f>
        <v>0.00121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HYPERLINK("http://141.218.60.56/~jnz1568/getInfo.php?workbook=14_04.xlsx&amp;sheet=U0&amp;row=3143&amp;col=6&amp;number=4.9&amp;sourceID=14","4.9")</f>
        <v>4.9</v>
      </c>
      <c r="G3143" s="4" t="str">
        <f>HYPERLINK("http://141.218.60.56/~jnz1568/getInfo.php?workbook=14_04.xlsx&amp;sheet=U0&amp;row=3143&amp;col=7&amp;number=0.00121&amp;sourceID=14","0.00121")</f>
        <v>0.00121</v>
      </c>
    </row>
    <row r="3144" spans="1:7">
      <c r="A3144" s="3">
        <v>14</v>
      </c>
      <c r="B3144" s="3">
        <v>4</v>
      </c>
      <c r="C3144" s="3">
        <v>2</v>
      </c>
      <c r="D3144" s="3">
        <v>41</v>
      </c>
      <c r="E3144" s="3">
        <v>1</v>
      </c>
      <c r="F3144" s="4" t="str">
        <f>HYPERLINK("http://141.218.60.56/~jnz1568/getInfo.php?workbook=14_04.xlsx&amp;sheet=U0&amp;row=3144&amp;col=6&amp;number=3&amp;sourceID=14","3")</f>
        <v>3</v>
      </c>
      <c r="G3144" s="4" t="str">
        <f>HYPERLINK("http://141.218.60.56/~jnz1568/getInfo.php?workbook=14_04.xlsx&amp;sheet=U0&amp;row=3144&amp;col=7&amp;number=0.00239&amp;sourceID=14","0.00239")</f>
        <v>0.00239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HYPERLINK("http://141.218.60.56/~jnz1568/getInfo.php?workbook=14_04.xlsx&amp;sheet=U0&amp;row=3145&amp;col=6&amp;number=3.1&amp;sourceID=14","3.1")</f>
        <v>3.1</v>
      </c>
      <c r="G3145" s="4" t="str">
        <f>HYPERLINK("http://141.218.60.56/~jnz1568/getInfo.php?workbook=14_04.xlsx&amp;sheet=U0&amp;row=3145&amp;col=7&amp;number=0.00239&amp;sourceID=14","0.00239")</f>
        <v>0.00239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HYPERLINK("http://141.218.60.56/~jnz1568/getInfo.php?workbook=14_04.xlsx&amp;sheet=U0&amp;row=3146&amp;col=6&amp;number=3.2&amp;sourceID=14","3.2")</f>
        <v>3.2</v>
      </c>
      <c r="G3146" s="4" t="str">
        <f>HYPERLINK("http://141.218.60.56/~jnz1568/getInfo.php?workbook=14_04.xlsx&amp;sheet=U0&amp;row=3146&amp;col=7&amp;number=0.00239&amp;sourceID=14","0.00239")</f>
        <v>0.00239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HYPERLINK("http://141.218.60.56/~jnz1568/getInfo.php?workbook=14_04.xlsx&amp;sheet=U0&amp;row=3147&amp;col=6&amp;number=3.3&amp;sourceID=14","3.3")</f>
        <v>3.3</v>
      </c>
      <c r="G3147" s="4" t="str">
        <f>HYPERLINK("http://141.218.60.56/~jnz1568/getInfo.php?workbook=14_04.xlsx&amp;sheet=U0&amp;row=3147&amp;col=7&amp;number=0.00239&amp;sourceID=14","0.00239")</f>
        <v>0.00239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HYPERLINK("http://141.218.60.56/~jnz1568/getInfo.php?workbook=14_04.xlsx&amp;sheet=U0&amp;row=3148&amp;col=6&amp;number=3.4&amp;sourceID=14","3.4")</f>
        <v>3.4</v>
      </c>
      <c r="G3148" s="4" t="str">
        <f>HYPERLINK("http://141.218.60.56/~jnz1568/getInfo.php?workbook=14_04.xlsx&amp;sheet=U0&amp;row=3148&amp;col=7&amp;number=0.00239&amp;sourceID=14","0.00239")</f>
        <v>0.00239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HYPERLINK("http://141.218.60.56/~jnz1568/getInfo.php?workbook=14_04.xlsx&amp;sheet=U0&amp;row=3149&amp;col=6&amp;number=3.5&amp;sourceID=14","3.5")</f>
        <v>3.5</v>
      </c>
      <c r="G3149" s="4" t="str">
        <f>HYPERLINK("http://141.218.60.56/~jnz1568/getInfo.php?workbook=14_04.xlsx&amp;sheet=U0&amp;row=3149&amp;col=7&amp;number=0.00239&amp;sourceID=14","0.00239")</f>
        <v>0.00239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HYPERLINK("http://141.218.60.56/~jnz1568/getInfo.php?workbook=14_04.xlsx&amp;sheet=U0&amp;row=3150&amp;col=6&amp;number=3.6&amp;sourceID=14","3.6")</f>
        <v>3.6</v>
      </c>
      <c r="G3150" s="4" t="str">
        <f>HYPERLINK("http://141.218.60.56/~jnz1568/getInfo.php?workbook=14_04.xlsx&amp;sheet=U0&amp;row=3150&amp;col=7&amp;number=0.00239&amp;sourceID=14","0.00239")</f>
        <v>0.00239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HYPERLINK("http://141.218.60.56/~jnz1568/getInfo.php?workbook=14_04.xlsx&amp;sheet=U0&amp;row=3151&amp;col=6&amp;number=3.7&amp;sourceID=14","3.7")</f>
        <v>3.7</v>
      </c>
      <c r="G3151" s="4" t="str">
        <f>HYPERLINK("http://141.218.60.56/~jnz1568/getInfo.php?workbook=14_04.xlsx&amp;sheet=U0&amp;row=3151&amp;col=7&amp;number=0.00239&amp;sourceID=14","0.00239")</f>
        <v>0.00239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HYPERLINK("http://141.218.60.56/~jnz1568/getInfo.php?workbook=14_04.xlsx&amp;sheet=U0&amp;row=3152&amp;col=6&amp;number=3.8&amp;sourceID=14","3.8")</f>
        <v>3.8</v>
      </c>
      <c r="G3152" s="4" t="str">
        <f>HYPERLINK("http://141.218.60.56/~jnz1568/getInfo.php?workbook=14_04.xlsx&amp;sheet=U0&amp;row=3152&amp;col=7&amp;number=0.00239&amp;sourceID=14","0.00239")</f>
        <v>0.00239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HYPERLINK("http://141.218.60.56/~jnz1568/getInfo.php?workbook=14_04.xlsx&amp;sheet=U0&amp;row=3153&amp;col=6&amp;number=3.9&amp;sourceID=14","3.9")</f>
        <v>3.9</v>
      </c>
      <c r="G3153" s="4" t="str">
        <f>HYPERLINK("http://141.218.60.56/~jnz1568/getInfo.php?workbook=14_04.xlsx&amp;sheet=U0&amp;row=3153&amp;col=7&amp;number=0.00239&amp;sourceID=14","0.00239")</f>
        <v>0.00239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HYPERLINK("http://141.218.60.56/~jnz1568/getInfo.php?workbook=14_04.xlsx&amp;sheet=U0&amp;row=3154&amp;col=6&amp;number=4&amp;sourceID=14","4")</f>
        <v>4</v>
      </c>
      <c r="G3154" s="4" t="str">
        <f>HYPERLINK("http://141.218.60.56/~jnz1568/getInfo.php?workbook=14_04.xlsx&amp;sheet=U0&amp;row=3154&amp;col=7&amp;number=0.00239&amp;sourceID=14","0.00239")</f>
        <v>0.00239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HYPERLINK("http://141.218.60.56/~jnz1568/getInfo.php?workbook=14_04.xlsx&amp;sheet=U0&amp;row=3155&amp;col=6&amp;number=4.1&amp;sourceID=14","4.1")</f>
        <v>4.1</v>
      </c>
      <c r="G3155" s="4" t="str">
        <f>HYPERLINK("http://141.218.60.56/~jnz1568/getInfo.php?workbook=14_04.xlsx&amp;sheet=U0&amp;row=3155&amp;col=7&amp;number=0.00239&amp;sourceID=14","0.00239")</f>
        <v>0.00239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HYPERLINK("http://141.218.60.56/~jnz1568/getInfo.php?workbook=14_04.xlsx&amp;sheet=U0&amp;row=3156&amp;col=6&amp;number=4.2&amp;sourceID=14","4.2")</f>
        <v>4.2</v>
      </c>
      <c r="G3156" s="4" t="str">
        <f>HYPERLINK("http://141.218.60.56/~jnz1568/getInfo.php?workbook=14_04.xlsx&amp;sheet=U0&amp;row=3156&amp;col=7&amp;number=0.00239&amp;sourceID=14","0.00239")</f>
        <v>0.00239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HYPERLINK("http://141.218.60.56/~jnz1568/getInfo.php?workbook=14_04.xlsx&amp;sheet=U0&amp;row=3157&amp;col=6&amp;number=4.3&amp;sourceID=14","4.3")</f>
        <v>4.3</v>
      </c>
      <c r="G3157" s="4" t="str">
        <f>HYPERLINK("http://141.218.60.56/~jnz1568/getInfo.php?workbook=14_04.xlsx&amp;sheet=U0&amp;row=3157&amp;col=7&amp;number=0.00239&amp;sourceID=14","0.00239")</f>
        <v>0.00239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HYPERLINK("http://141.218.60.56/~jnz1568/getInfo.php?workbook=14_04.xlsx&amp;sheet=U0&amp;row=3158&amp;col=6&amp;number=4.4&amp;sourceID=14","4.4")</f>
        <v>4.4</v>
      </c>
      <c r="G3158" s="4" t="str">
        <f>HYPERLINK("http://141.218.60.56/~jnz1568/getInfo.php?workbook=14_04.xlsx&amp;sheet=U0&amp;row=3158&amp;col=7&amp;number=0.00239&amp;sourceID=14","0.00239")</f>
        <v>0.00239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HYPERLINK("http://141.218.60.56/~jnz1568/getInfo.php?workbook=14_04.xlsx&amp;sheet=U0&amp;row=3159&amp;col=6&amp;number=4.5&amp;sourceID=14","4.5")</f>
        <v>4.5</v>
      </c>
      <c r="G3159" s="4" t="str">
        <f>HYPERLINK("http://141.218.60.56/~jnz1568/getInfo.php?workbook=14_04.xlsx&amp;sheet=U0&amp;row=3159&amp;col=7&amp;number=0.00239&amp;sourceID=14","0.00239")</f>
        <v>0.00239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HYPERLINK("http://141.218.60.56/~jnz1568/getInfo.php?workbook=14_04.xlsx&amp;sheet=U0&amp;row=3160&amp;col=6&amp;number=4.6&amp;sourceID=14","4.6")</f>
        <v>4.6</v>
      </c>
      <c r="G3160" s="4" t="str">
        <f>HYPERLINK("http://141.218.60.56/~jnz1568/getInfo.php?workbook=14_04.xlsx&amp;sheet=U0&amp;row=3160&amp;col=7&amp;number=0.0024&amp;sourceID=14","0.0024")</f>
        <v>0.0024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HYPERLINK("http://141.218.60.56/~jnz1568/getInfo.php?workbook=14_04.xlsx&amp;sheet=U0&amp;row=3161&amp;col=6&amp;number=4.7&amp;sourceID=14","4.7")</f>
        <v>4.7</v>
      </c>
      <c r="G3161" s="4" t="str">
        <f>HYPERLINK("http://141.218.60.56/~jnz1568/getInfo.php?workbook=14_04.xlsx&amp;sheet=U0&amp;row=3161&amp;col=7&amp;number=0.0024&amp;sourceID=14","0.0024")</f>
        <v>0.0024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HYPERLINK("http://141.218.60.56/~jnz1568/getInfo.php?workbook=14_04.xlsx&amp;sheet=U0&amp;row=3162&amp;col=6&amp;number=4.8&amp;sourceID=14","4.8")</f>
        <v>4.8</v>
      </c>
      <c r="G3162" s="4" t="str">
        <f>HYPERLINK("http://141.218.60.56/~jnz1568/getInfo.php?workbook=14_04.xlsx&amp;sheet=U0&amp;row=3162&amp;col=7&amp;number=0.0024&amp;sourceID=14","0.0024")</f>
        <v>0.0024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HYPERLINK("http://141.218.60.56/~jnz1568/getInfo.php?workbook=14_04.xlsx&amp;sheet=U0&amp;row=3163&amp;col=6&amp;number=4.9&amp;sourceID=14","4.9")</f>
        <v>4.9</v>
      </c>
      <c r="G3163" s="4" t="str">
        <f>HYPERLINK("http://141.218.60.56/~jnz1568/getInfo.php?workbook=14_04.xlsx&amp;sheet=U0&amp;row=3163&amp;col=7&amp;number=0.00241&amp;sourceID=14","0.00241")</f>
        <v>0.00241</v>
      </c>
    </row>
    <row r="3164" spans="1:7">
      <c r="A3164" s="3">
        <v>14</v>
      </c>
      <c r="B3164" s="3">
        <v>4</v>
      </c>
      <c r="C3164" s="3">
        <v>2</v>
      </c>
      <c r="D3164" s="3">
        <v>42</v>
      </c>
      <c r="E3164" s="3">
        <v>1</v>
      </c>
      <c r="F3164" s="4" t="str">
        <f>HYPERLINK("http://141.218.60.56/~jnz1568/getInfo.php?workbook=14_04.xlsx&amp;sheet=U0&amp;row=3164&amp;col=6&amp;number=3&amp;sourceID=14","3")</f>
        <v>3</v>
      </c>
      <c r="G3164" s="4" t="str">
        <f>HYPERLINK("http://141.218.60.56/~jnz1568/getInfo.php?workbook=14_04.xlsx&amp;sheet=U0&amp;row=3164&amp;col=7&amp;number=0.000241&amp;sourceID=14","0.000241")</f>
        <v>0.000241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HYPERLINK("http://141.218.60.56/~jnz1568/getInfo.php?workbook=14_04.xlsx&amp;sheet=U0&amp;row=3165&amp;col=6&amp;number=3.1&amp;sourceID=14","3.1")</f>
        <v>3.1</v>
      </c>
      <c r="G3165" s="4" t="str">
        <f>HYPERLINK("http://141.218.60.56/~jnz1568/getInfo.php?workbook=14_04.xlsx&amp;sheet=U0&amp;row=3165&amp;col=7&amp;number=0.000241&amp;sourceID=14","0.000241")</f>
        <v>0.000241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HYPERLINK("http://141.218.60.56/~jnz1568/getInfo.php?workbook=14_04.xlsx&amp;sheet=U0&amp;row=3166&amp;col=6&amp;number=3.2&amp;sourceID=14","3.2")</f>
        <v>3.2</v>
      </c>
      <c r="G3166" s="4" t="str">
        <f>HYPERLINK("http://141.218.60.56/~jnz1568/getInfo.php?workbook=14_04.xlsx&amp;sheet=U0&amp;row=3166&amp;col=7&amp;number=0.000241&amp;sourceID=14","0.000241")</f>
        <v>0.000241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HYPERLINK("http://141.218.60.56/~jnz1568/getInfo.php?workbook=14_04.xlsx&amp;sheet=U0&amp;row=3167&amp;col=6&amp;number=3.3&amp;sourceID=14","3.3")</f>
        <v>3.3</v>
      </c>
      <c r="G3167" s="4" t="str">
        <f>HYPERLINK("http://141.218.60.56/~jnz1568/getInfo.php?workbook=14_04.xlsx&amp;sheet=U0&amp;row=3167&amp;col=7&amp;number=0.000241&amp;sourceID=14","0.000241")</f>
        <v>0.000241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HYPERLINK("http://141.218.60.56/~jnz1568/getInfo.php?workbook=14_04.xlsx&amp;sheet=U0&amp;row=3168&amp;col=6&amp;number=3.4&amp;sourceID=14","3.4")</f>
        <v>3.4</v>
      </c>
      <c r="G3168" s="4" t="str">
        <f>HYPERLINK("http://141.218.60.56/~jnz1568/getInfo.php?workbook=14_04.xlsx&amp;sheet=U0&amp;row=3168&amp;col=7&amp;number=0.000241&amp;sourceID=14","0.000241")</f>
        <v>0.000241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HYPERLINK("http://141.218.60.56/~jnz1568/getInfo.php?workbook=14_04.xlsx&amp;sheet=U0&amp;row=3169&amp;col=6&amp;number=3.5&amp;sourceID=14","3.5")</f>
        <v>3.5</v>
      </c>
      <c r="G3169" s="4" t="str">
        <f>HYPERLINK("http://141.218.60.56/~jnz1568/getInfo.php?workbook=14_04.xlsx&amp;sheet=U0&amp;row=3169&amp;col=7&amp;number=0.000241&amp;sourceID=14","0.000241")</f>
        <v>0.000241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HYPERLINK("http://141.218.60.56/~jnz1568/getInfo.php?workbook=14_04.xlsx&amp;sheet=U0&amp;row=3170&amp;col=6&amp;number=3.6&amp;sourceID=14","3.6")</f>
        <v>3.6</v>
      </c>
      <c r="G3170" s="4" t="str">
        <f>HYPERLINK("http://141.218.60.56/~jnz1568/getInfo.php?workbook=14_04.xlsx&amp;sheet=U0&amp;row=3170&amp;col=7&amp;number=0.000241&amp;sourceID=14","0.000241")</f>
        <v>0.000241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HYPERLINK("http://141.218.60.56/~jnz1568/getInfo.php?workbook=14_04.xlsx&amp;sheet=U0&amp;row=3171&amp;col=6&amp;number=3.7&amp;sourceID=14","3.7")</f>
        <v>3.7</v>
      </c>
      <c r="G3171" s="4" t="str">
        <f>HYPERLINK("http://141.218.60.56/~jnz1568/getInfo.php?workbook=14_04.xlsx&amp;sheet=U0&amp;row=3171&amp;col=7&amp;number=0.000241&amp;sourceID=14","0.000241")</f>
        <v>0.000241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HYPERLINK("http://141.218.60.56/~jnz1568/getInfo.php?workbook=14_04.xlsx&amp;sheet=U0&amp;row=3172&amp;col=6&amp;number=3.8&amp;sourceID=14","3.8")</f>
        <v>3.8</v>
      </c>
      <c r="G3172" s="4" t="str">
        <f>HYPERLINK("http://141.218.60.56/~jnz1568/getInfo.php?workbook=14_04.xlsx&amp;sheet=U0&amp;row=3172&amp;col=7&amp;number=0.000241&amp;sourceID=14","0.000241")</f>
        <v>0.000241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HYPERLINK("http://141.218.60.56/~jnz1568/getInfo.php?workbook=14_04.xlsx&amp;sheet=U0&amp;row=3173&amp;col=6&amp;number=3.9&amp;sourceID=14","3.9")</f>
        <v>3.9</v>
      </c>
      <c r="G3173" s="4" t="str">
        <f>HYPERLINK("http://141.218.60.56/~jnz1568/getInfo.php?workbook=14_04.xlsx&amp;sheet=U0&amp;row=3173&amp;col=7&amp;number=0.000241&amp;sourceID=14","0.000241")</f>
        <v>0.000241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HYPERLINK("http://141.218.60.56/~jnz1568/getInfo.php?workbook=14_04.xlsx&amp;sheet=U0&amp;row=3174&amp;col=6&amp;number=4&amp;sourceID=14","4")</f>
        <v>4</v>
      </c>
      <c r="G3174" s="4" t="str">
        <f>HYPERLINK("http://141.218.60.56/~jnz1568/getInfo.php?workbook=14_04.xlsx&amp;sheet=U0&amp;row=3174&amp;col=7&amp;number=0.000241&amp;sourceID=14","0.000241")</f>
        <v>0.000241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HYPERLINK("http://141.218.60.56/~jnz1568/getInfo.php?workbook=14_04.xlsx&amp;sheet=U0&amp;row=3175&amp;col=6&amp;number=4.1&amp;sourceID=14","4.1")</f>
        <v>4.1</v>
      </c>
      <c r="G3175" s="4" t="str">
        <f>HYPERLINK("http://141.218.60.56/~jnz1568/getInfo.php?workbook=14_04.xlsx&amp;sheet=U0&amp;row=3175&amp;col=7&amp;number=0.000241&amp;sourceID=14","0.000241")</f>
        <v>0.000241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HYPERLINK("http://141.218.60.56/~jnz1568/getInfo.php?workbook=14_04.xlsx&amp;sheet=U0&amp;row=3176&amp;col=6&amp;number=4.2&amp;sourceID=14","4.2")</f>
        <v>4.2</v>
      </c>
      <c r="G3176" s="4" t="str">
        <f>HYPERLINK("http://141.218.60.56/~jnz1568/getInfo.php?workbook=14_04.xlsx&amp;sheet=U0&amp;row=3176&amp;col=7&amp;number=0.000241&amp;sourceID=14","0.000241")</f>
        <v>0.000241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HYPERLINK("http://141.218.60.56/~jnz1568/getInfo.php?workbook=14_04.xlsx&amp;sheet=U0&amp;row=3177&amp;col=6&amp;number=4.3&amp;sourceID=14","4.3")</f>
        <v>4.3</v>
      </c>
      <c r="G3177" s="4" t="str">
        <f>HYPERLINK("http://141.218.60.56/~jnz1568/getInfo.php?workbook=14_04.xlsx&amp;sheet=U0&amp;row=3177&amp;col=7&amp;number=0.00024&amp;sourceID=14","0.00024")</f>
        <v>0.00024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HYPERLINK("http://141.218.60.56/~jnz1568/getInfo.php?workbook=14_04.xlsx&amp;sheet=U0&amp;row=3178&amp;col=6&amp;number=4.4&amp;sourceID=14","4.4")</f>
        <v>4.4</v>
      </c>
      <c r="G3178" s="4" t="str">
        <f>HYPERLINK("http://141.218.60.56/~jnz1568/getInfo.php?workbook=14_04.xlsx&amp;sheet=U0&amp;row=3178&amp;col=7&amp;number=0.00024&amp;sourceID=14","0.00024")</f>
        <v>0.00024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HYPERLINK("http://141.218.60.56/~jnz1568/getInfo.php?workbook=14_04.xlsx&amp;sheet=U0&amp;row=3179&amp;col=6&amp;number=4.5&amp;sourceID=14","4.5")</f>
        <v>4.5</v>
      </c>
      <c r="G3179" s="4" t="str">
        <f>HYPERLINK("http://141.218.60.56/~jnz1568/getInfo.php?workbook=14_04.xlsx&amp;sheet=U0&amp;row=3179&amp;col=7&amp;number=0.00024&amp;sourceID=14","0.00024")</f>
        <v>0.00024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HYPERLINK("http://141.218.60.56/~jnz1568/getInfo.php?workbook=14_04.xlsx&amp;sheet=U0&amp;row=3180&amp;col=6&amp;number=4.6&amp;sourceID=14","4.6")</f>
        <v>4.6</v>
      </c>
      <c r="G3180" s="4" t="str">
        <f>HYPERLINK("http://141.218.60.56/~jnz1568/getInfo.php?workbook=14_04.xlsx&amp;sheet=U0&amp;row=3180&amp;col=7&amp;number=0.00024&amp;sourceID=14","0.00024")</f>
        <v>0.00024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HYPERLINK("http://141.218.60.56/~jnz1568/getInfo.php?workbook=14_04.xlsx&amp;sheet=U0&amp;row=3181&amp;col=6&amp;number=4.7&amp;sourceID=14","4.7")</f>
        <v>4.7</v>
      </c>
      <c r="G3181" s="4" t="str">
        <f>HYPERLINK("http://141.218.60.56/~jnz1568/getInfo.php?workbook=14_04.xlsx&amp;sheet=U0&amp;row=3181&amp;col=7&amp;number=0.000239&amp;sourceID=14","0.000239")</f>
        <v>0.000239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HYPERLINK("http://141.218.60.56/~jnz1568/getInfo.php?workbook=14_04.xlsx&amp;sheet=U0&amp;row=3182&amp;col=6&amp;number=4.8&amp;sourceID=14","4.8")</f>
        <v>4.8</v>
      </c>
      <c r="G3182" s="4" t="str">
        <f>HYPERLINK("http://141.218.60.56/~jnz1568/getInfo.php?workbook=14_04.xlsx&amp;sheet=U0&amp;row=3182&amp;col=7&amp;number=0.000239&amp;sourceID=14","0.000239")</f>
        <v>0.000239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HYPERLINK("http://141.218.60.56/~jnz1568/getInfo.php?workbook=14_04.xlsx&amp;sheet=U0&amp;row=3183&amp;col=6&amp;number=4.9&amp;sourceID=14","4.9")</f>
        <v>4.9</v>
      </c>
      <c r="G3183" s="4" t="str">
        <f>HYPERLINK("http://141.218.60.56/~jnz1568/getInfo.php?workbook=14_04.xlsx&amp;sheet=U0&amp;row=3183&amp;col=7&amp;number=0.000238&amp;sourceID=14","0.000238")</f>
        <v>0.000238</v>
      </c>
    </row>
    <row r="3184" spans="1:7">
      <c r="A3184" s="3">
        <v>14</v>
      </c>
      <c r="B3184" s="3">
        <v>4</v>
      </c>
      <c r="C3184" s="3">
        <v>2</v>
      </c>
      <c r="D3184" s="3">
        <v>43</v>
      </c>
      <c r="E3184" s="3">
        <v>1</v>
      </c>
      <c r="F3184" s="4" t="str">
        <f>HYPERLINK("http://141.218.60.56/~jnz1568/getInfo.php?workbook=14_04.xlsx&amp;sheet=U0&amp;row=3184&amp;col=6&amp;number=3&amp;sourceID=14","3")</f>
        <v>3</v>
      </c>
      <c r="G3184" s="4" t="str">
        <f>HYPERLINK("http://141.218.60.56/~jnz1568/getInfo.php?workbook=14_04.xlsx&amp;sheet=U0&amp;row=3184&amp;col=7&amp;number=6.56e-05&amp;sourceID=14","6.56e-05")</f>
        <v>6.56e-05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HYPERLINK("http://141.218.60.56/~jnz1568/getInfo.php?workbook=14_04.xlsx&amp;sheet=U0&amp;row=3185&amp;col=6&amp;number=3.1&amp;sourceID=14","3.1")</f>
        <v>3.1</v>
      </c>
      <c r="G3185" s="4" t="str">
        <f>HYPERLINK("http://141.218.60.56/~jnz1568/getInfo.php?workbook=14_04.xlsx&amp;sheet=U0&amp;row=3185&amp;col=7&amp;number=6.56e-05&amp;sourceID=14","6.56e-05")</f>
        <v>6.56e-05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HYPERLINK("http://141.218.60.56/~jnz1568/getInfo.php?workbook=14_04.xlsx&amp;sheet=U0&amp;row=3186&amp;col=6&amp;number=3.2&amp;sourceID=14","3.2")</f>
        <v>3.2</v>
      </c>
      <c r="G3186" s="4" t="str">
        <f>HYPERLINK("http://141.218.60.56/~jnz1568/getInfo.php?workbook=14_04.xlsx&amp;sheet=U0&amp;row=3186&amp;col=7&amp;number=6.56e-05&amp;sourceID=14","6.56e-05")</f>
        <v>6.56e-05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HYPERLINK("http://141.218.60.56/~jnz1568/getInfo.php?workbook=14_04.xlsx&amp;sheet=U0&amp;row=3187&amp;col=6&amp;number=3.3&amp;sourceID=14","3.3")</f>
        <v>3.3</v>
      </c>
      <c r="G3187" s="4" t="str">
        <f>HYPERLINK("http://141.218.60.56/~jnz1568/getInfo.php?workbook=14_04.xlsx&amp;sheet=U0&amp;row=3187&amp;col=7&amp;number=6.56e-05&amp;sourceID=14","6.56e-05")</f>
        <v>6.56e-05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HYPERLINK("http://141.218.60.56/~jnz1568/getInfo.php?workbook=14_04.xlsx&amp;sheet=U0&amp;row=3188&amp;col=6&amp;number=3.4&amp;sourceID=14","3.4")</f>
        <v>3.4</v>
      </c>
      <c r="G3188" s="4" t="str">
        <f>HYPERLINK("http://141.218.60.56/~jnz1568/getInfo.php?workbook=14_04.xlsx&amp;sheet=U0&amp;row=3188&amp;col=7&amp;number=6.56e-05&amp;sourceID=14","6.56e-05")</f>
        <v>6.56e-05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HYPERLINK("http://141.218.60.56/~jnz1568/getInfo.php?workbook=14_04.xlsx&amp;sheet=U0&amp;row=3189&amp;col=6&amp;number=3.5&amp;sourceID=14","3.5")</f>
        <v>3.5</v>
      </c>
      <c r="G3189" s="4" t="str">
        <f>HYPERLINK("http://141.218.60.56/~jnz1568/getInfo.php?workbook=14_04.xlsx&amp;sheet=U0&amp;row=3189&amp;col=7&amp;number=6.56e-05&amp;sourceID=14","6.56e-05")</f>
        <v>6.56e-05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HYPERLINK("http://141.218.60.56/~jnz1568/getInfo.php?workbook=14_04.xlsx&amp;sheet=U0&amp;row=3190&amp;col=6&amp;number=3.6&amp;sourceID=14","3.6")</f>
        <v>3.6</v>
      </c>
      <c r="G3190" s="4" t="str">
        <f>HYPERLINK("http://141.218.60.56/~jnz1568/getInfo.php?workbook=14_04.xlsx&amp;sheet=U0&amp;row=3190&amp;col=7&amp;number=6.56e-05&amp;sourceID=14","6.56e-05")</f>
        <v>6.56e-05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HYPERLINK("http://141.218.60.56/~jnz1568/getInfo.php?workbook=14_04.xlsx&amp;sheet=U0&amp;row=3191&amp;col=6&amp;number=3.7&amp;sourceID=14","3.7")</f>
        <v>3.7</v>
      </c>
      <c r="G3191" s="4" t="str">
        <f>HYPERLINK("http://141.218.60.56/~jnz1568/getInfo.php?workbook=14_04.xlsx&amp;sheet=U0&amp;row=3191&amp;col=7&amp;number=6.56e-05&amp;sourceID=14","6.56e-05")</f>
        <v>6.56e-05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HYPERLINK("http://141.218.60.56/~jnz1568/getInfo.php?workbook=14_04.xlsx&amp;sheet=U0&amp;row=3192&amp;col=6&amp;number=3.8&amp;sourceID=14","3.8")</f>
        <v>3.8</v>
      </c>
      <c r="G3192" s="4" t="str">
        <f>HYPERLINK("http://141.218.60.56/~jnz1568/getInfo.php?workbook=14_04.xlsx&amp;sheet=U0&amp;row=3192&amp;col=7&amp;number=6.56e-05&amp;sourceID=14","6.56e-05")</f>
        <v>6.56e-05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HYPERLINK("http://141.218.60.56/~jnz1568/getInfo.php?workbook=14_04.xlsx&amp;sheet=U0&amp;row=3193&amp;col=6&amp;number=3.9&amp;sourceID=14","3.9")</f>
        <v>3.9</v>
      </c>
      <c r="G3193" s="4" t="str">
        <f>HYPERLINK("http://141.218.60.56/~jnz1568/getInfo.php?workbook=14_04.xlsx&amp;sheet=U0&amp;row=3193&amp;col=7&amp;number=6.56e-05&amp;sourceID=14","6.56e-05")</f>
        <v>6.56e-05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HYPERLINK("http://141.218.60.56/~jnz1568/getInfo.php?workbook=14_04.xlsx&amp;sheet=U0&amp;row=3194&amp;col=6&amp;number=4&amp;sourceID=14","4")</f>
        <v>4</v>
      </c>
      <c r="G3194" s="4" t="str">
        <f>HYPERLINK("http://141.218.60.56/~jnz1568/getInfo.php?workbook=14_04.xlsx&amp;sheet=U0&amp;row=3194&amp;col=7&amp;number=6.56e-05&amp;sourceID=14","6.56e-05")</f>
        <v>6.56e-05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HYPERLINK("http://141.218.60.56/~jnz1568/getInfo.php?workbook=14_04.xlsx&amp;sheet=U0&amp;row=3195&amp;col=6&amp;number=4.1&amp;sourceID=14","4.1")</f>
        <v>4.1</v>
      </c>
      <c r="G3195" s="4" t="str">
        <f>HYPERLINK("http://141.218.60.56/~jnz1568/getInfo.php?workbook=14_04.xlsx&amp;sheet=U0&amp;row=3195&amp;col=7&amp;number=6.56e-05&amp;sourceID=14","6.56e-05")</f>
        <v>6.56e-05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HYPERLINK("http://141.218.60.56/~jnz1568/getInfo.php?workbook=14_04.xlsx&amp;sheet=U0&amp;row=3196&amp;col=6&amp;number=4.2&amp;sourceID=14","4.2")</f>
        <v>4.2</v>
      </c>
      <c r="G3196" s="4" t="str">
        <f>HYPERLINK("http://141.218.60.56/~jnz1568/getInfo.php?workbook=14_04.xlsx&amp;sheet=U0&amp;row=3196&amp;col=7&amp;number=6.56e-05&amp;sourceID=14","6.56e-05")</f>
        <v>6.56e-05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HYPERLINK("http://141.218.60.56/~jnz1568/getInfo.php?workbook=14_04.xlsx&amp;sheet=U0&amp;row=3197&amp;col=6&amp;number=4.3&amp;sourceID=14","4.3")</f>
        <v>4.3</v>
      </c>
      <c r="G3197" s="4" t="str">
        <f>HYPERLINK("http://141.218.60.56/~jnz1568/getInfo.php?workbook=14_04.xlsx&amp;sheet=U0&amp;row=3197&amp;col=7&amp;number=6.56e-05&amp;sourceID=14","6.56e-05")</f>
        <v>6.56e-05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HYPERLINK("http://141.218.60.56/~jnz1568/getInfo.php?workbook=14_04.xlsx&amp;sheet=U0&amp;row=3198&amp;col=6&amp;number=4.4&amp;sourceID=14","4.4")</f>
        <v>4.4</v>
      </c>
      <c r="G3198" s="4" t="str">
        <f>HYPERLINK("http://141.218.60.56/~jnz1568/getInfo.php?workbook=14_04.xlsx&amp;sheet=U0&amp;row=3198&amp;col=7&amp;number=6.56e-05&amp;sourceID=14","6.56e-05")</f>
        <v>6.56e-05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HYPERLINK("http://141.218.60.56/~jnz1568/getInfo.php?workbook=14_04.xlsx&amp;sheet=U0&amp;row=3199&amp;col=6&amp;number=4.5&amp;sourceID=14","4.5")</f>
        <v>4.5</v>
      </c>
      <c r="G3199" s="4" t="str">
        <f>HYPERLINK("http://141.218.60.56/~jnz1568/getInfo.php?workbook=14_04.xlsx&amp;sheet=U0&amp;row=3199&amp;col=7&amp;number=6.56e-05&amp;sourceID=14","6.56e-05")</f>
        <v>6.56e-05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HYPERLINK("http://141.218.60.56/~jnz1568/getInfo.php?workbook=14_04.xlsx&amp;sheet=U0&amp;row=3200&amp;col=6&amp;number=4.6&amp;sourceID=14","4.6")</f>
        <v>4.6</v>
      </c>
      <c r="G3200" s="4" t="str">
        <f>HYPERLINK("http://141.218.60.56/~jnz1568/getInfo.php?workbook=14_04.xlsx&amp;sheet=U0&amp;row=3200&amp;col=7&amp;number=6.56e-05&amp;sourceID=14","6.56e-05")</f>
        <v>6.56e-05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HYPERLINK("http://141.218.60.56/~jnz1568/getInfo.php?workbook=14_04.xlsx&amp;sheet=U0&amp;row=3201&amp;col=6&amp;number=4.7&amp;sourceID=14","4.7")</f>
        <v>4.7</v>
      </c>
      <c r="G3201" s="4" t="str">
        <f>HYPERLINK("http://141.218.60.56/~jnz1568/getInfo.php?workbook=14_04.xlsx&amp;sheet=U0&amp;row=3201&amp;col=7&amp;number=6.56e-05&amp;sourceID=14","6.56e-05")</f>
        <v>6.56e-05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HYPERLINK("http://141.218.60.56/~jnz1568/getInfo.php?workbook=14_04.xlsx&amp;sheet=U0&amp;row=3202&amp;col=6&amp;number=4.8&amp;sourceID=14","4.8")</f>
        <v>4.8</v>
      </c>
      <c r="G3202" s="4" t="str">
        <f>HYPERLINK("http://141.218.60.56/~jnz1568/getInfo.php?workbook=14_04.xlsx&amp;sheet=U0&amp;row=3202&amp;col=7&amp;number=6.57e-05&amp;sourceID=14","6.57e-05")</f>
        <v>6.57e-05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HYPERLINK("http://141.218.60.56/~jnz1568/getInfo.php?workbook=14_04.xlsx&amp;sheet=U0&amp;row=3203&amp;col=6&amp;number=4.9&amp;sourceID=14","4.9")</f>
        <v>4.9</v>
      </c>
      <c r="G3203" s="4" t="str">
        <f>HYPERLINK("http://141.218.60.56/~jnz1568/getInfo.php?workbook=14_04.xlsx&amp;sheet=U0&amp;row=3203&amp;col=7&amp;number=6.57e-05&amp;sourceID=14","6.57e-05")</f>
        <v>6.57e-05</v>
      </c>
    </row>
    <row r="3204" spans="1:7">
      <c r="A3204" s="3">
        <v>14</v>
      </c>
      <c r="B3204" s="3">
        <v>4</v>
      </c>
      <c r="C3204" s="3">
        <v>2</v>
      </c>
      <c r="D3204" s="3">
        <v>44</v>
      </c>
      <c r="E3204" s="3">
        <v>1</v>
      </c>
      <c r="F3204" s="4" t="str">
        <f>HYPERLINK("http://141.218.60.56/~jnz1568/getInfo.php?workbook=14_04.xlsx&amp;sheet=U0&amp;row=3204&amp;col=6&amp;number=3&amp;sourceID=14","3")</f>
        <v>3</v>
      </c>
      <c r="G3204" s="4" t="str">
        <f>HYPERLINK("http://141.218.60.56/~jnz1568/getInfo.php?workbook=14_04.xlsx&amp;sheet=U0&amp;row=3204&amp;col=7&amp;number=0.000168&amp;sourceID=14","0.000168")</f>
        <v>0.000168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HYPERLINK("http://141.218.60.56/~jnz1568/getInfo.php?workbook=14_04.xlsx&amp;sheet=U0&amp;row=3205&amp;col=6&amp;number=3.1&amp;sourceID=14","3.1")</f>
        <v>3.1</v>
      </c>
      <c r="G3205" s="4" t="str">
        <f>HYPERLINK("http://141.218.60.56/~jnz1568/getInfo.php?workbook=14_04.xlsx&amp;sheet=U0&amp;row=3205&amp;col=7&amp;number=0.000168&amp;sourceID=14","0.000168")</f>
        <v>0.000168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HYPERLINK("http://141.218.60.56/~jnz1568/getInfo.php?workbook=14_04.xlsx&amp;sheet=U0&amp;row=3206&amp;col=6&amp;number=3.2&amp;sourceID=14","3.2")</f>
        <v>3.2</v>
      </c>
      <c r="G3206" s="4" t="str">
        <f>HYPERLINK("http://141.218.60.56/~jnz1568/getInfo.php?workbook=14_04.xlsx&amp;sheet=U0&amp;row=3206&amp;col=7&amp;number=0.000168&amp;sourceID=14","0.000168")</f>
        <v>0.000168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HYPERLINK("http://141.218.60.56/~jnz1568/getInfo.php?workbook=14_04.xlsx&amp;sheet=U0&amp;row=3207&amp;col=6&amp;number=3.3&amp;sourceID=14","3.3")</f>
        <v>3.3</v>
      </c>
      <c r="G3207" s="4" t="str">
        <f>HYPERLINK("http://141.218.60.56/~jnz1568/getInfo.php?workbook=14_04.xlsx&amp;sheet=U0&amp;row=3207&amp;col=7&amp;number=0.000168&amp;sourceID=14","0.000168")</f>
        <v>0.000168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HYPERLINK("http://141.218.60.56/~jnz1568/getInfo.php?workbook=14_04.xlsx&amp;sheet=U0&amp;row=3208&amp;col=6&amp;number=3.4&amp;sourceID=14","3.4")</f>
        <v>3.4</v>
      </c>
      <c r="G3208" s="4" t="str">
        <f>HYPERLINK("http://141.218.60.56/~jnz1568/getInfo.php?workbook=14_04.xlsx&amp;sheet=U0&amp;row=3208&amp;col=7&amp;number=0.000168&amp;sourceID=14","0.000168")</f>
        <v>0.000168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HYPERLINK("http://141.218.60.56/~jnz1568/getInfo.php?workbook=14_04.xlsx&amp;sheet=U0&amp;row=3209&amp;col=6&amp;number=3.5&amp;sourceID=14","3.5")</f>
        <v>3.5</v>
      </c>
      <c r="G3209" s="4" t="str">
        <f>HYPERLINK("http://141.218.60.56/~jnz1568/getInfo.php?workbook=14_04.xlsx&amp;sheet=U0&amp;row=3209&amp;col=7&amp;number=0.000168&amp;sourceID=14","0.000168")</f>
        <v>0.000168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HYPERLINK("http://141.218.60.56/~jnz1568/getInfo.php?workbook=14_04.xlsx&amp;sheet=U0&amp;row=3210&amp;col=6&amp;number=3.6&amp;sourceID=14","3.6")</f>
        <v>3.6</v>
      </c>
      <c r="G3210" s="4" t="str">
        <f>HYPERLINK("http://141.218.60.56/~jnz1568/getInfo.php?workbook=14_04.xlsx&amp;sheet=U0&amp;row=3210&amp;col=7&amp;number=0.000168&amp;sourceID=14","0.000168")</f>
        <v>0.000168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HYPERLINK("http://141.218.60.56/~jnz1568/getInfo.php?workbook=14_04.xlsx&amp;sheet=U0&amp;row=3211&amp;col=6&amp;number=3.7&amp;sourceID=14","3.7")</f>
        <v>3.7</v>
      </c>
      <c r="G3211" s="4" t="str">
        <f>HYPERLINK("http://141.218.60.56/~jnz1568/getInfo.php?workbook=14_04.xlsx&amp;sheet=U0&amp;row=3211&amp;col=7&amp;number=0.000168&amp;sourceID=14","0.000168")</f>
        <v>0.000168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HYPERLINK("http://141.218.60.56/~jnz1568/getInfo.php?workbook=14_04.xlsx&amp;sheet=U0&amp;row=3212&amp;col=6&amp;number=3.8&amp;sourceID=14","3.8")</f>
        <v>3.8</v>
      </c>
      <c r="G3212" s="4" t="str">
        <f>HYPERLINK("http://141.218.60.56/~jnz1568/getInfo.php?workbook=14_04.xlsx&amp;sheet=U0&amp;row=3212&amp;col=7&amp;number=0.000168&amp;sourceID=14","0.000168")</f>
        <v>0.000168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HYPERLINK("http://141.218.60.56/~jnz1568/getInfo.php?workbook=14_04.xlsx&amp;sheet=U0&amp;row=3213&amp;col=6&amp;number=3.9&amp;sourceID=14","3.9")</f>
        <v>3.9</v>
      </c>
      <c r="G3213" s="4" t="str">
        <f>HYPERLINK("http://141.218.60.56/~jnz1568/getInfo.php?workbook=14_04.xlsx&amp;sheet=U0&amp;row=3213&amp;col=7&amp;number=0.000167&amp;sourceID=14","0.000167")</f>
        <v>0.000167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HYPERLINK("http://141.218.60.56/~jnz1568/getInfo.php?workbook=14_04.xlsx&amp;sheet=U0&amp;row=3214&amp;col=6&amp;number=4&amp;sourceID=14","4")</f>
        <v>4</v>
      </c>
      <c r="G3214" s="4" t="str">
        <f>HYPERLINK("http://141.218.60.56/~jnz1568/getInfo.php?workbook=14_04.xlsx&amp;sheet=U0&amp;row=3214&amp;col=7&amp;number=0.000167&amp;sourceID=14","0.000167")</f>
        <v>0.000167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HYPERLINK("http://141.218.60.56/~jnz1568/getInfo.php?workbook=14_04.xlsx&amp;sheet=U0&amp;row=3215&amp;col=6&amp;number=4.1&amp;sourceID=14","4.1")</f>
        <v>4.1</v>
      </c>
      <c r="G3215" s="4" t="str">
        <f>HYPERLINK("http://141.218.60.56/~jnz1568/getInfo.php?workbook=14_04.xlsx&amp;sheet=U0&amp;row=3215&amp;col=7&amp;number=0.000167&amp;sourceID=14","0.000167")</f>
        <v>0.000167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HYPERLINK("http://141.218.60.56/~jnz1568/getInfo.php?workbook=14_04.xlsx&amp;sheet=U0&amp;row=3216&amp;col=6&amp;number=4.2&amp;sourceID=14","4.2")</f>
        <v>4.2</v>
      </c>
      <c r="G3216" s="4" t="str">
        <f>HYPERLINK("http://141.218.60.56/~jnz1568/getInfo.php?workbook=14_04.xlsx&amp;sheet=U0&amp;row=3216&amp;col=7&amp;number=0.000167&amp;sourceID=14","0.000167")</f>
        <v>0.000167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HYPERLINK("http://141.218.60.56/~jnz1568/getInfo.php?workbook=14_04.xlsx&amp;sheet=U0&amp;row=3217&amp;col=6&amp;number=4.3&amp;sourceID=14","4.3")</f>
        <v>4.3</v>
      </c>
      <c r="G3217" s="4" t="str">
        <f>HYPERLINK("http://141.218.60.56/~jnz1568/getInfo.php?workbook=14_04.xlsx&amp;sheet=U0&amp;row=3217&amp;col=7&amp;number=0.000167&amp;sourceID=14","0.000167")</f>
        <v>0.000167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HYPERLINK("http://141.218.60.56/~jnz1568/getInfo.php?workbook=14_04.xlsx&amp;sheet=U0&amp;row=3218&amp;col=6&amp;number=4.4&amp;sourceID=14","4.4")</f>
        <v>4.4</v>
      </c>
      <c r="G3218" s="4" t="str">
        <f>HYPERLINK("http://141.218.60.56/~jnz1568/getInfo.php?workbook=14_04.xlsx&amp;sheet=U0&amp;row=3218&amp;col=7&amp;number=0.000166&amp;sourceID=14","0.000166")</f>
        <v>0.000166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HYPERLINK("http://141.218.60.56/~jnz1568/getInfo.php?workbook=14_04.xlsx&amp;sheet=U0&amp;row=3219&amp;col=6&amp;number=4.5&amp;sourceID=14","4.5")</f>
        <v>4.5</v>
      </c>
      <c r="G3219" s="4" t="str">
        <f>HYPERLINK("http://141.218.60.56/~jnz1568/getInfo.php?workbook=14_04.xlsx&amp;sheet=U0&amp;row=3219&amp;col=7&amp;number=0.000166&amp;sourceID=14","0.000166")</f>
        <v>0.000166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HYPERLINK("http://141.218.60.56/~jnz1568/getInfo.php?workbook=14_04.xlsx&amp;sheet=U0&amp;row=3220&amp;col=6&amp;number=4.6&amp;sourceID=14","4.6")</f>
        <v>4.6</v>
      </c>
      <c r="G3220" s="4" t="str">
        <f>HYPERLINK("http://141.218.60.56/~jnz1568/getInfo.php?workbook=14_04.xlsx&amp;sheet=U0&amp;row=3220&amp;col=7&amp;number=0.000165&amp;sourceID=14","0.000165")</f>
        <v>0.000165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HYPERLINK("http://141.218.60.56/~jnz1568/getInfo.php?workbook=14_04.xlsx&amp;sheet=U0&amp;row=3221&amp;col=6&amp;number=4.7&amp;sourceID=14","4.7")</f>
        <v>4.7</v>
      </c>
      <c r="G3221" s="4" t="str">
        <f>HYPERLINK("http://141.218.60.56/~jnz1568/getInfo.php?workbook=14_04.xlsx&amp;sheet=U0&amp;row=3221&amp;col=7&amp;number=0.000165&amp;sourceID=14","0.000165")</f>
        <v>0.000165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HYPERLINK("http://141.218.60.56/~jnz1568/getInfo.php?workbook=14_04.xlsx&amp;sheet=U0&amp;row=3222&amp;col=6&amp;number=4.8&amp;sourceID=14","4.8")</f>
        <v>4.8</v>
      </c>
      <c r="G3222" s="4" t="str">
        <f>HYPERLINK("http://141.218.60.56/~jnz1568/getInfo.php?workbook=14_04.xlsx&amp;sheet=U0&amp;row=3222&amp;col=7&amp;number=0.000164&amp;sourceID=14","0.000164")</f>
        <v>0.000164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HYPERLINK("http://141.218.60.56/~jnz1568/getInfo.php?workbook=14_04.xlsx&amp;sheet=U0&amp;row=3223&amp;col=6&amp;number=4.9&amp;sourceID=14","4.9")</f>
        <v>4.9</v>
      </c>
      <c r="G3223" s="4" t="str">
        <f>HYPERLINK("http://141.218.60.56/~jnz1568/getInfo.php?workbook=14_04.xlsx&amp;sheet=U0&amp;row=3223&amp;col=7&amp;number=0.000163&amp;sourceID=14","0.000163")</f>
        <v>0.000163</v>
      </c>
    </row>
    <row r="3224" spans="1:7">
      <c r="A3224" s="3">
        <v>14</v>
      </c>
      <c r="B3224" s="3">
        <v>4</v>
      </c>
      <c r="C3224" s="3">
        <v>2</v>
      </c>
      <c r="D3224" s="3">
        <v>45</v>
      </c>
      <c r="E3224" s="3">
        <v>1</v>
      </c>
      <c r="F3224" s="4" t="str">
        <f>HYPERLINK("http://141.218.60.56/~jnz1568/getInfo.php?workbook=14_04.xlsx&amp;sheet=U0&amp;row=3224&amp;col=6&amp;number=3&amp;sourceID=14","3")</f>
        <v>3</v>
      </c>
      <c r="G3224" s="4" t="str">
        <f>HYPERLINK("http://141.218.60.56/~jnz1568/getInfo.php?workbook=14_04.xlsx&amp;sheet=U0&amp;row=3224&amp;col=7&amp;number=0.00268&amp;sourceID=14","0.00268")</f>
        <v>0.00268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HYPERLINK("http://141.218.60.56/~jnz1568/getInfo.php?workbook=14_04.xlsx&amp;sheet=U0&amp;row=3225&amp;col=6&amp;number=3.1&amp;sourceID=14","3.1")</f>
        <v>3.1</v>
      </c>
      <c r="G3225" s="4" t="str">
        <f>HYPERLINK("http://141.218.60.56/~jnz1568/getInfo.php?workbook=14_04.xlsx&amp;sheet=U0&amp;row=3225&amp;col=7&amp;number=0.00268&amp;sourceID=14","0.00268")</f>
        <v>0.00268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HYPERLINK("http://141.218.60.56/~jnz1568/getInfo.php?workbook=14_04.xlsx&amp;sheet=U0&amp;row=3226&amp;col=6&amp;number=3.2&amp;sourceID=14","3.2")</f>
        <v>3.2</v>
      </c>
      <c r="G3226" s="4" t="str">
        <f>HYPERLINK("http://141.218.60.56/~jnz1568/getInfo.php?workbook=14_04.xlsx&amp;sheet=U0&amp;row=3226&amp;col=7&amp;number=0.00268&amp;sourceID=14","0.00268")</f>
        <v>0.00268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HYPERLINK("http://141.218.60.56/~jnz1568/getInfo.php?workbook=14_04.xlsx&amp;sheet=U0&amp;row=3227&amp;col=6&amp;number=3.3&amp;sourceID=14","3.3")</f>
        <v>3.3</v>
      </c>
      <c r="G3227" s="4" t="str">
        <f>HYPERLINK("http://141.218.60.56/~jnz1568/getInfo.php?workbook=14_04.xlsx&amp;sheet=U0&amp;row=3227&amp;col=7&amp;number=0.00268&amp;sourceID=14","0.00268")</f>
        <v>0.00268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HYPERLINK("http://141.218.60.56/~jnz1568/getInfo.php?workbook=14_04.xlsx&amp;sheet=U0&amp;row=3228&amp;col=6&amp;number=3.4&amp;sourceID=14","3.4")</f>
        <v>3.4</v>
      </c>
      <c r="G3228" s="4" t="str">
        <f>HYPERLINK("http://141.218.60.56/~jnz1568/getInfo.php?workbook=14_04.xlsx&amp;sheet=U0&amp;row=3228&amp;col=7&amp;number=0.00268&amp;sourceID=14","0.00268")</f>
        <v>0.00268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HYPERLINK("http://141.218.60.56/~jnz1568/getInfo.php?workbook=14_04.xlsx&amp;sheet=U0&amp;row=3229&amp;col=6&amp;number=3.5&amp;sourceID=14","3.5")</f>
        <v>3.5</v>
      </c>
      <c r="G3229" s="4" t="str">
        <f>HYPERLINK("http://141.218.60.56/~jnz1568/getInfo.php?workbook=14_04.xlsx&amp;sheet=U0&amp;row=3229&amp;col=7&amp;number=0.00268&amp;sourceID=14","0.00268")</f>
        <v>0.00268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HYPERLINK("http://141.218.60.56/~jnz1568/getInfo.php?workbook=14_04.xlsx&amp;sheet=U0&amp;row=3230&amp;col=6&amp;number=3.6&amp;sourceID=14","3.6")</f>
        <v>3.6</v>
      </c>
      <c r="G3230" s="4" t="str">
        <f>HYPERLINK("http://141.218.60.56/~jnz1568/getInfo.php?workbook=14_04.xlsx&amp;sheet=U0&amp;row=3230&amp;col=7&amp;number=0.00268&amp;sourceID=14","0.00268")</f>
        <v>0.00268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HYPERLINK("http://141.218.60.56/~jnz1568/getInfo.php?workbook=14_04.xlsx&amp;sheet=U0&amp;row=3231&amp;col=6&amp;number=3.7&amp;sourceID=14","3.7")</f>
        <v>3.7</v>
      </c>
      <c r="G3231" s="4" t="str">
        <f>HYPERLINK("http://141.218.60.56/~jnz1568/getInfo.php?workbook=14_04.xlsx&amp;sheet=U0&amp;row=3231&amp;col=7&amp;number=0.00268&amp;sourceID=14","0.00268")</f>
        <v>0.00268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HYPERLINK("http://141.218.60.56/~jnz1568/getInfo.php?workbook=14_04.xlsx&amp;sheet=U0&amp;row=3232&amp;col=6&amp;number=3.8&amp;sourceID=14","3.8")</f>
        <v>3.8</v>
      </c>
      <c r="G3232" s="4" t="str">
        <f>HYPERLINK("http://141.218.60.56/~jnz1568/getInfo.php?workbook=14_04.xlsx&amp;sheet=U0&amp;row=3232&amp;col=7&amp;number=0.00268&amp;sourceID=14","0.00268")</f>
        <v>0.00268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HYPERLINK("http://141.218.60.56/~jnz1568/getInfo.php?workbook=14_04.xlsx&amp;sheet=U0&amp;row=3233&amp;col=6&amp;number=3.9&amp;sourceID=14","3.9")</f>
        <v>3.9</v>
      </c>
      <c r="G3233" s="4" t="str">
        <f>HYPERLINK("http://141.218.60.56/~jnz1568/getInfo.php?workbook=14_04.xlsx&amp;sheet=U0&amp;row=3233&amp;col=7&amp;number=0.00268&amp;sourceID=14","0.00268")</f>
        <v>0.00268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HYPERLINK("http://141.218.60.56/~jnz1568/getInfo.php?workbook=14_04.xlsx&amp;sheet=U0&amp;row=3234&amp;col=6&amp;number=4&amp;sourceID=14","4")</f>
        <v>4</v>
      </c>
      <c r="G3234" s="4" t="str">
        <f>HYPERLINK("http://141.218.60.56/~jnz1568/getInfo.php?workbook=14_04.xlsx&amp;sheet=U0&amp;row=3234&amp;col=7&amp;number=0.00267&amp;sourceID=14","0.00267")</f>
        <v>0.00267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HYPERLINK("http://141.218.60.56/~jnz1568/getInfo.php?workbook=14_04.xlsx&amp;sheet=U0&amp;row=3235&amp;col=6&amp;number=4.1&amp;sourceID=14","4.1")</f>
        <v>4.1</v>
      </c>
      <c r="G3235" s="4" t="str">
        <f>HYPERLINK("http://141.218.60.56/~jnz1568/getInfo.php?workbook=14_04.xlsx&amp;sheet=U0&amp;row=3235&amp;col=7&amp;number=0.00267&amp;sourceID=14","0.00267")</f>
        <v>0.00267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HYPERLINK("http://141.218.60.56/~jnz1568/getInfo.php?workbook=14_04.xlsx&amp;sheet=U0&amp;row=3236&amp;col=6&amp;number=4.2&amp;sourceID=14","4.2")</f>
        <v>4.2</v>
      </c>
      <c r="G3236" s="4" t="str">
        <f>HYPERLINK("http://141.218.60.56/~jnz1568/getInfo.php?workbook=14_04.xlsx&amp;sheet=U0&amp;row=3236&amp;col=7&amp;number=0.00267&amp;sourceID=14","0.00267")</f>
        <v>0.00267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HYPERLINK("http://141.218.60.56/~jnz1568/getInfo.php?workbook=14_04.xlsx&amp;sheet=U0&amp;row=3237&amp;col=6&amp;number=4.3&amp;sourceID=14","4.3")</f>
        <v>4.3</v>
      </c>
      <c r="G3237" s="4" t="str">
        <f>HYPERLINK("http://141.218.60.56/~jnz1568/getInfo.php?workbook=14_04.xlsx&amp;sheet=U0&amp;row=3237&amp;col=7&amp;number=0.00266&amp;sourceID=14","0.00266")</f>
        <v>0.00266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HYPERLINK("http://141.218.60.56/~jnz1568/getInfo.php?workbook=14_04.xlsx&amp;sheet=U0&amp;row=3238&amp;col=6&amp;number=4.4&amp;sourceID=14","4.4")</f>
        <v>4.4</v>
      </c>
      <c r="G3238" s="4" t="str">
        <f>HYPERLINK("http://141.218.60.56/~jnz1568/getInfo.php?workbook=14_04.xlsx&amp;sheet=U0&amp;row=3238&amp;col=7&amp;number=0.00266&amp;sourceID=14","0.00266")</f>
        <v>0.00266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HYPERLINK("http://141.218.60.56/~jnz1568/getInfo.php?workbook=14_04.xlsx&amp;sheet=U0&amp;row=3239&amp;col=6&amp;number=4.5&amp;sourceID=14","4.5")</f>
        <v>4.5</v>
      </c>
      <c r="G3239" s="4" t="str">
        <f>HYPERLINK("http://141.218.60.56/~jnz1568/getInfo.php?workbook=14_04.xlsx&amp;sheet=U0&amp;row=3239&amp;col=7&amp;number=0.00265&amp;sourceID=14","0.00265")</f>
        <v>0.00265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HYPERLINK("http://141.218.60.56/~jnz1568/getInfo.php?workbook=14_04.xlsx&amp;sheet=U0&amp;row=3240&amp;col=6&amp;number=4.6&amp;sourceID=14","4.6")</f>
        <v>4.6</v>
      </c>
      <c r="G3240" s="4" t="str">
        <f>HYPERLINK("http://141.218.60.56/~jnz1568/getInfo.php?workbook=14_04.xlsx&amp;sheet=U0&amp;row=3240&amp;col=7&amp;number=0.00264&amp;sourceID=14","0.00264")</f>
        <v>0.00264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HYPERLINK("http://141.218.60.56/~jnz1568/getInfo.php?workbook=14_04.xlsx&amp;sheet=U0&amp;row=3241&amp;col=6&amp;number=4.7&amp;sourceID=14","4.7")</f>
        <v>4.7</v>
      </c>
      <c r="G3241" s="4" t="str">
        <f>HYPERLINK("http://141.218.60.56/~jnz1568/getInfo.php?workbook=14_04.xlsx&amp;sheet=U0&amp;row=3241&amp;col=7&amp;number=0.00263&amp;sourceID=14","0.00263")</f>
        <v>0.00263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HYPERLINK("http://141.218.60.56/~jnz1568/getInfo.php?workbook=14_04.xlsx&amp;sheet=U0&amp;row=3242&amp;col=6&amp;number=4.8&amp;sourceID=14","4.8")</f>
        <v>4.8</v>
      </c>
      <c r="G3242" s="4" t="str">
        <f>HYPERLINK("http://141.218.60.56/~jnz1568/getInfo.php?workbook=14_04.xlsx&amp;sheet=U0&amp;row=3242&amp;col=7&amp;number=0.00262&amp;sourceID=14","0.00262")</f>
        <v>0.00262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HYPERLINK("http://141.218.60.56/~jnz1568/getInfo.php?workbook=14_04.xlsx&amp;sheet=U0&amp;row=3243&amp;col=6&amp;number=4.9&amp;sourceID=14","4.9")</f>
        <v>4.9</v>
      </c>
      <c r="G3243" s="4" t="str">
        <f>HYPERLINK("http://141.218.60.56/~jnz1568/getInfo.php?workbook=14_04.xlsx&amp;sheet=U0&amp;row=3243&amp;col=7&amp;number=0.0026&amp;sourceID=14","0.0026")</f>
        <v>0.0026</v>
      </c>
    </row>
    <row r="3244" spans="1:7">
      <c r="A3244" s="3">
        <v>14</v>
      </c>
      <c r="B3244" s="3">
        <v>4</v>
      </c>
      <c r="C3244" s="3">
        <v>2</v>
      </c>
      <c r="D3244" s="3">
        <v>46</v>
      </c>
      <c r="E3244" s="3">
        <v>1</v>
      </c>
      <c r="F3244" s="4" t="str">
        <f>HYPERLINK("http://141.218.60.56/~jnz1568/getInfo.php?workbook=14_04.xlsx&amp;sheet=U0&amp;row=3244&amp;col=6&amp;number=3&amp;sourceID=14","3")</f>
        <v>3</v>
      </c>
      <c r="G3244" s="4" t="str">
        <f>HYPERLINK("http://141.218.60.56/~jnz1568/getInfo.php?workbook=14_04.xlsx&amp;sheet=U0&amp;row=3244&amp;col=7&amp;number=0.000897&amp;sourceID=14","0.000897")</f>
        <v>0.000897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HYPERLINK("http://141.218.60.56/~jnz1568/getInfo.php?workbook=14_04.xlsx&amp;sheet=U0&amp;row=3245&amp;col=6&amp;number=3.1&amp;sourceID=14","3.1")</f>
        <v>3.1</v>
      </c>
      <c r="G3245" s="4" t="str">
        <f>HYPERLINK("http://141.218.60.56/~jnz1568/getInfo.php?workbook=14_04.xlsx&amp;sheet=U0&amp;row=3245&amp;col=7&amp;number=0.000897&amp;sourceID=14","0.000897")</f>
        <v>0.000897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HYPERLINK("http://141.218.60.56/~jnz1568/getInfo.php?workbook=14_04.xlsx&amp;sheet=U0&amp;row=3246&amp;col=6&amp;number=3.2&amp;sourceID=14","3.2")</f>
        <v>3.2</v>
      </c>
      <c r="G3246" s="4" t="str">
        <f>HYPERLINK("http://141.218.60.56/~jnz1568/getInfo.php?workbook=14_04.xlsx&amp;sheet=U0&amp;row=3246&amp;col=7&amp;number=0.000897&amp;sourceID=14","0.000897")</f>
        <v>0.000897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HYPERLINK("http://141.218.60.56/~jnz1568/getInfo.php?workbook=14_04.xlsx&amp;sheet=U0&amp;row=3247&amp;col=6&amp;number=3.3&amp;sourceID=14","3.3")</f>
        <v>3.3</v>
      </c>
      <c r="G3247" s="4" t="str">
        <f>HYPERLINK("http://141.218.60.56/~jnz1568/getInfo.php?workbook=14_04.xlsx&amp;sheet=U0&amp;row=3247&amp;col=7&amp;number=0.000897&amp;sourceID=14","0.000897")</f>
        <v>0.000897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HYPERLINK("http://141.218.60.56/~jnz1568/getInfo.php?workbook=14_04.xlsx&amp;sheet=U0&amp;row=3248&amp;col=6&amp;number=3.4&amp;sourceID=14","3.4")</f>
        <v>3.4</v>
      </c>
      <c r="G3248" s="4" t="str">
        <f>HYPERLINK("http://141.218.60.56/~jnz1568/getInfo.php?workbook=14_04.xlsx&amp;sheet=U0&amp;row=3248&amp;col=7&amp;number=0.000897&amp;sourceID=14","0.000897")</f>
        <v>0.000897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HYPERLINK("http://141.218.60.56/~jnz1568/getInfo.php?workbook=14_04.xlsx&amp;sheet=U0&amp;row=3249&amp;col=6&amp;number=3.5&amp;sourceID=14","3.5")</f>
        <v>3.5</v>
      </c>
      <c r="G3249" s="4" t="str">
        <f>HYPERLINK("http://141.218.60.56/~jnz1568/getInfo.php?workbook=14_04.xlsx&amp;sheet=U0&amp;row=3249&amp;col=7&amp;number=0.000897&amp;sourceID=14","0.000897")</f>
        <v>0.000897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HYPERLINK("http://141.218.60.56/~jnz1568/getInfo.php?workbook=14_04.xlsx&amp;sheet=U0&amp;row=3250&amp;col=6&amp;number=3.6&amp;sourceID=14","3.6")</f>
        <v>3.6</v>
      </c>
      <c r="G3250" s="4" t="str">
        <f>HYPERLINK("http://141.218.60.56/~jnz1568/getInfo.php?workbook=14_04.xlsx&amp;sheet=U0&amp;row=3250&amp;col=7&amp;number=0.000896&amp;sourceID=14","0.000896")</f>
        <v>0.000896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HYPERLINK("http://141.218.60.56/~jnz1568/getInfo.php?workbook=14_04.xlsx&amp;sheet=U0&amp;row=3251&amp;col=6&amp;number=3.7&amp;sourceID=14","3.7")</f>
        <v>3.7</v>
      </c>
      <c r="G3251" s="4" t="str">
        <f>HYPERLINK("http://141.218.60.56/~jnz1568/getInfo.php?workbook=14_04.xlsx&amp;sheet=U0&amp;row=3251&amp;col=7&amp;number=0.000896&amp;sourceID=14","0.000896")</f>
        <v>0.000896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HYPERLINK("http://141.218.60.56/~jnz1568/getInfo.php?workbook=14_04.xlsx&amp;sheet=U0&amp;row=3252&amp;col=6&amp;number=3.8&amp;sourceID=14","3.8")</f>
        <v>3.8</v>
      </c>
      <c r="G3252" s="4" t="str">
        <f>HYPERLINK("http://141.218.60.56/~jnz1568/getInfo.php?workbook=14_04.xlsx&amp;sheet=U0&amp;row=3252&amp;col=7&amp;number=0.000896&amp;sourceID=14","0.000896")</f>
        <v>0.000896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HYPERLINK("http://141.218.60.56/~jnz1568/getInfo.php?workbook=14_04.xlsx&amp;sheet=U0&amp;row=3253&amp;col=6&amp;number=3.9&amp;sourceID=14","3.9")</f>
        <v>3.9</v>
      </c>
      <c r="G3253" s="4" t="str">
        <f>HYPERLINK("http://141.218.60.56/~jnz1568/getInfo.php?workbook=14_04.xlsx&amp;sheet=U0&amp;row=3253&amp;col=7&amp;number=0.000895&amp;sourceID=14","0.000895")</f>
        <v>0.000895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HYPERLINK("http://141.218.60.56/~jnz1568/getInfo.php?workbook=14_04.xlsx&amp;sheet=U0&amp;row=3254&amp;col=6&amp;number=4&amp;sourceID=14","4")</f>
        <v>4</v>
      </c>
      <c r="G3254" s="4" t="str">
        <f>HYPERLINK("http://141.218.60.56/~jnz1568/getInfo.php?workbook=14_04.xlsx&amp;sheet=U0&amp;row=3254&amp;col=7&amp;number=0.000894&amp;sourceID=14","0.000894")</f>
        <v>0.000894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HYPERLINK("http://141.218.60.56/~jnz1568/getInfo.php?workbook=14_04.xlsx&amp;sheet=U0&amp;row=3255&amp;col=6&amp;number=4.1&amp;sourceID=14","4.1")</f>
        <v>4.1</v>
      </c>
      <c r="G3255" s="4" t="str">
        <f>HYPERLINK("http://141.218.60.56/~jnz1568/getInfo.php?workbook=14_04.xlsx&amp;sheet=U0&amp;row=3255&amp;col=7&amp;number=0.000893&amp;sourceID=14","0.000893")</f>
        <v>0.000893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HYPERLINK("http://141.218.60.56/~jnz1568/getInfo.php?workbook=14_04.xlsx&amp;sheet=U0&amp;row=3256&amp;col=6&amp;number=4.2&amp;sourceID=14","4.2")</f>
        <v>4.2</v>
      </c>
      <c r="G3256" s="4" t="str">
        <f>HYPERLINK("http://141.218.60.56/~jnz1568/getInfo.php?workbook=14_04.xlsx&amp;sheet=U0&amp;row=3256&amp;col=7&amp;number=0.000892&amp;sourceID=14","0.000892")</f>
        <v>0.000892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HYPERLINK("http://141.218.60.56/~jnz1568/getInfo.php?workbook=14_04.xlsx&amp;sheet=U0&amp;row=3257&amp;col=6&amp;number=4.3&amp;sourceID=14","4.3")</f>
        <v>4.3</v>
      </c>
      <c r="G3257" s="4" t="str">
        <f>HYPERLINK("http://141.218.60.56/~jnz1568/getInfo.php?workbook=14_04.xlsx&amp;sheet=U0&amp;row=3257&amp;col=7&amp;number=0.000891&amp;sourceID=14","0.000891")</f>
        <v>0.000891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HYPERLINK("http://141.218.60.56/~jnz1568/getInfo.php?workbook=14_04.xlsx&amp;sheet=U0&amp;row=3258&amp;col=6&amp;number=4.4&amp;sourceID=14","4.4")</f>
        <v>4.4</v>
      </c>
      <c r="G3258" s="4" t="str">
        <f>HYPERLINK("http://141.218.60.56/~jnz1568/getInfo.php?workbook=14_04.xlsx&amp;sheet=U0&amp;row=3258&amp;col=7&amp;number=0.000889&amp;sourceID=14","0.000889")</f>
        <v>0.000889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HYPERLINK("http://141.218.60.56/~jnz1568/getInfo.php?workbook=14_04.xlsx&amp;sheet=U0&amp;row=3259&amp;col=6&amp;number=4.5&amp;sourceID=14","4.5")</f>
        <v>4.5</v>
      </c>
      <c r="G3259" s="4" t="str">
        <f>HYPERLINK("http://141.218.60.56/~jnz1568/getInfo.php?workbook=14_04.xlsx&amp;sheet=U0&amp;row=3259&amp;col=7&amp;number=0.000887&amp;sourceID=14","0.000887")</f>
        <v>0.000887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HYPERLINK("http://141.218.60.56/~jnz1568/getInfo.php?workbook=14_04.xlsx&amp;sheet=U0&amp;row=3260&amp;col=6&amp;number=4.6&amp;sourceID=14","4.6")</f>
        <v>4.6</v>
      </c>
      <c r="G3260" s="4" t="str">
        <f>HYPERLINK("http://141.218.60.56/~jnz1568/getInfo.php?workbook=14_04.xlsx&amp;sheet=U0&amp;row=3260&amp;col=7&amp;number=0.000884&amp;sourceID=14","0.000884")</f>
        <v>0.000884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HYPERLINK("http://141.218.60.56/~jnz1568/getInfo.php?workbook=14_04.xlsx&amp;sheet=U0&amp;row=3261&amp;col=6&amp;number=4.7&amp;sourceID=14","4.7")</f>
        <v>4.7</v>
      </c>
      <c r="G3261" s="4" t="str">
        <f>HYPERLINK("http://141.218.60.56/~jnz1568/getInfo.php?workbook=14_04.xlsx&amp;sheet=U0&amp;row=3261&amp;col=7&amp;number=0.000881&amp;sourceID=14","0.000881")</f>
        <v>0.000881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HYPERLINK("http://141.218.60.56/~jnz1568/getInfo.php?workbook=14_04.xlsx&amp;sheet=U0&amp;row=3262&amp;col=6&amp;number=4.8&amp;sourceID=14","4.8")</f>
        <v>4.8</v>
      </c>
      <c r="G3262" s="4" t="str">
        <f>HYPERLINK("http://141.218.60.56/~jnz1568/getInfo.php?workbook=14_04.xlsx&amp;sheet=U0&amp;row=3262&amp;col=7&amp;number=0.000876&amp;sourceID=14","0.000876")</f>
        <v>0.000876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HYPERLINK("http://141.218.60.56/~jnz1568/getInfo.php?workbook=14_04.xlsx&amp;sheet=U0&amp;row=3263&amp;col=6&amp;number=4.9&amp;sourceID=14","4.9")</f>
        <v>4.9</v>
      </c>
      <c r="G3263" s="4" t="str">
        <f>HYPERLINK("http://141.218.60.56/~jnz1568/getInfo.php?workbook=14_04.xlsx&amp;sheet=U0&amp;row=3263&amp;col=7&amp;number=0.000871&amp;sourceID=14","0.000871")</f>
        <v>0.000871</v>
      </c>
    </row>
    <row r="3264" spans="1:7">
      <c r="A3264" s="3">
        <v>14</v>
      </c>
      <c r="B3264" s="3">
        <v>4</v>
      </c>
      <c r="C3264" s="3">
        <v>2</v>
      </c>
      <c r="D3264" s="3">
        <v>47</v>
      </c>
      <c r="E3264" s="3">
        <v>1</v>
      </c>
      <c r="F3264" s="4" t="str">
        <f>HYPERLINK("http://141.218.60.56/~jnz1568/getInfo.php?workbook=14_04.xlsx&amp;sheet=U0&amp;row=3264&amp;col=6&amp;number=3&amp;sourceID=14","3")</f>
        <v>3</v>
      </c>
      <c r="G3264" s="4" t="str">
        <f>HYPERLINK("http://141.218.60.56/~jnz1568/getInfo.php?workbook=14_04.xlsx&amp;sheet=U0&amp;row=3264&amp;col=7&amp;number=0.000467&amp;sourceID=14","0.000467")</f>
        <v>0.000467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HYPERLINK("http://141.218.60.56/~jnz1568/getInfo.php?workbook=14_04.xlsx&amp;sheet=U0&amp;row=3265&amp;col=6&amp;number=3.1&amp;sourceID=14","3.1")</f>
        <v>3.1</v>
      </c>
      <c r="G3265" s="4" t="str">
        <f>HYPERLINK("http://141.218.60.56/~jnz1568/getInfo.php?workbook=14_04.xlsx&amp;sheet=U0&amp;row=3265&amp;col=7&amp;number=0.000467&amp;sourceID=14","0.000467")</f>
        <v>0.000467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HYPERLINK("http://141.218.60.56/~jnz1568/getInfo.php?workbook=14_04.xlsx&amp;sheet=U0&amp;row=3266&amp;col=6&amp;number=3.2&amp;sourceID=14","3.2")</f>
        <v>3.2</v>
      </c>
      <c r="G3266" s="4" t="str">
        <f>HYPERLINK("http://141.218.60.56/~jnz1568/getInfo.php?workbook=14_04.xlsx&amp;sheet=U0&amp;row=3266&amp;col=7&amp;number=0.000467&amp;sourceID=14","0.000467")</f>
        <v>0.000467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HYPERLINK("http://141.218.60.56/~jnz1568/getInfo.php?workbook=14_04.xlsx&amp;sheet=U0&amp;row=3267&amp;col=6&amp;number=3.3&amp;sourceID=14","3.3")</f>
        <v>3.3</v>
      </c>
      <c r="G3267" s="4" t="str">
        <f>HYPERLINK("http://141.218.60.56/~jnz1568/getInfo.php?workbook=14_04.xlsx&amp;sheet=U0&amp;row=3267&amp;col=7&amp;number=0.000467&amp;sourceID=14","0.000467")</f>
        <v>0.000467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HYPERLINK("http://141.218.60.56/~jnz1568/getInfo.php?workbook=14_04.xlsx&amp;sheet=U0&amp;row=3268&amp;col=6&amp;number=3.4&amp;sourceID=14","3.4")</f>
        <v>3.4</v>
      </c>
      <c r="G3268" s="4" t="str">
        <f>HYPERLINK("http://141.218.60.56/~jnz1568/getInfo.php?workbook=14_04.xlsx&amp;sheet=U0&amp;row=3268&amp;col=7&amp;number=0.000467&amp;sourceID=14","0.000467")</f>
        <v>0.000467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HYPERLINK("http://141.218.60.56/~jnz1568/getInfo.php?workbook=14_04.xlsx&amp;sheet=U0&amp;row=3269&amp;col=6&amp;number=3.5&amp;sourceID=14","3.5")</f>
        <v>3.5</v>
      </c>
      <c r="G3269" s="4" t="str">
        <f>HYPERLINK("http://141.218.60.56/~jnz1568/getInfo.php?workbook=14_04.xlsx&amp;sheet=U0&amp;row=3269&amp;col=7&amp;number=0.000467&amp;sourceID=14","0.000467")</f>
        <v>0.000467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HYPERLINK("http://141.218.60.56/~jnz1568/getInfo.php?workbook=14_04.xlsx&amp;sheet=U0&amp;row=3270&amp;col=6&amp;number=3.6&amp;sourceID=14","3.6")</f>
        <v>3.6</v>
      </c>
      <c r="G3270" s="4" t="str">
        <f>HYPERLINK("http://141.218.60.56/~jnz1568/getInfo.php?workbook=14_04.xlsx&amp;sheet=U0&amp;row=3270&amp;col=7&amp;number=0.000467&amp;sourceID=14","0.000467")</f>
        <v>0.000467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HYPERLINK("http://141.218.60.56/~jnz1568/getInfo.php?workbook=14_04.xlsx&amp;sheet=U0&amp;row=3271&amp;col=6&amp;number=3.7&amp;sourceID=14","3.7")</f>
        <v>3.7</v>
      </c>
      <c r="G3271" s="4" t="str">
        <f>HYPERLINK("http://141.218.60.56/~jnz1568/getInfo.php?workbook=14_04.xlsx&amp;sheet=U0&amp;row=3271&amp;col=7&amp;number=0.000467&amp;sourceID=14","0.000467")</f>
        <v>0.000467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HYPERLINK("http://141.218.60.56/~jnz1568/getInfo.php?workbook=14_04.xlsx&amp;sheet=U0&amp;row=3272&amp;col=6&amp;number=3.8&amp;sourceID=14","3.8")</f>
        <v>3.8</v>
      </c>
      <c r="G3272" s="4" t="str">
        <f>HYPERLINK("http://141.218.60.56/~jnz1568/getInfo.php?workbook=14_04.xlsx&amp;sheet=U0&amp;row=3272&amp;col=7&amp;number=0.000467&amp;sourceID=14","0.000467")</f>
        <v>0.000467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HYPERLINK("http://141.218.60.56/~jnz1568/getInfo.php?workbook=14_04.xlsx&amp;sheet=U0&amp;row=3273&amp;col=6&amp;number=3.9&amp;sourceID=14","3.9")</f>
        <v>3.9</v>
      </c>
      <c r="G3273" s="4" t="str">
        <f>HYPERLINK("http://141.218.60.56/~jnz1568/getInfo.php?workbook=14_04.xlsx&amp;sheet=U0&amp;row=3273&amp;col=7&amp;number=0.000467&amp;sourceID=14","0.000467")</f>
        <v>0.000467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HYPERLINK("http://141.218.60.56/~jnz1568/getInfo.php?workbook=14_04.xlsx&amp;sheet=U0&amp;row=3274&amp;col=6&amp;number=4&amp;sourceID=14","4")</f>
        <v>4</v>
      </c>
      <c r="G3274" s="4" t="str">
        <f>HYPERLINK("http://141.218.60.56/~jnz1568/getInfo.php?workbook=14_04.xlsx&amp;sheet=U0&amp;row=3274&amp;col=7&amp;number=0.000467&amp;sourceID=14","0.000467")</f>
        <v>0.000467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HYPERLINK("http://141.218.60.56/~jnz1568/getInfo.php?workbook=14_04.xlsx&amp;sheet=U0&amp;row=3275&amp;col=6&amp;number=4.1&amp;sourceID=14","4.1")</f>
        <v>4.1</v>
      </c>
      <c r="G3275" s="4" t="str">
        <f>HYPERLINK("http://141.218.60.56/~jnz1568/getInfo.php?workbook=14_04.xlsx&amp;sheet=U0&amp;row=3275&amp;col=7&amp;number=0.000467&amp;sourceID=14","0.000467")</f>
        <v>0.000467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HYPERLINK("http://141.218.60.56/~jnz1568/getInfo.php?workbook=14_04.xlsx&amp;sheet=U0&amp;row=3276&amp;col=6&amp;number=4.2&amp;sourceID=14","4.2")</f>
        <v>4.2</v>
      </c>
      <c r="G3276" s="4" t="str">
        <f>HYPERLINK("http://141.218.60.56/~jnz1568/getInfo.php?workbook=14_04.xlsx&amp;sheet=U0&amp;row=3276&amp;col=7&amp;number=0.000467&amp;sourceID=14","0.000467")</f>
        <v>0.000467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HYPERLINK("http://141.218.60.56/~jnz1568/getInfo.php?workbook=14_04.xlsx&amp;sheet=U0&amp;row=3277&amp;col=6&amp;number=4.3&amp;sourceID=14","4.3")</f>
        <v>4.3</v>
      </c>
      <c r="G3277" s="4" t="str">
        <f>HYPERLINK("http://141.218.60.56/~jnz1568/getInfo.php?workbook=14_04.xlsx&amp;sheet=U0&amp;row=3277&amp;col=7&amp;number=0.000468&amp;sourceID=14","0.000468")</f>
        <v>0.000468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HYPERLINK("http://141.218.60.56/~jnz1568/getInfo.php?workbook=14_04.xlsx&amp;sheet=U0&amp;row=3278&amp;col=6&amp;number=4.4&amp;sourceID=14","4.4")</f>
        <v>4.4</v>
      </c>
      <c r="G3278" s="4" t="str">
        <f>HYPERLINK("http://141.218.60.56/~jnz1568/getInfo.php?workbook=14_04.xlsx&amp;sheet=U0&amp;row=3278&amp;col=7&amp;number=0.000468&amp;sourceID=14","0.000468")</f>
        <v>0.000468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HYPERLINK("http://141.218.60.56/~jnz1568/getInfo.php?workbook=14_04.xlsx&amp;sheet=U0&amp;row=3279&amp;col=6&amp;number=4.5&amp;sourceID=14","4.5")</f>
        <v>4.5</v>
      </c>
      <c r="G3279" s="4" t="str">
        <f>HYPERLINK("http://141.218.60.56/~jnz1568/getInfo.php?workbook=14_04.xlsx&amp;sheet=U0&amp;row=3279&amp;col=7&amp;number=0.000468&amp;sourceID=14","0.000468")</f>
        <v>0.000468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HYPERLINK("http://141.218.60.56/~jnz1568/getInfo.php?workbook=14_04.xlsx&amp;sheet=U0&amp;row=3280&amp;col=6&amp;number=4.6&amp;sourceID=14","4.6")</f>
        <v>4.6</v>
      </c>
      <c r="G3280" s="4" t="str">
        <f>HYPERLINK("http://141.218.60.56/~jnz1568/getInfo.php?workbook=14_04.xlsx&amp;sheet=U0&amp;row=3280&amp;col=7&amp;number=0.000468&amp;sourceID=14","0.000468")</f>
        <v>0.000468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HYPERLINK("http://141.218.60.56/~jnz1568/getInfo.php?workbook=14_04.xlsx&amp;sheet=U0&amp;row=3281&amp;col=6&amp;number=4.7&amp;sourceID=14","4.7")</f>
        <v>4.7</v>
      </c>
      <c r="G3281" s="4" t="str">
        <f>HYPERLINK("http://141.218.60.56/~jnz1568/getInfo.php?workbook=14_04.xlsx&amp;sheet=U0&amp;row=3281&amp;col=7&amp;number=0.000468&amp;sourceID=14","0.000468")</f>
        <v>0.000468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HYPERLINK("http://141.218.60.56/~jnz1568/getInfo.php?workbook=14_04.xlsx&amp;sheet=U0&amp;row=3282&amp;col=6&amp;number=4.8&amp;sourceID=14","4.8")</f>
        <v>4.8</v>
      </c>
      <c r="G3282" s="4" t="str">
        <f>HYPERLINK("http://141.218.60.56/~jnz1568/getInfo.php?workbook=14_04.xlsx&amp;sheet=U0&amp;row=3282&amp;col=7&amp;number=0.000469&amp;sourceID=14","0.000469")</f>
        <v>0.000469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HYPERLINK("http://141.218.60.56/~jnz1568/getInfo.php?workbook=14_04.xlsx&amp;sheet=U0&amp;row=3283&amp;col=6&amp;number=4.9&amp;sourceID=14","4.9")</f>
        <v>4.9</v>
      </c>
      <c r="G3283" s="4" t="str">
        <f>HYPERLINK("http://141.218.60.56/~jnz1568/getInfo.php?workbook=14_04.xlsx&amp;sheet=U0&amp;row=3283&amp;col=7&amp;number=0.000469&amp;sourceID=14","0.000469")</f>
        <v>0.000469</v>
      </c>
    </row>
    <row r="3284" spans="1:7">
      <c r="A3284" s="3">
        <v>14</v>
      </c>
      <c r="B3284" s="3">
        <v>4</v>
      </c>
      <c r="C3284" s="3">
        <v>2</v>
      </c>
      <c r="D3284" s="3">
        <v>48</v>
      </c>
      <c r="E3284" s="3">
        <v>1</v>
      </c>
      <c r="F3284" s="4" t="str">
        <f>HYPERLINK("http://141.218.60.56/~jnz1568/getInfo.php?workbook=14_04.xlsx&amp;sheet=U0&amp;row=3284&amp;col=6&amp;number=3&amp;sourceID=14","3")</f>
        <v>3</v>
      </c>
      <c r="G3284" s="4" t="str">
        <f>HYPERLINK("http://141.218.60.56/~jnz1568/getInfo.php?workbook=14_04.xlsx&amp;sheet=U0&amp;row=3284&amp;col=7&amp;number=0.000262&amp;sourceID=14","0.000262")</f>
        <v>0.000262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HYPERLINK("http://141.218.60.56/~jnz1568/getInfo.php?workbook=14_04.xlsx&amp;sheet=U0&amp;row=3285&amp;col=6&amp;number=3.1&amp;sourceID=14","3.1")</f>
        <v>3.1</v>
      </c>
      <c r="G3285" s="4" t="str">
        <f>HYPERLINK("http://141.218.60.56/~jnz1568/getInfo.php?workbook=14_04.xlsx&amp;sheet=U0&amp;row=3285&amp;col=7&amp;number=0.000261&amp;sourceID=14","0.000261")</f>
        <v>0.000261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HYPERLINK("http://141.218.60.56/~jnz1568/getInfo.php?workbook=14_04.xlsx&amp;sheet=U0&amp;row=3286&amp;col=6&amp;number=3.2&amp;sourceID=14","3.2")</f>
        <v>3.2</v>
      </c>
      <c r="G3286" s="4" t="str">
        <f>HYPERLINK("http://141.218.60.56/~jnz1568/getInfo.php?workbook=14_04.xlsx&amp;sheet=U0&amp;row=3286&amp;col=7&amp;number=0.000261&amp;sourceID=14","0.000261")</f>
        <v>0.000261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HYPERLINK("http://141.218.60.56/~jnz1568/getInfo.php?workbook=14_04.xlsx&amp;sheet=U0&amp;row=3287&amp;col=6&amp;number=3.3&amp;sourceID=14","3.3")</f>
        <v>3.3</v>
      </c>
      <c r="G3287" s="4" t="str">
        <f>HYPERLINK("http://141.218.60.56/~jnz1568/getInfo.php?workbook=14_04.xlsx&amp;sheet=U0&amp;row=3287&amp;col=7&amp;number=0.000261&amp;sourceID=14","0.000261")</f>
        <v>0.000261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HYPERLINK("http://141.218.60.56/~jnz1568/getInfo.php?workbook=14_04.xlsx&amp;sheet=U0&amp;row=3288&amp;col=6&amp;number=3.4&amp;sourceID=14","3.4")</f>
        <v>3.4</v>
      </c>
      <c r="G3288" s="4" t="str">
        <f>HYPERLINK("http://141.218.60.56/~jnz1568/getInfo.php?workbook=14_04.xlsx&amp;sheet=U0&amp;row=3288&amp;col=7&amp;number=0.000261&amp;sourceID=14","0.000261")</f>
        <v>0.000261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HYPERLINK("http://141.218.60.56/~jnz1568/getInfo.php?workbook=14_04.xlsx&amp;sheet=U0&amp;row=3289&amp;col=6&amp;number=3.5&amp;sourceID=14","3.5")</f>
        <v>3.5</v>
      </c>
      <c r="G3289" s="4" t="str">
        <f>HYPERLINK("http://141.218.60.56/~jnz1568/getInfo.php?workbook=14_04.xlsx&amp;sheet=U0&amp;row=3289&amp;col=7&amp;number=0.000261&amp;sourceID=14","0.000261")</f>
        <v>0.000261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HYPERLINK("http://141.218.60.56/~jnz1568/getInfo.php?workbook=14_04.xlsx&amp;sheet=U0&amp;row=3290&amp;col=6&amp;number=3.6&amp;sourceID=14","3.6")</f>
        <v>3.6</v>
      </c>
      <c r="G3290" s="4" t="str">
        <f>HYPERLINK("http://141.218.60.56/~jnz1568/getInfo.php?workbook=14_04.xlsx&amp;sheet=U0&amp;row=3290&amp;col=7&amp;number=0.000261&amp;sourceID=14","0.000261")</f>
        <v>0.000261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HYPERLINK("http://141.218.60.56/~jnz1568/getInfo.php?workbook=14_04.xlsx&amp;sheet=U0&amp;row=3291&amp;col=6&amp;number=3.7&amp;sourceID=14","3.7")</f>
        <v>3.7</v>
      </c>
      <c r="G3291" s="4" t="str">
        <f>HYPERLINK("http://141.218.60.56/~jnz1568/getInfo.php?workbook=14_04.xlsx&amp;sheet=U0&amp;row=3291&amp;col=7&amp;number=0.000261&amp;sourceID=14","0.000261")</f>
        <v>0.000261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HYPERLINK("http://141.218.60.56/~jnz1568/getInfo.php?workbook=14_04.xlsx&amp;sheet=U0&amp;row=3292&amp;col=6&amp;number=3.8&amp;sourceID=14","3.8")</f>
        <v>3.8</v>
      </c>
      <c r="G3292" s="4" t="str">
        <f>HYPERLINK("http://141.218.60.56/~jnz1568/getInfo.php?workbook=14_04.xlsx&amp;sheet=U0&amp;row=3292&amp;col=7&amp;number=0.000261&amp;sourceID=14","0.000261")</f>
        <v>0.000261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HYPERLINK("http://141.218.60.56/~jnz1568/getInfo.php?workbook=14_04.xlsx&amp;sheet=U0&amp;row=3293&amp;col=6&amp;number=3.9&amp;sourceID=14","3.9")</f>
        <v>3.9</v>
      </c>
      <c r="G3293" s="4" t="str">
        <f>HYPERLINK("http://141.218.60.56/~jnz1568/getInfo.php?workbook=14_04.xlsx&amp;sheet=U0&amp;row=3293&amp;col=7&amp;number=0.000261&amp;sourceID=14","0.000261")</f>
        <v>0.000261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HYPERLINK("http://141.218.60.56/~jnz1568/getInfo.php?workbook=14_04.xlsx&amp;sheet=U0&amp;row=3294&amp;col=6&amp;number=4&amp;sourceID=14","4")</f>
        <v>4</v>
      </c>
      <c r="G3294" s="4" t="str">
        <f>HYPERLINK("http://141.218.60.56/~jnz1568/getInfo.php?workbook=14_04.xlsx&amp;sheet=U0&amp;row=3294&amp;col=7&amp;number=0.000261&amp;sourceID=14","0.000261")</f>
        <v>0.000261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HYPERLINK("http://141.218.60.56/~jnz1568/getInfo.php?workbook=14_04.xlsx&amp;sheet=U0&amp;row=3295&amp;col=6&amp;number=4.1&amp;sourceID=14","4.1")</f>
        <v>4.1</v>
      </c>
      <c r="G3295" s="4" t="str">
        <f>HYPERLINK("http://141.218.60.56/~jnz1568/getInfo.php?workbook=14_04.xlsx&amp;sheet=U0&amp;row=3295&amp;col=7&amp;number=0.00026&amp;sourceID=14","0.00026")</f>
        <v>0.00026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HYPERLINK("http://141.218.60.56/~jnz1568/getInfo.php?workbook=14_04.xlsx&amp;sheet=U0&amp;row=3296&amp;col=6&amp;number=4.2&amp;sourceID=14","4.2")</f>
        <v>4.2</v>
      </c>
      <c r="G3296" s="4" t="str">
        <f>HYPERLINK("http://141.218.60.56/~jnz1568/getInfo.php?workbook=14_04.xlsx&amp;sheet=U0&amp;row=3296&amp;col=7&amp;number=0.00026&amp;sourceID=14","0.00026")</f>
        <v>0.00026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HYPERLINK("http://141.218.60.56/~jnz1568/getInfo.php?workbook=14_04.xlsx&amp;sheet=U0&amp;row=3297&amp;col=6&amp;number=4.3&amp;sourceID=14","4.3")</f>
        <v>4.3</v>
      </c>
      <c r="G3297" s="4" t="str">
        <f>HYPERLINK("http://141.218.60.56/~jnz1568/getInfo.php?workbook=14_04.xlsx&amp;sheet=U0&amp;row=3297&amp;col=7&amp;number=0.00026&amp;sourceID=14","0.00026")</f>
        <v>0.00026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HYPERLINK("http://141.218.60.56/~jnz1568/getInfo.php?workbook=14_04.xlsx&amp;sheet=U0&amp;row=3298&amp;col=6&amp;number=4.4&amp;sourceID=14","4.4")</f>
        <v>4.4</v>
      </c>
      <c r="G3298" s="4" t="str">
        <f>HYPERLINK("http://141.218.60.56/~jnz1568/getInfo.php?workbook=14_04.xlsx&amp;sheet=U0&amp;row=3298&amp;col=7&amp;number=0.000259&amp;sourceID=14","0.000259")</f>
        <v>0.000259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HYPERLINK("http://141.218.60.56/~jnz1568/getInfo.php?workbook=14_04.xlsx&amp;sheet=U0&amp;row=3299&amp;col=6&amp;number=4.5&amp;sourceID=14","4.5")</f>
        <v>4.5</v>
      </c>
      <c r="G3299" s="4" t="str">
        <f>HYPERLINK("http://141.218.60.56/~jnz1568/getInfo.php?workbook=14_04.xlsx&amp;sheet=U0&amp;row=3299&amp;col=7&amp;number=0.000259&amp;sourceID=14","0.000259")</f>
        <v>0.000259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HYPERLINK("http://141.218.60.56/~jnz1568/getInfo.php?workbook=14_04.xlsx&amp;sheet=U0&amp;row=3300&amp;col=6&amp;number=4.6&amp;sourceID=14","4.6")</f>
        <v>4.6</v>
      </c>
      <c r="G3300" s="4" t="str">
        <f>HYPERLINK("http://141.218.60.56/~jnz1568/getInfo.php?workbook=14_04.xlsx&amp;sheet=U0&amp;row=3300&amp;col=7&amp;number=0.000258&amp;sourceID=14","0.000258")</f>
        <v>0.000258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HYPERLINK("http://141.218.60.56/~jnz1568/getInfo.php?workbook=14_04.xlsx&amp;sheet=U0&amp;row=3301&amp;col=6&amp;number=4.7&amp;sourceID=14","4.7")</f>
        <v>4.7</v>
      </c>
      <c r="G3301" s="4" t="str">
        <f>HYPERLINK("http://141.218.60.56/~jnz1568/getInfo.php?workbook=14_04.xlsx&amp;sheet=U0&amp;row=3301&amp;col=7&amp;number=0.000257&amp;sourceID=14","0.000257")</f>
        <v>0.000257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HYPERLINK("http://141.218.60.56/~jnz1568/getInfo.php?workbook=14_04.xlsx&amp;sheet=U0&amp;row=3302&amp;col=6&amp;number=4.8&amp;sourceID=14","4.8")</f>
        <v>4.8</v>
      </c>
      <c r="G3302" s="4" t="str">
        <f>HYPERLINK("http://141.218.60.56/~jnz1568/getInfo.php?workbook=14_04.xlsx&amp;sheet=U0&amp;row=3302&amp;col=7&amp;number=0.000256&amp;sourceID=14","0.000256")</f>
        <v>0.000256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HYPERLINK("http://141.218.60.56/~jnz1568/getInfo.php?workbook=14_04.xlsx&amp;sheet=U0&amp;row=3303&amp;col=6&amp;number=4.9&amp;sourceID=14","4.9")</f>
        <v>4.9</v>
      </c>
      <c r="G3303" s="4" t="str">
        <f>HYPERLINK("http://141.218.60.56/~jnz1568/getInfo.php?workbook=14_04.xlsx&amp;sheet=U0&amp;row=3303&amp;col=7&amp;number=0.000255&amp;sourceID=14","0.000255")</f>
        <v>0.000255</v>
      </c>
    </row>
    <row r="3304" spans="1:7">
      <c r="A3304" s="3">
        <v>14</v>
      </c>
      <c r="B3304" s="3">
        <v>4</v>
      </c>
      <c r="C3304" s="3">
        <v>2</v>
      </c>
      <c r="D3304" s="3">
        <v>49</v>
      </c>
      <c r="E3304" s="3">
        <v>1</v>
      </c>
      <c r="F3304" s="4" t="str">
        <f>HYPERLINK("http://141.218.60.56/~jnz1568/getInfo.php?workbook=14_04.xlsx&amp;sheet=U0&amp;row=3304&amp;col=6&amp;number=3&amp;sourceID=14","3")</f>
        <v>3</v>
      </c>
      <c r="G3304" s="4" t="str">
        <f>HYPERLINK("http://141.218.60.56/~jnz1568/getInfo.php?workbook=14_04.xlsx&amp;sheet=U0&amp;row=3304&amp;col=7&amp;number=0.0053&amp;sourceID=14","0.0053")</f>
        <v>0.0053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HYPERLINK("http://141.218.60.56/~jnz1568/getInfo.php?workbook=14_04.xlsx&amp;sheet=U0&amp;row=3305&amp;col=6&amp;number=3.1&amp;sourceID=14","3.1")</f>
        <v>3.1</v>
      </c>
      <c r="G3305" s="4" t="str">
        <f>HYPERLINK("http://141.218.60.56/~jnz1568/getInfo.php?workbook=14_04.xlsx&amp;sheet=U0&amp;row=3305&amp;col=7&amp;number=0.0053&amp;sourceID=14","0.0053")</f>
        <v>0.0053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HYPERLINK("http://141.218.60.56/~jnz1568/getInfo.php?workbook=14_04.xlsx&amp;sheet=U0&amp;row=3306&amp;col=6&amp;number=3.2&amp;sourceID=14","3.2")</f>
        <v>3.2</v>
      </c>
      <c r="G3306" s="4" t="str">
        <f>HYPERLINK("http://141.218.60.56/~jnz1568/getInfo.php?workbook=14_04.xlsx&amp;sheet=U0&amp;row=3306&amp;col=7&amp;number=0.0053&amp;sourceID=14","0.0053")</f>
        <v>0.0053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HYPERLINK("http://141.218.60.56/~jnz1568/getInfo.php?workbook=14_04.xlsx&amp;sheet=U0&amp;row=3307&amp;col=6&amp;number=3.3&amp;sourceID=14","3.3")</f>
        <v>3.3</v>
      </c>
      <c r="G3307" s="4" t="str">
        <f>HYPERLINK("http://141.218.60.56/~jnz1568/getInfo.php?workbook=14_04.xlsx&amp;sheet=U0&amp;row=3307&amp;col=7&amp;number=0.0053&amp;sourceID=14","0.0053")</f>
        <v>0.0053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HYPERLINK("http://141.218.60.56/~jnz1568/getInfo.php?workbook=14_04.xlsx&amp;sheet=U0&amp;row=3308&amp;col=6&amp;number=3.4&amp;sourceID=14","3.4")</f>
        <v>3.4</v>
      </c>
      <c r="G3308" s="4" t="str">
        <f>HYPERLINK("http://141.218.60.56/~jnz1568/getInfo.php?workbook=14_04.xlsx&amp;sheet=U0&amp;row=3308&amp;col=7&amp;number=0.0053&amp;sourceID=14","0.0053")</f>
        <v>0.0053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HYPERLINK("http://141.218.60.56/~jnz1568/getInfo.php?workbook=14_04.xlsx&amp;sheet=U0&amp;row=3309&amp;col=6&amp;number=3.5&amp;sourceID=14","3.5")</f>
        <v>3.5</v>
      </c>
      <c r="G3309" s="4" t="str">
        <f>HYPERLINK("http://141.218.60.56/~jnz1568/getInfo.php?workbook=14_04.xlsx&amp;sheet=U0&amp;row=3309&amp;col=7&amp;number=0.0053&amp;sourceID=14","0.0053")</f>
        <v>0.0053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HYPERLINK("http://141.218.60.56/~jnz1568/getInfo.php?workbook=14_04.xlsx&amp;sheet=U0&amp;row=3310&amp;col=6&amp;number=3.6&amp;sourceID=14","3.6")</f>
        <v>3.6</v>
      </c>
      <c r="G3310" s="4" t="str">
        <f>HYPERLINK("http://141.218.60.56/~jnz1568/getInfo.php?workbook=14_04.xlsx&amp;sheet=U0&amp;row=3310&amp;col=7&amp;number=0.0053&amp;sourceID=14","0.0053")</f>
        <v>0.0053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HYPERLINK("http://141.218.60.56/~jnz1568/getInfo.php?workbook=14_04.xlsx&amp;sheet=U0&amp;row=3311&amp;col=6&amp;number=3.7&amp;sourceID=14","3.7")</f>
        <v>3.7</v>
      </c>
      <c r="G3311" s="4" t="str">
        <f>HYPERLINK("http://141.218.60.56/~jnz1568/getInfo.php?workbook=14_04.xlsx&amp;sheet=U0&amp;row=3311&amp;col=7&amp;number=0.0053&amp;sourceID=14","0.0053")</f>
        <v>0.0053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HYPERLINK("http://141.218.60.56/~jnz1568/getInfo.php?workbook=14_04.xlsx&amp;sheet=U0&amp;row=3312&amp;col=6&amp;number=3.8&amp;sourceID=14","3.8")</f>
        <v>3.8</v>
      </c>
      <c r="G3312" s="4" t="str">
        <f>HYPERLINK("http://141.218.60.56/~jnz1568/getInfo.php?workbook=14_04.xlsx&amp;sheet=U0&amp;row=3312&amp;col=7&amp;number=0.0053&amp;sourceID=14","0.0053")</f>
        <v>0.0053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HYPERLINK("http://141.218.60.56/~jnz1568/getInfo.php?workbook=14_04.xlsx&amp;sheet=U0&amp;row=3313&amp;col=6&amp;number=3.9&amp;sourceID=14","3.9")</f>
        <v>3.9</v>
      </c>
      <c r="G3313" s="4" t="str">
        <f>HYPERLINK("http://141.218.60.56/~jnz1568/getInfo.php?workbook=14_04.xlsx&amp;sheet=U0&amp;row=3313&amp;col=7&amp;number=0.0053&amp;sourceID=14","0.0053")</f>
        <v>0.0053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HYPERLINK("http://141.218.60.56/~jnz1568/getInfo.php?workbook=14_04.xlsx&amp;sheet=U0&amp;row=3314&amp;col=6&amp;number=4&amp;sourceID=14","4")</f>
        <v>4</v>
      </c>
      <c r="G3314" s="4" t="str">
        <f>HYPERLINK("http://141.218.60.56/~jnz1568/getInfo.php?workbook=14_04.xlsx&amp;sheet=U0&amp;row=3314&amp;col=7&amp;number=0.0053&amp;sourceID=14","0.0053")</f>
        <v>0.0053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HYPERLINK("http://141.218.60.56/~jnz1568/getInfo.php?workbook=14_04.xlsx&amp;sheet=U0&amp;row=3315&amp;col=6&amp;number=4.1&amp;sourceID=14","4.1")</f>
        <v>4.1</v>
      </c>
      <c r="G3315" s="4" t="str">
        <f>HYPERLINK("http://141.218.60.56/~jnz1568/getInfo.php?workbook=14_04.xlsx&amp;sheet=U0&amp;row=3315&amp;col=7&amp;number=0.0053&amp;sourceID=14","0.0053")</f>
        <v>0.0053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HYPERLINK("http://141.218.60.56/~jnz1568/getInfo.php?workbook=14_04.xlsx&amp;sheet=U0&amp;row=3316&amp;col=6&amp;number=4.2&amp;sourceID=14","4.2")</f>
        <v>4.2</v>
      </c>
      <c r="G3316" s="4" t="str">
        <f>HYPERLINK("http://141.218.60.56/~jnz1568/getInfo.php?workbook=14_04.xlsx&amp;sheet=U0&amp;row=3316&amp;col=7&amp;number=0.0053&amp;sourceID=14","0.0053")</f>
        <v>0.0053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HYPERLINK("http://141.218.60.56/~jnz1568/getInfo.php?workbook=14_04.xlsx&amp;sheet=U0&amp;row=3317&amp;col=6&amp;number=4.3&amp;sourceID=14","4.3")</f>
        <v>4.3</v>
      </c>
      <c r="G3317" s="4" t="str">
        <f>HYPERLINK("http://141.218.60.56/~jnz1568/getInfo.php?workbook=14_04.xlsx&amp;sheet=U0&amp;row=3317&amp;col=7&amp;number=0.00531&amp;sourceID=14","0.00531")</f>
        <v>0.00531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HYPERLINK("http://141.218.60.56/~jnz1568/getInfo.php?workbook=14_04.xlsx&amp;sheet=U0&amp;row=3318&amp;col=6&amp;number=4.4&amp;sourceID=14","4.4")</f>
        <v>4.4</v>
      </c>
      <c r="G3318" s="4" t="str">
        <f>HYPERLINK("http://141.218.60.56/~jnz1568/getInfo.php?workbook=14_04.xlsx&amp;sheet=U0&amp;row=3318&amp;col=7&amp;number=0.00531&amp;sourceID=14","0.00531")</f>
        <v>0.00531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HYPERLINK("http://141.218.60.56/~jnz1568/getInfo.php?workbook=14_04.xlsx&amp;sheet=U0&amp;row=3319&amp;col=6&amp;number=4.5&amp;sourceID=14","4.5")</f>
        <v>4.5</v>
      </c>
      <c r="G3319" s="4" t="str">
        <f>HYPERLINK("http://141.218.60.56/~jnz1568/getInfo.php?workbook=14_04.xlsx&amp;sheet=U0&amp;row=3319&amp;col=7&amp;number=0.00531&amp;sourceID=14","0.00531")</f>
        <v>0.00531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HYPERLINK("http://141.218.60.56/~jnz1568/getInfo.php?workbook=14_04.xlsx&amp;sheet=U0&amp;row=3320&amp;col=6&amp;number=4.6&amp;sourceID=14","4.6")</f>
        <v>4.6</v>
      </c>
      <c r="G3320" s="4" t="str">
        <f>HYPERLINK("http://141.218.60.56/~jnz1568/getInfo.php?workbook=14_04.xlsx&amp;sheet=U0&amp;row=3320&amp;col=7&amp;number=0.00531&amp;sourceID=14","0.00531")</f>
        <v>0.00531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HYPERLINK("http://141.218.60.56/~jnz1568/getInfo.php?workbook=14_04.xlsx&amp;sheet=U0&amp;row=3321&amp;col=6&amp;number=4.7&amp;sourceID=14","4.7")</f>
        <v>4.7</v>
      </c>
      <c r="G3321" s="4" t="str">
        <f>HYPERLINK("http://141.218.60.56/~jnz1568/getInfo.php?workbook=14_04.xlsx&amp;sheet=U0&amp;row=3321&amp;col=7&amp;number=0.00532&amp;sourceID=14","0.00532")</f>
        <v>0.00532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HYPERLINK("http://141.218.60.56/~jnz1568/getInfo.php?workbook=14_04.xlsx&amp;sheet=U0&amp;row=3322&amp;col=6&amp;number=4.8&amp;sourceID=14","4.8")</f>
        <v>4.8</v>
      </c>
      <c r="G3322" s="4" t="str">
        <f>HYPERLINK("http://141.218.60.56/~jnz1568/getInfo.php?workbook=14_04.xlsx&amp;sheet=U0&amp;row=3322&amp;col=7&amp;number=0.00532&amp;sourceID=14","0.00532")</f>
        <v>0.00532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HYPERLINK("http://141.218.60.56/~jnz1568/getInfo.php?workbook=14_04.xlsx&amp;sheet=U0&amp;row=3323&amp;col=6&amp;number=4.9&amp;sourceID=14","4.9")</f>
        <v>4.9</v>
      </c>
      <c r="G3323" s="4" t="str">
        <f>HYPERLINK("http://141.218.60.56/~jnz1568/getInfo.php?workbook=14_04.xlsx&amp;sheet=U0&amp;row=3323&amp;col=7&amp;number=0.00533&amp;sourceID=14","0.00533")</f>
        <v>0.00533</v>
      </c>
    </row>
    <row r="3324" spans="1:7">
      <c r="A3324" s="3">
        <v>14</v>
      </c>
      <c r="B3324" s="3">
        <v>4</v>
      </c>
      <c r="C3324" s="3">
        <v>2</v>
      </c>
      <c r="D3324" s="3">
        <v>50</v>
      </c>
      <c r="E3324" s="3">
        <v>1</v>
      </c>
      <c r="F3324" s="4" t="str">
        <f>HYPERLINK("http://141.218.60.56/~jnz1568/getInfo.php?workbook=14_04.xlsx&amp;sheet=U0&amp;row=3324&amp;col=6&amp;number=3&amp;sourceID=14","3")</f>
        <v>3</v>
      </c>
      <c r="G3324" s="4" t="str">
        <f>HYPERLINK("http://141.218.60.56/~jnz1568/getInfo.php?workbook=14_04.xlsx&amp;sheet=U0&amp;row=3324&amp;col=7&amp;number=0.000908&amp;sourceID=14","0.000908")</f>
        <v>0.000908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HYPERLINK("http://141.218.60.56/~jnz1568/getInfo.php?workbook=14_04.xlsx&amp;sheet=U0&amp;row=3325&amp;col=6&amp;number=3.1&amp;sourceID=14","3.1")</f>
        <v>3.1</v>
      </c>
      <c r="G3325" s="4" t="str">
        <f>HYPERLINK("http://141.218.60.56/~jnz1568/getInfo.php?workbook=14_04.xlsx&amp;sheet=U0&amp;row=3325&amp;col=7&amp;number=0.000908&amp;sourceID=14","0.000908")</f>
        <v>0.000908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HYPERLINK("http://141.218.60.56/~jnz1568/getInfo.php?workbook=14_04.xlsx&amp;sheet=U0&amp;row=3326&amp;col=6&amp;number=3.2&amp;sourceID=14","3.2")</f>
        <v>3.2</v>
      </c>
      <c r="G3326" s="4" t="str">
        <f>HYPERLINK("http://141.218.60.56/~jnz1568/getInfo.php?workbook=14_04.xlsx&amp;sheet=U0&amp;row=3326&amp;col=7&amp;number=0.000908&amp;sourceID=14","0.000908")</f>
        <v>0.000908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HYPERLINK("http://141.218.60.56/~jnz1568/getInfo.php?workbook=14_04.xlsx&amp;sheet=U0&amp;row=3327&amp;col=6&amp;number=3.3&amp;sourceID=14","3.3")</f>
        <v>3.3</v>
      </c>
      <c r="G3327" s="4" t="str">
        <f>HYPERLINK("http://141.218.60.56/~jnz1568/getInfo.php?workbook=14_04.xlsx&amp;sheet=U0&amp;row=3327&amp;col=7&amp;number=0.000908&amp;sourceID=14","0.000908")</f>
        <v>0.000908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HYPERLINK("http://141.218.60.56/~jnz1568/getInfo.php?workbook=14_04.xlsx&amp;sheet=U0&amp;row=3328&amp;col=6&amp;number=3.4&amp;sourceID=14","3.4")</f>
        <v>3.4</v>
      </c>
      <c r="G3328" s="4" t="str">
        <f>HYPERLINK("http://141.218.60.56/~jnz1568/getInfo.php?workbook=14_04.xlsx&amp;sheet=U0&amp;row=3328&amp;col=7&amp;number=0.000908&amp;sourceID=14","0.000908")</f>
        <v>0.000908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HYPERLINK("http://141.218.60.56/~jnz1568/getInfo.php?workbook=14_04.xlsx&amp;sheet=U0&amp;row=3329&amp;col=6&amp;number=3.5&amp;sourceID=14","3.5")</f>
        <v>3.5</v>
      </c>
      <c r="G3329" s="4" t="str">
        <f>HYPERLINK("http://141.218.60.56/~jnz1568/getInfo.php?workbook=14_04.xlsx&amp;sheet=U0&amp;row=3329&amp;col=7&amp;number=0.000907&amp;sourceID=14","0.000907")</f>
        <v>0.000907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HYPERLINK("http://141.218.60.56/~jnz1568/getInfo.php?workbook=14_04.xlsx&amp;sheet=U0&amp;row=3330&amp;col=6&amp;number=3.6&amp;sourceID=14","3.6")</f>
        <v>3.6</v>
      </c>
      <c r="G3330" s="4" t="str">
        <f>HYPERLINK("http://141.218.60.56/~jnz1568/getInfo.php?workbook=14_04.xlsx&amp;sheet=U0&amp;row=3330&amp;col=7&amp;number=0.000907&amp;sourceID=14","0.000907")</f>
        <v>0.000907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HYPERLINK("http://141.218.60.56/~jnz1568/getInfo.php?workbook=14_04.xlsx&amp;sheet=U0&amp;row=3331&amp;col=6&amp;number=3.7&amp;sourceID=14","3.7")</f>
        <v>3.7</v>
      </c>
      <c r="G3331" s="4" t="str">
        <f>HYPERLINK("http://141.218.60.56/~jnz1568/getInfo.php?workbook=14_04.xlsx&amp;sheet=U0&amp;row=3331&amp;col=7&amp;number=0.000907&amp;sourceID=14","0.000907")</f>
        <v>0.000907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HYPERLINK("http://141.218.60.56/~jnz1568/getInfo.php?workbook=14_04.xlsx&amp;sheet=U0&amp;row=3332&amp;col=6&amp;number=3.8&amp;sourceID=14","3.8")</f>
        <v>3.8</v>
      </c>
      <c r="G3332" s="4" t="str">
        <f>HYPERLINK("http://141.218.60.56/~jnz1568/getInfo.php?workbook=14_04.xlsx&amp;sheet=U0&amp;row=3332&amp;col=7&amp;number=0.000907&amp;sourceID=14","0.000907")</f>
        <v>0.000907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HYPERLINK("http://141.218.60.56/~jnz1568/getInfo.php?workbook=14_04.xlsx&amp;sheet=U0&amp;row=3333&amp;col=6&amp;number=3.9&amp;sourceID=14","3.9")</f>
        <v>3.9</v>
      </c>
      <c r="G3333" s="4" t="str">
        <f>HYPERLINK("http://141.218.60.56/~jnz1568/getInfo.php?workbook=14_04.xlsx&amp;sheet=U0&amp;row=3333&amp;col=7&amp;number=0.000907&amp;sourceID=14","0.000907")</f>
        <v>0.000907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HYPERLINK("http://141.218.60.56/~jnz1568/getInfo.php?workbook=14_04.xlsx&amp;sheet=U0&amp;row=3334&amp;col=6&amp;number=4&amp;sourceID=14","4")</f>
        <v>4</v>
      </c>
      <c r="G3334" s="4" t="str">
        <f>HYPERLINK("http://141.218.60.56/~jnz1568/getInfo.php?workbook=14_04.xlsx&amp;sheet=U0&amp;row=3334&amp;col=7&amp;number=0.000907&amp;sourceID=14","0.000907")</f>
        <v>0.000907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HYPERLINK("http://141.218.60.56/~jnz1568/getInfo.php?workbook=14_04.xlsx&amp;sheet=U0&amp;row=3335&amp;col=6&amp;number=4.1&amp;sourceID=14","4.1")</f>
        <v>4.1</v>
      </c>
      <c r="G3335" s="4" t="str">
        <f>HYPERLINK("http://141.218.60.56/~jnz1568/getInfo.php?workbook=14_04.xlsx&amp;sheet=U0&amp;row=3335&amp;col=7&amp;number=0.000906&amp;sourceID=14","0.000906")</f>
        <v>0.000906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HYPERLINK("http://141.218.60.56/~jnz1568/getInfo.php?workbook=14_04.xlsx&amp;sheet=U0&amp;row=3336&amp;col=6&amp;number=4.2&amp;sourceID=14","4.2")</f>
        <v>4.2</v>
      </c>
      <c r="G3336" s="4" t="str">
        <f>HYPERLINK("http://141.218.60.56/~jnz1568/getInfo.php?workbook=14_04.xlsx&amp;sheet=U0&amp;row=3336&amp;col=7&amp;number=0.000906&amp;sourceID=14","0.000906")</f>
        <v>0.000906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HYPERLINK("http://141.218.60.56/~jnz1568/getInfo.php?workbook=14_04.xlsx&amp;sheet=U0&amp;row=3337&amp;col=6&amp;number=4.3&amp;sourceID=14","4.3")</f>
        <v>4.3</v>
      </c>
      <c r="G3337" s="4" t="str">
        <f>HYPERLINK("http://141.218.60.56/~jnz1568/getInfo.php?workbook=14_04.xlsx&amp;sheet=U0&amp;row=3337&amp;col=7&amp;number=0.000905&amp;sourceID=14","0.000905")</f>
        <v>0.000905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HYPERLINK("http://141.218.60.56/~jnz1568/getInfo.php?workbook=14_04.xlsx&amp;sheet=U0&amp;row=3338&amp;col=6&amp;number=4.4&amp;sourceID=14","4.4")</f>
        <v>4.4</v>
      </c>
      <c r="G3338" s="4" t="str">
        <f>HYPERLINK("http://141.218.60.56/~jnz1568/getInfo.php?workbook=14_04.xlsx&amp;sheet=U0&amp;row=3338&amp;col=7&amp;number=0.000904&amp;sourceID=14","0.000904")</f>
        <v>0.000904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HYPERLINK("http://141.218.60.56/~jnz1568/getInfo.php?workbook=14_04.xlsx&amp;sheet=U0&amp;row=3339&amp;col=6&amp;number=4.5&amp;sourceID=14","4.5")</f>
        <v>4.5</v>
      </c>
      <c r="G3339" s="4" t="str">
        <f>HYPERLINK("http://141.218.60.56/~jnz1568/getInfo.php?workbook=14_04.xlsx&amp;sheet=U0&amp;row=3339&amp;col=7&amp;number=0.000904&amp;sourceID=14","0.000904")</f>
        <v>0.000904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HYPERLINK("http://141.218.60.56/~jnz1568/getInfo.php?workbook=14_04.xlsx&amp;sheet=U0&amp;row=3340&amp;col=6&amp;number=4.6&amp;sourceID=14","4.6")</f>
        <v>4.6</v>
      </c>
      <c r="G3340" s="4" t="str">
        <f>HYPERLINK("http://141.218.60.56/~jnz1568/getInfo.php?workbook=14_04.xlsx&amp;sheet=U0&amp;row=3340&amp;col=7&amp;number=0.000902&amp;sourceID=14","0.000902")</f>
        <v>0.000902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HYPERLINK("http://141.218.60.56/~jnz1568/getInfo.php?workbook=14_04.xlsx&amp;sheet=U0&amp;row=3341&amp;col=6&amp;number=4.7&amp;sourceID=14","4.7")</f>
        <v>4.7</v>
      </c>
      <c r="G3341" s="4" t="str">
        <f>HYPERLINK("http://141.218.60.56/~jnz1568/getInfo.php?workbook=14_04.xlsx&amp;sheet=U0&amp;row=3341&amp;col=7&amp;number=0.000901&amp;sourceID=14","0.000901")</f>
        <v>0.000901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HYPERLINK("http://141.218.60.56/~jnz1568/getInfo.php?workbook=14_04.xlsx&amp;sheet=U0&amp;row=3342&amp;col=6&amp;number=4.8&amp;sourceID=14","4.8")</f>
        <v>4.8</v>
      </c>
      <c r="G3342" s="4" t="str">
        <f>HYPERLINK("http://141.218.60.56/~jnz1568/getInfo.php?workbook=14_04.xlsx&amp;sheet=U0&amp;row=3342&amp;col=7&amp;number=0.000899&amp;sourceID=14","0.000899")</f>
        <v>0.000899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HYPERLINK("http://141.218.60.56/~jnz1568/getInfo.php?workbook=14_04.xlsx&amp;sheet=U0&amp;row=3343&amp;col=6&amp;number=4.9&amp;sourceID=14","4.9")</f>
        <v>4.9</v>
      </c>
      <c r="G3343" s="4" t="str">
        <f>HYPERLINK("http://141.218.60.56/~jnz1568/getInfo.php?workbook=14_04.xlsx&amp;sheet=U0&amp;row=3343&amp;col=7&amp;number=0.000897&amp;sourceID=14","0.000897")</f>
        <v>0.000897</v>
      </c>
    </row>
    <row r="3344" spans="1:7">
      <c r="A3344" s="3">
        <v>14</v>
      </c>
      <c r="B3344" s="3">
        <v>4</v>
      </c>
      <c r="C3344" s="3">
        <v>2</v>
      </c>
      <c r="D3344" s="3">
        <v>51</v>
      </c>
      <c r="E3344" s="3">
        <v>1</v>
      </c>
      <c r="F3344" s="4" t="str">
        <f>HYPERLINK("http://141.218.60.56/~jnz1568/getInfo.php?workbook=14_04.xlsx&amp;sheet=U0&amp;row=3344&amp;col=6&amp;number=3&amp;sourceID=14","3")</f>
        <v>3</v>
      </c>
      <c r="G3344" s="4" t="str">
        <f>HYPERLINK("http://141.218.60.56/~jnz1568/getInfo.php?workbook=14_04.xlsx&amp;sheet=U0&amp;row=3344&amp;col=7&amp;number=0.00129&amp;sourceID=14","0.00129")</f>
        <v>0.00129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HYPERLINK("http://141.218.60.56/~jnz1568/getInfo.php?workbook=14_04.xlsx&amp;sheet=U0&amp;row=3345&amp;col=6&amp;number=3.1&amp;sourceID=14","3.1")</f>
        <v>3.1</v>
      </c>
      <c r="G3345" s="4" t="str">
        <f>HYPERLINK("http://141.218.60.56/~jnz1568/getInfo.php?workbook=14_04.xlsx&amp;sheet=U0&amp;row=3345&amp;col=7&amp;number=0.00129&amp;sourceID=14","0.00129")</f>
        <v>0.00129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HYPERLINK("http://141.218.60.56/~jnz1568/getInfo.php?workbook=14_04.xlsx&amp;sheet=U0&amp;row=3346&amp;col=6&amp;number=3.2&amp;sourceID=14","3.2")</f>
        <v>3.2</v>
      </c>
      <c r="G3346" s="4" t="str">
        <f>HYPERLINK("http://141.218.60.56/~jnz1568/getInfo.php?workbook=14_04.xlsx&amp;sheet=U0&amp;row=3346&amp;col=7&amp;number=0.00129&amp;sourceID=14","0.00129")</f>
        <v>0.00129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HYPERLINK("http://141.218.60.56/~jnz1568/getInfo.php?workbook=14_04.xlsx&amp;sheet=U0&amp;row=3347&amp;col=6&amp;number=3.3&amp;sourceID=14","3.3")</f>
        <v>3.3</v>
      </c>
      <c r="G3347" s="4" t="str">
        <f>HYPERLINK("http://141.218.60.56/~jnz1568/getInfo.php?workbook=14_04.xlsx&amp;sheet=U0&amp;row=3347&amp;col=7&amp;number=0.00129&amp;sourceID=14","0.00129")</f>
        <v>0.00129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HYPERLINK("http://141.218.60.56/~jnz1568/getInfo.php?workbook=14_04.xlsx&amp;sheet=U0&amp;row=3348&amp;col=6&amp;number=3.4&amp;sourceID=14","3.4")</f>
        <v>3.4</v>
      </c>
      <c r="G3348" s="4" t="str">
        <f>HYPERLINK("http://141.218.60.56/~jnz1568/getInfo.php?workbook=14_04.xlsx&amp;sheet=U0&amp;row=3348&amp;col=7&amp;number=0.00129&amp;sourceID=14","0.00129")</f>
        <v>0.00129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HYPERLINK("http://141.218.60.56/~jnz1568/getInfo.php?workbook=14_04.xlsx&amp;sheet=U0&amp;row=3349&amp;col=6&amp;number=3.5&amp;sourceID=14","3.5")</f>
        <v>3.5</v>
      </c>
      <c r="G3349" s="4" t="str">
        <f>HYPERLINK("http://141.218.60.56/~jnz1568/getInfo.php?workbook=14_04.xlsx&amp;sheet=U0&amp;row=3349&amp;col=7&amp;number=0.00129&amp;sourceID=14","0.00129")</f>
        <v>0.00129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HYPERLINK("http://141.218.60.56/~jnz1568/getInfo.php?workbook=14_04.xlsx&amp;sheet=U0&amp;row=3350&amp;col=6&amp;number=3.6&amp;sourceID=14","3.6")</f>
        <v>3.6</v>
      </c>
      <c r="G3350" s="4" t="str">
        <f>HYPERLINK("http://141.218.60.56/~jnz1568/getInfo.php?workbook=14_04.xlsx&amp;sheet=U0&amp;row=3350&amp;col=7&amp;number=0.00129&amp;sourceID=14","0.00129")</f>
        <v>0.00129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HYPERLINK("http://141.218.60.56/~jnz1568/getInfo.php?workbook=14_04.xlsx&amp;sheet=U0&amp;row=3351&amp;col=6&amp;number=3.7&amp;sourceID=14","3.7")</f>
        <v>3.7</v>
      </c>
      <c r="G3351" s="4" t="str">
        <f>HYPERLINK("http://141.218.60.56/~jnz1568/getInfo.php?workbook=14_04.xlsx&amp;sheet=U0&amp;row=3351&amp;col=7&amp;number=0.00129&amp;sourceID=14","0.00129")</f>
        <v>0.00129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HYPERLINK("http://141.218.60.56/~jnz1568/getInfo.php?workbook=14_04.xlsx&amp;sheet=U0&amp;row=3352&amp;col=6&amp;number=3.8&amp;sourceID=14","3.8")</f>
        <v>3.8</v>
      </c>
      <c r="G3352" s="4" t="str">
        <f>HYPERLINK("http://141.218.60.56/~jnz1568/getInfo.php?workbook=14_04.xlsx&amp;sheet=U0&amp;row=3352&amp;col=7&amp;number=0.00129&amp;sourceID=14","0.00129")</f>
        <v>0.00129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HYPERLINK("http://141.218.60.56/~jnz1568/getInfo.php?workbook=14_04.xlsx&amp;sheet=U0&amp;row=3353&amp;col=6&amp;number=3.9&amp;sourceID=14","3.9")</f>
        <v>3.9</v>
      </c>
      <c r="G3353" s="4" t="str">
        <f>HYPERLINK("http://141.218.60.56/~jnz1568/getInfo.php?workbook=14_04.xlsx&amp;sheet=U0&amp;row=3353&amp;col=7&amp;number=0.00129&amp;sourceID=14","0.00129")</f>
        <v>0.00129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HYPERLINK("http://141.218.60.56/~jnz1568/getInfo.php?workbook=14_04.xlsx&amp;sheet=U0&amp;row=3354&amp;col=6&amp;number=4&amp;sourceID=14","4")</f>
        <v>4</v>
      </c>
      <c r="G3354" s="4" t="str">
        <f>HYPERLINK("http://141.218.60.56/~jnz1568/getInfo.php?workbook=14_04.xlsx&amp;sheet=U0&amp;row=3354&amp;col=7&amp;number=0.00129&amp;sourceID=14","0.00129")</f>
        <v>0.00129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HYPERLINK("http://141.218.60.56/~jnz1568/getInfo.php?workbook=14_04.xlsx&amp;sheet=U0&amp;row=3355&amp;col=6&amp;number=4.1&amp;sourceID=14","4.1")</f>
        <v>4.1</v>
      </c>
      <c r="G3355" s="4" t="str">
        <f>HYPERLINK("http://141.218.60.56/~jnz1568/getInfo.php?workbook=14_04.xlsx&amp;sheet=U0&amp;row=3355&amp;col=7&amp;number=0.00129&amp;sourceID=14","0.00129")</f>
        <v>0.00129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HYPERLINK("http://141.218.60.56/~jnz1568/getInfo.php?workbook=14_04.xlsx&amp;sheet=U0&amp;row=3356&amp;col=6&amp;number=4.2&amp;sourceID=14","4.2")</f>
        <v>4.2</v>
      </c>
      <c r="G3356" s="4" t="str">
        <f>HYPERLINK("http://141.218.60.56/~jnz1568/getInfo.php?workbook=14_04.xlsx&amp;sheet=U0&amp;row=3356&amp;col=7&amp;number=0.00129&amp;sourceID=14","0.00129")</f>
        <v>0.00129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HYPERLINK("http://141.218.60.56/~jnz1568/getInfo.php?workbook=14_04.xlsx&amp;sheet=U0&amp;row=3357&amp;col=6&amp;number=4.3&amp;sourceID=14","4.3")</f>
        <v>4.3</v>
      </c>
      <c r="G3357" s="4" t="str">
        <f>HYPERLINK("http://141.218.60.56/~jnz1568/getInfo.php?workbook=14_04.xlsx&amp;sheet=U0&amp;row=3357&amp;col=7&amp;number=0.00129&amp;sourceID=14","0.00129")</f>
        <v>0.00129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HYPERLINK("http://141.218.60.56/~jnz1568/getInfo.php?workbook=14_04.xlsx&amp;sheet=U0&amp;row=3358&amp;col=6&amp;number=4.4&amp;sourceID=14","4.4")</f>
        <v>4.4</v>
      </c>
      <c r="G3358" s="4" t="str">
        <f>HYPERLINK("http://141.218.60.56/~jnz1568/getInfo.php?workbook=14_04.xlsx&amp;sheet=U0&amp;row=3358&amp;col=7&amp;number=0.00129&amp;sourceID=14","0.00129")</f>
        <v>0.00129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HYPERLINK("http://141.218.60.56/~jnz1568/getInfo.php?workbook=14_04.xlsx&amp;sheet=U0&amp;row=3359&amp;col=6&amp;number=4.5&amp;sourceID=14","4.5")</f>
        <v>4.5</v>
      </c>
      <c r="G3359" s="4" t="str">
        <f>HYPERLINK("http://141.218.60.56/~jnz1568/getInfo.php?workbook=14_04.xlsx&amp;sheet=U0&amp;row=3359&amp;col=7&amp;number=0.00129&amp;sourceID=14","0.00129")</f>
        <v>0.00129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HYPERLINK("http://141.218.60.56/~jnz1568/getInfo.php?workbook=14_04.xlsx&amp;sheet=U0&amp;row=3360&amp;col=6&amp;number=4.6&amp;sourceID=14","4.6")</f>
        <v>4.6</v>
      </c>
      <c r="G3360" s="4" t="str">
        <f>HYPERLINK("http://141.218.60.56/~jnz1568/getInfo.php?workbook=14_04.xlsx&amp;sheet=U0&amp;row=3360&amp;col=7&amp;number=0.00129&amp;sourceID=14","0.00129")</f>
        <v>0.00129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HYPERLINK("http://141.218.60.56/~jnz1568/getInfo.php?workbook=14_04.xlsx&amp;sheet=U0&amp;row=3361&amp;col=6&amp;number=4.7&amp;sourceID=14","4.7")</f>
        <v>4.7</v>
      </c>
      <c r="G3361" s="4" t="str">
        <f>HYPERLINK("http://141.218.60.56/~jnz1568/getInfo.php?workbook=14_04.xlsx&amp;sheet=U0&amp;row=3361&amp;col=7&amp;number=0.00128&amp;sourceID=14","0.00128")</f>
        <v>0.00128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HYPERLINK("http://141.218.60.56/~jnz1568/getInfo.php?workbook=14_04.xlsx&amp;sheet=U0&amp;row=3362&amp;col=6&amp;number=4.8&amp;sourceID=14","4.8")</f>
        <v>4.8</v>
      </c>
      <c r="G3362" s="4" t="str">
        <f>HYPERLINK("http://141.218.60.56/~jnz1568/getInfo.php?workbook=14_04.xlsx&amp;sheet=U0&amp;row=3362&amp;col=7&amp;number=0.00128&amp;sourceID=14","0.00128")</f>
        <v>0.00128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HYPERLINK("http://141.218.60.56/~jnz1568/getInfo.php?workbook=14_04.xlsx&amp;sheet=U0&amp;row=3363&amp;col=6&amp;number=4.9&amp;sourceID=14","4.9")</f>
        <v>4.9</v>
      </c>
      <c r="G3363" s="4" t="str">
        <f>HYPERLINK("http://141.218.60.56/~jnz1568/getInfo.php?workbook=14_04.xlsx&amp;sheet=U0&amp;row=3363&amp;col=7&amp;number=0.00128&amp;sourceID=14","0.00128")</f>
        <v>0.00128</v>
      </c>
    </row>
    <row r="3364" spans="1:7">
      <c r="A3364" s="3">
        <v>14</v>
      </c>
      <c r="B3364" s="3">
        <v>4</v>
      </c>
      <c r="C3364" s="3">
        <v>2</v>
      </c>
      <c r="D3364" s="3">
        <v>52</v>
      </c>
      <c r="E3364" s="3">
        <v>1</v>
      </c>
      <c r="F3364" s="4" t="str">
        <f>HYPERLINK("http://141.218.60.56/~jnz1568/getInfo.php?workbook=14_04.xlsx&amp;sheet=U0&amp;row=3364&amp;col=6&amp;number=3&amp;sourceID=14","3")</f>
        <v>3</v>
      </c>
      <c r="G3364" s="4" t="str">
        <f>HYPERLINK("http://141.218.60.56/~jnz1568/getInfo.php?workbook=14_04.xlsx&amp;sheet=U0&amp;row=3364&amp;col=7&amp;number=0.000857&amp;sourceID=14","0.000857")</f>
        <v>0.000857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HYPERLINK("http://141.218.60.56/~jnz1568/getInfo.php?workbook=14_04.xlsx&amp;sheet=U0&amp;row=3365&amp;col=6&amp;number=3.1&amp;sourceID=14","3.1")</f>
        <v>3.1</v>
      </c>
      <c r="G3365" s="4" t="str">
        <f>HYPERLINK("http://141.218.60.56/~jnz1568/getInfo.php?workbook=14_04.xlsx&amp;sheet=U0&amp;row=3365&amp;col=7&amp;number=0.000857&amp;sourceID=14","0.000857")</f>
        <v>0.000857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HYPERLINK("http://141.218.60.56/~jnz1568/getInfo.php?workbook=14_04.xlsx&amp;sheet=U0&amp;row=3366&amp;col=6&amp;number=3.2&amp;sourceID=14","3.2")</f>
        <v>3.2</v>
      </c>
      <c r="G3366" s="4" t="str">
        <f>HYPERLINK("http://141.218.60.56/~jnz1568/getInfo.php?workbook=14_04.xlsx&amp;sheet=U0&amp;row=3366&amp;col=7&amp;number=0.000857&amp;sourceID=14","0.000857")</f>
        <v>0.000857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HYPERLINK("http://141.218.60.56/~jnz1568/getInfo.php?workbook=14_04.xlsx&amp;sheet=U0&amp;row=3367&amp;col=6&amp;number=3.3&amp;sourceID=14","3.3")</f>
        <v>3.3</v>
      </c>
      <c r="G3367" s="4" t="str">
        <f>HYPERLINK("http://141.218.60.56/~jnz1568/getInfo.php?workbook=14_04.xlsx&amp;sheet=U0&amp;row=3367&amp;col=7&amp;number=0.000857&amp;sourceID=14","0.000857")</f>
        <v>0.000857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HYPERLINK("http://141.218.60.56/~jnz1568/getInfo.php?workbook=14_04.xlsx&amp;sheet=U0&amp;row=3368&amp;col=6&amp;number=3.4&amp;sourceID=14","3.4")</f>
        <v>3.4</v>
      </c>
      <c r="G3368" s="4" t="str">
        <f>HYPERLINK("http://141.218.60.56/~jnz1568/getInfo.php?workbook=14_04.xlsx&amp;sheet=U0&amp;row=3368&amp;col=7&amp;number=0.000856&amp;sourceID=14","0.000856")</f>
        <v>0.000856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HYPERLINK("http://141.218.60.56/~jnz1568/getInfo.php?workbook=14_04.xlsx&amp;sheet=U0&amp;row=3369&amp;col=6&amp;number=3.5&amp;sourceID=14","3.5")</f>
        <v>3.5</v>
      </c>
      <c r="G3369" s="4" t="str">
        <f>HYPERLINK("http://141.218.60.56/~jnz1568/getInfo.php?workbook=14_04.xlsx&amp;sheet=U0&amp;row=3369&amp;col=7&amp;number=0.000856&amp;sourceID=14","0.000856")</f>
        <v>0.000856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HYPERLINK("http://141.218.60.56/~jnz1568/getInfo.php?workbook=14_04.xlsx&amp;sheet=U0&amp;row=3370&amp;col=6&amp;number=3.6&amp;sourceID=14","3.6")</f>
        <v>3.6</v>
      </c>
      <c r="G3370" s="4" t="str">
        <f>HYPERLINK("http://141.218.60.56/~jnz1568/getInfo.php?workbook=14_04.xlsx&amp;sheet=U0&amp;row=3370&amp;col=7&amp;number=0.000856&amp;sourceID=14","0.000856")</f>
        <v>0.000856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HYPERLINK("http://141.218.60.56/~jnz1568/getInfo.php?workbook=14_04.xlsx&amp;sheet=U0&amp;row=3371&amp;col=6&amp;number=3.7&amp;sourceID=14","3.7")</f>
        <v>3.7</v>
      </c>
      <c r="G3371" s="4" t="str">
        <f>HYPERLINK("http://141.218.60.56/~jnz1568/getInfo.php?workbook=14_04.xlsx&amp;sheet=U0&amp;row=3371&amp;col=7&amp;number=0.000856&amp;sourceID=14","0.000856")</f>
        <v>0.000856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HYPERLINK("http://141.218.60.56/~jnz1568/getInfo.php?workbook=14_04.xlsx&amp;sheet=U0&amp;row=3372&amp;col=6&amp;number=3.8&amp;sourceID=14","3.8")</f>
        <v>3.8</v>
      </c>
      <c r="G3372" s="4" t="str">
        <f>HYPERLINK("http://141.218.60.56/~jnz1568/getInfo.php?workbook=14_04.xlsx&amp;sheet=U0&amp;row=3372&amp;col=7&amp;number=0.000856&amp;sourceID=14","0.000856")</f>
        <v>0.000856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HYPERLINK("http://141.218.60.56/~jnz1568/getInfo.php?workbook=14_04.xlsx&amp;sheet=U0&amp;row=3373&amp;col=6&amp;number=3.9&amp;sourceID=14","3.9")</f>
        <v>3.9</v>
      </c>
      <c r="G3373" s="4" t="str">
        <f>HYPERLINK("http://141.218.60.56/~jnz1568/getInfo.php?workbook=14_04.xlsx&amp;sheet=U0&amp;row=3373&amp;col=7&amp;number=0.000856&amp;sourceID=14","0.000856")</f>
        <v>0.000856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HYPERLINK("http://141.218.60.56/~jnz1568/getInfo.php?workbook=14_04.xlsx&amp;sheet=U0&amp;row=3374&amp;col=6&amp;number=4&amp;sourceID=14","4")</f>
        <v>4</v>
      </c>
      <c r="G3374" s="4" t="str">
        <f>HYPERLINK("http://141.218.60.56/~jnz1568/getInfo.php?workbook=14_04.xlsx&amp;sheet=U0&amp;row=3374&amp;col=7&amp;number=0.000855&amp;sourceID=14","0.000855")</f>
        <v>0.000855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HYPERLINK("http://141.218.60.56/~jnz1568/getInfo.php?workbook=14_04.xlsx&amp;sheet=U0&amp;row=3375&amp;col=6&amp;number=4.1&amp;sourceID=14","4.1")</f>
        <v>4.1</v>
      </c>
      <c r="G3375" s="4" t="str">
        <f>HYPERLINK("http://141.218.60.56/~jnz1568/getInfo.php?workbook=14_04.xlsx&amp;sheet=U0&amp;row=3375&amp;col=7&amp;number=0.000855&amp;sourceID=14","0.000855")</f>
        <v>0.000855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HYPERLINK("http://141.218.60.56/~jnz1568/getInfo.php?workbook=14_04.xlsx&amp;sheet=U0&amp;row=3376&amp;col=6&amp;number=4.2&amp;sourceID=14","4.2")</f>
        <v>4.2</v>
      </c>
      <c r="G3376" s="4" t="str">
        <f>HYPERLINK("http://141.218.60.56/~jnz1568/getInfo.php?workbook=14_04.xlsx&amp;sheet=U0&amp;row=3376&amp;col=7&amp;number=0.000854&amp;sourceID=14","0.000854")</f>
        <v>0.000854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HYPERLINK("http://141.218.60.56/~jnz1568/getInfo.php?workbook=14_04.xlsx&amp;sheet=U0&amp;row=3377&amp;col=6&amp;number=4.3&amp;sourceID=14","4.3")</f>
        <v>4.3</v>
      </c>
      <c r="G3377" s="4" t="str">
        <f>HYPERLINK("http://141.218.60.56/~jnz1568/getInfo.php?workbook=14_04.xlsx&amp;sheet=U0&amp;row=3377&amp;col=7&amp;number=0.000854&amp;sourceID=14","0.000854")</f>
        <v>0.000854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HYPERLINK("http://141.218.60.56/~jnz1568/getInfo.php?workbook=14_04.xlsx&amp;sheet=U0&amp;row=3378&amp;col=6&amp;number=4.4&amp;sourceID=14","4.4")</f>
        <v>4.4</v>
      </c>
      <c r="G3378" s="4" t="str">
        <f>HYPERLINK("http://141.218.60.56/~jnz1568/getInfo.php?workbook=14_04.xlsx&amp;sheet=U0&amp;row=3378&amp;col=7&amp;number=0.000853&amp;sourceID=14","0.000853")</f>
        <v>0.000853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HYPERLINK("http://141.218.60.56/~jnz1568/getInfo.php?workbook=14_04.xlsx&amp;sheet=U0&amp;row=3379&amp;col=6&amp;number=4.5&amp;sourceID=14","4.5")</f>
        <v>4.5</v>
      </c>
      <c r="G3379" s="4" t="str">
        <f>HYPERLINK("http://141.218.60.56/~jnz1568/getInfo.php?workbook=14_04.xlsx&amp;sheet=U0&amp;row=3379&amp;col=7&amp;number=0.000852&amp;sourceID=14","0.000852")</f>
        <v>0.000852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HYPERLINK("http://141.218.60.56/~jnz1568/getInfo.php?workbook=14_04.xlsx&amp;sheet=U0&amp;row=3380&amp;col=6&amp;number=4.6&amp;sourceID=14","4.6")</f>
        <v>4.6</v>
      </c>
      <c r="G3380" s="4" t="str">
        <f>HYPERLINK("http://141.218.60.56/~jnz1568/getInfo.php?workbook=14_04.xlsx&amp;sheet=U0&amp;row=3380&amp;col=7&amp;number=0.000851&amp;sourceID=14","0.000851")</f>
        <v>0.000851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HYPERLINK("http://141.218.60.56/~jnz1568/getInfo.php?workbook=14_04.xlsx&amp;sheet=U0&amp;row=3381&amp;col=6&amp;number=4.7&amp;sourceID=14","4.7")</f>
        <v>4.7</v>
      </c>
      <c r="G3381" s="4" t="str">
        <f>HYPERLINK("http://141.218.60.56/~jnz1568/getInfo.php?workbook=14_04.xlsx&amp;sheet=U0&amp;row=3381&amp;col=7&amp;number=0.000849&amp;sourceID=14","0.000849")</f>
        <v>0.000849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HYPERLINK("http://141.218.60.56/~jnz1568/getInfo.php?workbook=14_04.xlsx&amp;sheet=U0&amp;row=3382&amp;col=6&amp;number=4.8&amp;sourceID=14","4.8")</f>
        <v>4.8</v>
      </c>
      <c r="G3382" s="4" t="str">
        <f>HYPERLINK("http://141.218.60.56/~jnz1568/getInfo.php?workbook=14_04.xlsx&amp;sheet=U0&amp;row=3382&amp;col=7&amp;number=0.000847&amp;sourceID=14","0.000847")</f>
        <v>0.000847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HYPERLINK("http://141.218.60.56/~jnz1568/getInfo.php?workbook=14_04.xlsx&amp;sheet=U0&amp;row=3383&amp;col=6&amp;number=4.9&amp;sourceID=14","4.9")</f>
        <v>4.9</v>
      </c>
      <c r="G3383" s="4" t="str">
        <f>HYPERLINK("http://141.218.60.56/~jnz1568/getInfo.php?workbook=14_04.xlsx&amp;sheet=U0&amp;row=3383&amp;col=7&amp;number=0.000844&amp;sourceID=14","0.000844")</f>
        <v>0.000844</v>
      </c>
    </row>
    <row r="3384" spans="1:7">
      <c r="A3384" s="3">
        <v>14</v>
      </c>
      <c r="B3384" s="3">
        <v>4</v>
      </c>
      <c r="C3384" s="3">
        <v>2</v>
      </c>
      <c r="D3384" s="3">
        <v>53</v>
      </c>
      <c r="E3384" s="3">
        <v>1</v>
      </c>
      <c r="F3384" s="4" t="str">
        <f>HYPERLINK("http://141.218.60.56/~jnz1568/getInfo.php?workbook=14_04.xlsx&amp;sheet=U0&amp;row=3384&amp;col=6&amp;number=3&amp;sourceID=14","3")</f>
        <v>3</v>
      </c>
      <c r="G3384" s="4" t="str">
        <f>HYPERLINK("http://141.218.60.56/~jnz1568/getInfo.php?workbook=14_04.xlsx&amp;sheet=U0&amp;row=3384&amp;col=7&amp;number=0.0123&amp;sourceID=14","0.0123")</f>
        <v>0.0123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HYPERLINK("http://141.218.60.56/~jnz1568/getInfo.php?workbook=14_04.xlsx&amp;sheet=U0&amp;row=3385&amp;col=6&amp;number=3.1&amp;sourceID=14","3.1")</f>
        <v>3.1</v>
      </c>
      <c r="G3385" s="4" t="str">
        <f>HYPERLINK("http://141.218.60.56/~jnz1568/getInfo.php?workbook=14_04.xlsx&amp;sheet=U0&amp;row=3385&amp;col=7&amp;number=0.0123&amp;sourceID=14","0.0123")</f>
        <v>0.0123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HYPERLINK("http://141.218.60.56/~jnz1568/getInfo.php?workbook=14_04.xlsx&amp;sheet=U0&amp;row=3386&amp;col=6&amp;number=3.2&amp;sourceID=14","3.2")</f>
        <v>3.2</v>
      </c>
      <c r="G3386" s="4" t="str">
        <f>HYPERLINK("http://141.218.60.56/~jnz1568/getInfo.php?workbook=14_04.xlsx&amp;sheet=U0&amp;row=3386&amp;col=7&amp;number=0.0123&amp;sourceID=14","0.0123")</f>
        <v>0.0123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HYPERLINK("http://141.218.60.56/~jnz1568/getInfo.php?workbook=14_04.xlsx&amp;sheet=U0&amp;row=3387&amp;col=6&amp;number=3.3&amp;sourceID=14","3.3")</f>
        <v>3.3</v>
      </c>
      <c r="G3387" s="4" t="str">
        <f>HYPERLINK("http://141.218.60.56/~jnz1568/getInfo.php?workbook=14_04.xlsx&amp;sheet=U0&amp;row=3387&amp;col=7&amp;number=0.0123&amp;sourceID=14","0.0123")</f>
        <v>0.0123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HYPERLINK("http://141.218.60.56/~jnz1568/getInfo.php?workbook=14_04.xlsx&amp;sheet=U0&amp;row=3388&amp;col=6&amp;number=3.4&amp;sourceID=14","3.4")</f>
        <v>3.4</v>
      </c>
      <c r="G3388" s="4" t="str">
        <f>HYPERLINK("http://141.218.60.56/~jnz1568/getInfo.php?workbook=14_04.xlsx&amp;sheet=U0&amp;row=3388&amp;col=7&amp;number=0.0123&amp;sourceID=14","0.0123")</f>
        <v>0.0123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HYPERLINK("http://141.218.60.56/~jnz1568/getInfo.php?workbook=14_04.xlsx&amp;sheet=U0&amp;row=3389&amp;col=6&amp;number=3.5&amp;sourceID=14","3.5")</f>
        <v>3.5</v>
      </c>
      <c r="G3389" s="4" t="str">
        <f>HYPERLINK("http://141.218.60.56/~jnz1568/getInfo.php?workbook=14_04.xlsx&amp;sheet=U0&amp;row=3389&amp;col=7&amp;number=0.0123&amp;sourceID=14","0.0123")</f>
        <v>0.0123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HYPERLINK("http://141.218.60.56/~jnz1568/getInfo.php?workbook=14_04.xlsx&amp;sheet=U0&amp;row=3390&amp;col=6&amp;number=3.6&amp;sourceID=14","3.6")</f>
        <v>3.6</v>
      </c>
      <c r="G3390" s="4" t="str">
        <f>HYPERLINK("http://141.218.60.56/~jnz1568/getInfo.php?workbook=14_04.xlsx&amp;sheet=U0&amp;row=3390&amp;col=7&amp;number=0.0123&amp;sourceID=14","0.0123")</f>
        <v>0.0123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HYPERLINK("http://141.218.60.56/~jnz1568/getInfo.php?workbook=14_04.xlsx&amp;sheet=U0&amp;row=3391&amp;col=6&amp;number=3.7&amp;sourceID=14","3.7")</f>
        <v>3.7</v>
      </c>
      <c r="G3391" s="4" t="str">
        <f>HYPERLINK("http://141.218.60.56/~jnz1568/getInfo.php?workbook=14_04.xlsx&amp;sheet=U0&amp;row=3391&amp;col=7&amp;number=0.0123&amp;sourceID=14","0.0123")</f>
        <v>0.0123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HYPERLINK("http://141.218.60.56/~jnz1568/getInfo.php?workbook=14_04.xlsx&amp;sheet=U0&amp;row=3392&amp;col=6&amp;number=3.8&amp;sourceID=14","3.8")</f>
        <v>3.8</v>
      </c>
      <c r="G3392" s="4" t="str">
        <f>HYPERLINK("http://141.218.60.56/~jnz1568/getInfo.php?workbook=14_04.xlsx&amp;sheet=U0&amp;row=3392&amp;col=7&amp;number=0.0123&amp;sourceID=14","0.0123")</f>
        <v>0.0123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HYPERLINK("http://141.218.60.56/~jnz1568/getInfo.php?workbook=14_04.xlsx&amp;sheet=U0&amp;row=3393&amp;col=6&amp;number=3.9&amp;sourceID=14","3.9")</f>
        <v>3.9</v>
      </c>
      <c r="G3393" s="4" t="str">
        <f>HYPERLINK("http://141.218.60.56/~jnz1568/getInfo.php?workbook=14_04.xlsx&amp;sheet=U0&amp;row=3393&amp;col=7&amp;number=0.0123&amp;sourceID=14","0.0123")</f>
        <v>0.0123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HYPERLINK("http://141.218.60.56/~jnz1568/getInfo.php?workbook=14_04.xlsx&amp;sheet=U0&amp;row=3394&amp;col=6&amp;number=4&amp;sourceID=14","4")</f>
        <v>4</v>
      </c>
      <c r="G3394" s="4" t="str">
        <f>HYPERLINK("http://141.218.60.56/~jnz1568/getInfo.php?workbook=14_04.xlsx&amp;sheet=U0&amp;row=3394&amp;col=7&amp;number=0.0123&amp;sourceID=14","0.0123")</f>
        <v>0.0123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HYPERLINK("http://141.218.60.56/~jnz1568/getInfo.php?workbook=14_04.xlsx&amp;sheet=U0&amp;row=3395&amp;col=6&amp;number=4.1&amp;sourceID=14","4.1")</f>
        <v>4.1</v>
      </c>
      <c r="G3395" s="4" t="str">
        <f>HYPERLINK("http://141.218.60.56/~jnz1568/getInfo.php?workbook=14_04.xlsx&amp;sheet=U0&amp;row=3395&amp;col=7&amp;number=0.0123&amp;sourceID=14","0.0123")</f>
        <v>0.0123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HYPERLINK("http://141.218.60.56/~jnz1568/getInfo.php?workbook=14_04.xlsx&amp;sheet=U0&amp;row=3396&amp;col=6&amp;number=4.2&amp;sourceID=14","4.2")</f>
        <v>4.2</v>
      </c>
      <c r="G3396" s="4" t="str">
        <f>HYPERLINK("http://141.218.60.56/~jnz1568/getInfo.php?workbook=14_04.xlsx&amp;sheet=U0&amp;row=3396&amp;col=7&amp;number=0.0123&amp;sourceID=14","0.0123")</f>
        <v>0.0123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HYPERLINK("http://141.218.60.56/~jnz1568/getInfo.php?workbook=14_04.xlsx&amp;sheet=U0&amp;row=3397&amp;col=6&amp;number=4.3&amp;sourceID=14","4.3")</f>
        <v>4.3</v>
      </c>
      <c r="G3397" s="4" t="str">
        <f>HYPERLINK("http://141.218.60.56/~jnz1568/getInfo.php?workbook=14_04.xlsx&amp;sheet=U0&amp;row=3397&amp;col=7&amp;number=0.0123&amp;sourceID=14","0.0123")</f>
        <v>0.0123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HYPERLINK("http://141.218.60.56/~jnz1568/getInfo.php?workbook=14_04.xlsx&amp;sheet=U0&amp;row=3398&amp;col=6&amp;number=4.4&amp;sourceID=14","4.4")</f>
        <v>4.4</v>
      </c>
      <c r="G3398" s="4" t="str">
        <f>HYPERLINK("http://141.218.60.56/~jnz1568/getInfo.php?workbook=14_04.xlsx&amp;sheet=U0&amp;row=3398&amp;col=7&amp;number=0.0124&amp;sourceID=14","0.0124")</f>
        <v>0.0124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HYPERLINK("http://141.218.60.56/~jnz1568/getInfo.php?workbook=14_04.xlsx&amp;sheet=U0&amp;row=3399&amp;col=6&amp;number=4.5&amp;sourceID=14","4.5")</f>
        <v>4.5</v>
      </c>
      <c r="G3399" s="4" t="str">
        <f>HYPERLINK("http://141.218.60.56/~jnz1568/getInfo.php?workbook=14_04.xlsx&amp;sheet=U0&amp;row=3399&amp;col=7&amp;number=0.0124&amp;sourceID=14","0.0124")</f>
        <v>0.0124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HYPERLINK("http://141.218.60.56/~jnz1568/getInfo.php?workbook=14_04.xlsx&amp;sheet=U0&amp;row=3400&amp;col=6&amp;number=4.6&amp;sourceID=14","4.6")</f>
        <v>4.6</v>
      </c>
      <c r="G3400" s="4" t="str">
        <f>HYPERLINK("http://141.218.60.56/~jnz1568/getInfo.php?workbook=14_04.xlsx&amp;sheet=U0&amp;row=3400&amp;col=7&amp;number=0.0124&amp;sourceID=14","0.0124")</f>
        <v>0.0124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HYPERLINK("http://141.218.60.56/~jnz1568/getInfo.php?workbook=14_04.xlsx&amp;sheet=U0&amp;row=3401&amp;col=6&amp;number=4.7&amp;sourceID=14","4.7")</f>
        <v>4.7</v>
      </c>
      <c r="G3401" s="4" t="str">
        <f>HYPERLINK("http://141.218.60.56/~jnz1568/getInfo.php?workbook=14_04.xlsx&amp;sheet=U0&amp;row=3401&amp;col=7&amp;number=0.0124&amp;sourceID=14","0.0124")</f>
        <v>0.0124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HYPERLINK("http://141.218.60.56/~jnz1568/getInfo.php?workbook=14_04.xlsx&amp;sheet=U0&amp;row=3402&amp;col=6&amp;number=4.8&amp;sourceID=14","4.8")</f>
        <v>4.8</v>
      </c>
      <c r="G3402" s="4" t="str">
        <f>HYPERLINK("http://141.218.60.56/~jnz1568/getInfo.php?workbook=14_04.xlsx&amp;sheet=U0&amp;row=3402&amp;col=7&amp;number=0.0125&amp;sourceID=14","0.0125")</f>
        <v>0.0125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HYPERLINK("http://141.218.60.56/~jnz1568/getInfo.php?workbook=14_04.xlsx&amp;sheet=U0&amp;row=3403&amp;col=6&amp;number=4.9&amp;sourceID=14","4.9")</f>
        <v>4.9</v>
      </c>
      <c r="G3403" s="4" t="str">
        <f>HYPERLINK("http://141.218.60.56/~jnz1568/getInfo.php?workbook=14_04.xlsx&amp;sheet=U0&amp;row=3403&amp;col=7&amp;number=0.0125&amp;sourceID=14","0.0125")</f>
        <v>0.0125</v>
      </c>
    </row>
    <row r="3404" spans="1:7">
      <c r="A3404" s="3">
        <v>14</v>
      </c>
      <c r="B3404" s="3">
        <v>4</v>
      </c>
      <c r="C3404" s="3">
        <v>2</v>
      </c>
      <c r="D3404" s="3">
        <v>54</v>
      </c>
      <c r="E3404" s="3">
        <v>1</v>
      </c>
      <c r="F3404" s="4" t="str">
        <f>HYPERLINK("http://141.218.60.56/~jnz1568/getInfo.php?workbook=14_04.xlsx&amp;sheet=U0&amp;row=3404&amp;col=6&amp;number=3&amp;sourceID=14","3")</f>
        <v>3</v>
      </c>
      <c r="G3404" s="4" t="str">
        <f>HYPERLINK("http://141.218.60.56/~jnz1568/getInfo.php?workbook=14_04.xlsx&amp;sheet=U0&amp;row=3404&amp;col=7&amp;number=0.00242&amp;sourceID=14","0.00242")</f>
        <v>0.00242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HYPERLINK("http://141.218.60.56/~jnz1568/getInfo.php?workbook=14_04.xlsx&amp;sheet=U0&amp;row=3405&amp;col=6&amp;number=3.1&amp;sourceID=14","3.1")</f>
        <v>3.1</v>
      </c>
      <c r="G3405" s="4" t="str">
        <f>HYPERLINK("http://141.218.60.56/~jnz1568/getInfo.php?workbook=14_04.xlsx&amp;sheet=U0&amp;row=3405&amp;col=7&amp;number=0.00242&amp;sourceID=14","0.00242")</f>
        <v>0.00242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HYPERLINK("http://141.218.60.56/~jnz1568/getInfo.php?workbook=14_04.xlsx&amp;sheet=U0&amp;row=3406&amp;col=6&amp;number=3.2&amp;sourceID=14","3.2")</f>
        <v>3.2</v>
      </c>
      <c r="G3406" s="4" t="str">
        <f>HYPERLINK("http://141.218.60.56/~jnz1568/getInfo.php?workbook=14_04.xlsx&amp;sheet=U0&amp;row=3406&amp;col=7&amp;number=0.00242&amp;sourceID=14","0.00242")</f>
        <v>0.00242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HYPERLINK("http://141.218.60.56/~jnz1568/getInfo.php?workbook=14_04.xlsx&amp;sheet=U0&amp;row=3407&amp;col=6&amp;number=3.3&amp;sourceID=14","3.3")</f>
        <v>3.3</v>
      </c>
      <c r="G3407" s="4" t="str">
        <f>HYPERLINK("http://141.218.60.56/~jnz1568/getInfo.php?workbook=14_04.xlsx&amp;sheet=U0&amp;row=3407&amp;col=7&amp;number=0.00242&amp;sourceID=14","0.00242")</f>
        <v>0.00242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HYPERLINK("http://141.218.60.56/~jnz1568/getInfo.php?workbook=14_04.xlsx&amp;sheet=U0&amp;row=3408&amp;col=6&amp;number=3.4&amp;sourceID=14","3.4")</f>
        <v>3.4</v>
      </c>
      <c r="G3408" s="4" t="str">
        <f>HYPERLINK("http://141.218.60.56/~jnz1568/getInfo.php?workbook=14_04.xlsx&amp;sheet=U0&amp;row=3408&amp;col=7&amp;number=0.00242&amp;sourceID=14","0.00242")</f>
        <v>0.00242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HYPERLINK("http://141.218.60.56/~jnz1568/getInfo.php?workbook=14_04.xlsx&amp;sheet=U0&amp;row=3409&amp;col=6&amp;number=3.5&amp;sourceID=14","3.5")</f>
        <v>3.5</v>
      </c>
      <c r="G3409" s="4" t="str">
        <f>HYPERLINK("http://141.218.60.56/~jnz1568/getInfo.php?workbook=14_04.xlsx&amp;sheet=U0&amp;row=3409&amp;col=7&amp;number=0.00242&amp;sourceID=14","0.00242")</f>
        <v>0.00242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HYPERLINK("http://141.218.60.56/~jnz1568/getInfo.php?workbook=14_04.xlsx&amp;sheet=U0&amp;row=3410&amp;col=6&amp;number=3.6&amp;sourceID=14","3.6")</f>
        <v>3.6</v>
      </c>
      <c r="G3410" s="4" t="str">
        <f>HYPERLINK("http://141.218.60.56/~jnz1568/getInfo.php?workbook=14_04.xlsx&amp;sheet=U0&amp;row=3410&amp;col=7&amp;number=0.00242&amp;sourceID=14","0.00242")</f>
        <v>0.00242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HYPERLINK("http://141.218.60.56/~jnz1568/getInfo.php?workbook=14_04.xlsx&amp;sheet=U0&amp;row=3411&amp;col=6&amp;number=3.7&amp;sourceID=14","3.7")</f>
        <v>3.7</v>
      </c>
      <c r="G3411" s="4" t="str">
        <f>HYPERLINK("http://141.218.60.56/~jnz1568/getInfo.php?workbook=14_04.xlsx&amp;sheet=U0&amp;row=3411&amp;col=7&amp;number=0.00242&amp;sourceID=14","0.00242")</f>
        <v>0.00242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HYPERLINK("http://141.218.60.56/~jnz1568/getInfo.php?workbook=14_04.xlsx&amp;sheet=U0&amp;row=3412&amp;col=6&amp;number=3.8&amp;sourceID=14","3.8")</f>
        <v>3.8</v>
      </c>
      <c r="G3412" s="4" t="str">
        <f>HYPERLINK("http://141.218.60.56/~jnz1568/getInfo.php?workbook=14_04.xlsx&amp;sheet=U0&amp;row=3412&amp;col=7&amp;number=0.00242&amp;sourceID=14","0.00242")</f>
        <v>0.00242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HYPERLINK("http://141.218.60.56/~jnz1568/getInfo.php?workbook=14_04.xlsx&amp;sheet=U0&amp;row=3413&amp;col=6&amp;number=3.9&amp;sourceID=14","3.9")</f>
        <v>3.9</v>
      </c>
      <c r="G3413" s="4" t="str">
        <f>HYPERLINK("http://141.218.60.56/~jnz1568/getInfo.php?workbook=14_04.xlsx&amp;sheet=U0&amp;row=3413&amp;col=7&amp;number=0.00242&amp;sourceID=14","0.00242")</f>
        <v>0.00242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HYPERLINK("http://141.218.60.56/~jnz1568/getInfo.php?workbook=14_04.xlsx&amp;sheet=U0&amp;row=3414&amp;col=6&amp;number=4&amp;sourceID=14","4")</f>
        <v>4</v>
      </c>
      <c r="G3414" s="4" t="str">
        <f>HYPERLINK("http://141.218.60.56/~jnz1568/getInfo.php?workbook=14_04.xlsx&amp;sheet=U0&amp;row=3414&amp;col=7&amp;number=0.00242&amp;sourceID=14","0.00242")</f>
        <v>0.00242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HYPERLINK("http://141.218.60.56/~jnz1568/getInfo.php?workbook=14_04.xlsx&amp;sheet=U0&amp;row=3415&amp;col=6&amp;number=4.1&amp;sourceID=14","4.1")</f>
        <v>4.1</v>
      </c>
      <c r="G3415" s="4" t="str">
        <f>HYPERLINK("http://141.218.60.56/~jnz1568/getInfo.php?workbook=14_04.xlsx&amp;sheet=U0&amp;row=3415&amp;col=7&amp;number=0.00242&amp;sourceID=14","0.00242")</f>
        <v>0.00242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HYPERLINK("http://141.218.60.56/~jnz1568/getInfo.php?workbook=14_04.xlsx&amp;sheet=U0&amp;row=3416&amp;col=6&amp;number=4.2&amp;sourceID=14","4.2")</f>
        <v>4.2</v>
      </c>
      <c r="G3416" s="4" t="str">
        <f>HYPERLINK("http://141.218.60.56/~jnz1568/getInfo.php?workbook=14_04.xlsx&amp;sheet=U0&amp;row=3416&amp;col=7&amp;number=0.00242&amp;sourceID=14","0.00242")</f>
        <v>0.00242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HYPERLINK("http://141.218.60.56/~jnz1568/getInfo.php?workbook=14_04.xlsx&amp;sheet=U0&amp;row=3417&amp;col=6&amp;number=4.3&amp;sourceID=14","4.3")</f>
        <v>4.3</v>
      </c>
      <c r="G3417" s="4" t="str">
        <f>HYPERLINK("http://141.218.60.56/~jnz1568/getInfo.php?workbook=14_04.xlsx&amp;sheet=U0&amp;row=3417&amp;col=7&amp;number=0.00241&amp;sourceID=14","0.00241")</f>
        <v>0.00241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HYPERLINK("http://141.218.60.56/~jnz1568/getInfo.php?workbook=14_04.xlsx&amp;sheet=U0&amp;row=3418&amp;col=6&amp;number=4.4&amp;sourceID=14","4.4")</f>
        <v>4.4</v>
      </c>
      <c r="G3418" s="4" t="str">
        <f>HYPERLINK("http://141.218.60.56/~jnz1568/getInfo.php?workbook=14_04.xlsx&amp;sheet=U0&amp;row=3418&amp;col=7&amp;number=0.00241&amp;sourceID=14","0.00241")</f>
        <v>0.00241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HYPERLINK("http://141.218.60.56/~jnz1568/getInfo.php?workbook=14_04.xlsx&amp;sheet=U0&amp;row=3419&amp;col=6&amp;number=4.5&amp;sourceID=14","4.5")</f>
        <v>4.5</v>
      </c>
      <c r="G3419" s="4" t="str">
        <f>HYPERLINK("http://141.218.60.56/~jnz1568/getInfo.php?workbook=14_04.xlsx&amp;sheet=U0&amp;row=3419&amp;col=7&amp;number=0.00241&amp;sourceID=14","0.00241")</f>
        <v>0.00241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HYPERLINK("http://141.218.60.56/~jnz1568/getInfo.php?workbook=14_04.xlsx&amp;sheet=U0&amp;row=3420&amp;col=6&amp;number=4.6&amp;sourceID=14","4.6")</f>
        <v>4.6</v>
      </c>
      <c r="G3420" s="4" t="str">
        <f>HYPERLINK("http://141.218.60.56/~jnz1568/getInfo.php?workbook=14_04.xlsx&amp;sheet=U0&amp;row=3420&amp;col=7&amp;number=0.0024&amp;sourceID=14","0.0024")</f>
        <v>0.0024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HYPERLINK("http://141.218.60.56/~jnz1568/getInfo.php?workbook=14_04.xlsx&amp;sheet=U0&amp;row=3421&amp;col=6&amp;number=4.7&amp;sourceID=14","4.7")</f>
        <v>4.7</v>
      </c>
      <c r="G3421" s="4" t="str">
        <f>HYPERLINK("http://141.218.60.56/~jnz1568/getInfo.php?workbook=14_04.xlsx&amp;sheet=U0&amp;row=3421&amp;col=7&amp;number=0.0024&amp;sourceID=14","0.0024")</f>
        <v>0.0024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HYPERLINK("http://141.218.60.56/~jnz1568/getInfo.php?workbook=14_04.xlsx&amp;sheet=U0&amp;row=3422&amp;col=6&amp;number=4.8&amp;sourceID=14","4.8")</f>
        <v>4.8</v>
      </c>
      <c r="G3422" s="4" t="str">
        <f>HYPERLINK("http://141.218.60.56/~jnz1568/getInfo.php?workbook=14_04.xlsx&amp;sheet=U0&amp;row=3422&amp;col=7&amp;number=0.00239&amp;sourceID=14","0.00239")</f>
        <v>0.00239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HYPERLINK("http://141.218.60.56/~jnz1568/getInfo.php?workbook=14_04.xlsx&amp;sheet=U0&amp;row=3423&amp;col=6&amp;number=4.9&amp;sourceID=14","4.9")</f>
        <v>4.9</v>
      </c>
      <c r="G3423" s="4" t="str">
        <f>HYPERLINK("http://141.218.60.56/~jnz1568/getInfo.php?workbook=14_04.xlsx&amp;sheet=U0&amp;row=3423&amp;col=7&amp;number=0.00239&amp;sourceID=14","0.00239")</f>
        <v>0.00239</v>
      </c>
    </row>
    <row r="3424" spans="1:7">
      <c r="A3424" s="3">
        <v>14</v>
      </c>
      <c r="B3424" s="3">
        <v>4</v>
      </c>
      <c r="C3424" s="3">
        <v>2</v>
      </c>
      <c r="D3424" s="3">
        <v>55</v>
      </c>
      <c r="E3424" s="3">
        <v>1</v>
      </c>
      <c r="F3424" s="4" t="str">
        <f>HYPERLINK("http://141.218.60.56/~jnz1568/getInfo.php?workbook=14_04.xlsx&amp;sheet=U0&amp;row=3424&amp;col=6&amp;number=3&amp;sourceID=14","3")</f>
        <v>3</v>
      </c>
      <c r="G3424" s="4" t="str">
        <f>HYPERLINK("http://141.218.60.56/~jnz1568/getInfo.php?workbook=14_04.xlsx&amp;sheet=U0&amp;row=3424&amp;col=7&amp;number=0.00175&amp;sourceID=14","0.00175")</f>
        <v>0.00175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HYPERLINK("http://141.218.60.56/~jnz1568/getInfo.php?workbook=14_04.xlsx&amp;sheet=U0&amp;row=3425&amp;col=6&amp;number=3.1&amp;sourceID=14","3.1")</f>
        <v>3.1</v>
      </c>
      <c r="G3425" s="4" t="str">
        <f>HYPERLINK("http://141.218.60.56/~jnz1568/getInfo.php?workbook=14_04.xlsx&amp;sheet=U0&amp;row=3425&amp;col=7&amp;number=0.00175&amp;sourceID=14","0.00175")</f>
        <v>0.00175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HYPERLINK("http://141.218.60.56/~jnz1568/getInfo.php?workbook=14_04.xlsx&amp;sheet=U0&amp;row=3426&amp;col=6&amp;number=3.2&amp;sourceID=14","3.2")</f>
        <v>3.2</v>
      </c>
      <c r="G3426" s="4" t="str">
        <f>HYPERLINK("http://141.218.60.56/~jnz1568/getInfo.php?workbook=14_04.xlsx&amp;sheet=U0&amp;row=3426&amp;col=7&amp;number=0.00175&amp;sourceID=14","0.00175")</f>
        <v>0.00175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HYPERLINK("http://141.218.60.56/~jnz1568/getInfo.php?workbook=14_04.xlsx&amp;sheet=U0&amp;row=3427&amp;col=6&amp;number=3.3&amp;sourceID=14","3.3")</f>
        <v>3.3</v>
      </c>
      <c r="G3427" s="4" t="str">
        <f>HYPERLINK("http://141.218.60.56/~jnz1568/getInfo.php?workbook=14_04.xlsx&amp;sheet=U0&amp;row=3427&amp;col=7&amp;number=0.00175&amp;sourceID=14","0.00175")</f>
        <v>0.00175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HYPERLINK("http://141.218.60.56/~jnz1568/getInfo.php?workbook=14_04.xlsx&amp;sheet=U0&amp;row=3428&amp;col=6&amp;number=3.4&amp;sourceID=14","3.4")</f>
        <v>3.4</v>
      </c>
      <c r="G3428" s="4" t="str">
        <f>HYPERLINK("http://141.218.60.56/~jnz1568/getInfo.php?workbook=14_04.xlsx&amp;sheet=U0&amp;row=3428&amp;col=7&amp;number=0.00175&amp;sourceID=14","0.00175")</f>
        <v>0.00175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HYPERLINK("http://141.218.60.56/~jnz1568/getInfo.php?workbook=14_04.xlsx&amp;sheet=U0&amp;row=3429&amp;col=6&amp;number=3.5&amp;sourceID=14","3.5")</f>
        <v>3.5</v>
      </c>
      <c r="G3429" s="4" t="str">
        <f>HYPERLINK("http://141.218.60.56/~jnz1568/getInfo.php?workbook=14_04.xlsx&amp;sheet=U0&amp;row=3429&amp;col=7&amp;number=0.00175&amp;sourceID=14","0.00175")</f>
        <v>0.00175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HYPERLINK("http://141.218.60.56/~jnz1568/getInfo.php?workbook=14_04.xlsx&amp;sheet=U0&amp;row=3430&amp;col=6&amp;number=3.6&amp;sourceID=14","3.6")</f>
        <v>3.6</v>
      </c>
      <c r="G3430" s="4" t="str">
        <f>HYPERLINK("http://141.218.60.56/~jnz1568/getInfo.php?workbook=14_04.xlsx&amp;sheet=U0&amp;row=3430&amp;col=7&amp;number=0.00175&amp;sourceID=14","0.00175")</f>
        <v>0.00175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HYPERLINK("http://141.218.60.56/~jnz1568/getInfo.php?workbook=14_04.xlsx&amp;sheet=U0&amp;row=3431&amp;col=6&amp;number=3.7&amp;sourceID=14","3.7")</f>
        <v>3.7</v>
      </c>
      <c r="G3431" s="4" t="str">
        <f>HYPERLINK("http://141.218.60.56/~jnz1568/getInfo.php?workbook=14_04.xlsx&amp;sheet=U0&amp;row=3431&amp;col=7&amp;number=0.00175&amp;sourceID=14","0.00175")</f>
        <v>0.00175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HYPERLINK("http://141.218.60.56/~jnz1568/getInfo.php?workbook=14_04.xlsx&amp;sheet=U0&amp;row=3432&amp;col=6&amp;number=3.8&amp;sourceID=14","3.8")</f>
        <v>3.8</v>
      </c>
      <c r="G3432" s="4" t="str">
        <f>HYPERLINK("http://141.218.60.56/~jnz1568/getInfo.php?workbook=14_04.xlsx&amp;sheet=U0&amp;row=3432&amp;col=7&amp;number=0.00175&amp;sourceID=14","0.00175")</f>
        <v>0.00175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HYPERLINK("http://141.218.60.56/~jnz1568/getInfo.php?workbook=14_04.xlsx&amp;sheet=U0&amp;row=3433&amp;col=6&amp;number=3.9&amp;sourceID=14","3.9")</f>
        <v>3.9</v>
      </c>
      <c r="G3433" s="4" t="str">
        <f>HYPERLINK("http://141.218.60.56/~jnz1568/getInfo.php?workbook=14_04.xlsx&amp;sheet=U0&amp;row=3433&amp;col=7&amp;number=0.00175&amp;sourceID=14","0.00175")</f>
        <v>0.00175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HYPERLINK("http://141.218.60.56/~jnz1568/getInfo.php?workbook=14_04.xlsx&amp;sheet=U0&amp;row=3434&amp;col=6&amp;number=4&amp;sourceID=14","4")</f>
        <v>4</v>
      </c>
      <c r="G3434" s="4" t="str">
        <f>HYPERLINK("http://141.218.60.56/~jnz1568/getInfo.php?workbook=14_04.xlsx&amp;sheet=U0&amp;row=3434&amp;col=7&amp;number=0.00175&amp;sourceID=14","0.00175")</f>
        <v>0.00175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HYPERLINK("http://141.218.60.56/~jnz1568/getInfo.php?workbook=14_04.xlsx&amp;sheet=U0&amp;row=3435&amp;col=6&amp;number=4.1&amp;sourceID=14","4.1")</f>
        <v>4.1</v>
      </c>
      <c r="G3435" s="4" t="str">
        <f>HYPERLINK("http://141.218.60.56/~jnz1568/getInfo.php?workbook=14_04.xlsx&amp;sheet=U0&amp;row=3435&amp;col=7&amp;number=0.00175&amp;sourceID=14","0.00175")</f>
        <v>0.00175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HYPERLINK("http://141.218.60.56/~jnz1568/getInfo.php?workbook=14_04.xlsx&amp;sheet=U0&amp;row=3436&amp;col=6&amp;number=4.2&amp;sourceID=14","4.2")</f>
        <v>4.2</v>
      </c>
      <c r="G3436" s="4" t="str">
        <f>HYPERLINK("http://141.218.60.56/~jnz1568/getInfo.php?workbook=14_04.xlsx&amp;sheet=U0&amp;row=3436&amp;col=7&amp;number=0.00175&amp;sourceID=14","0.00175")</f>
        <v>0.00175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HYPERLINK("http://141.218.60.56/~jnz1568/getInfo.php?workbook=14_04.xlsx&amp;sheet=U0&amp;row=3437&amp;col=6&amp;number=4.3&amp;sourceID=14","4.3")</f>
        <v>4.3</v>
      </c>
      <c r="G3437" s="4" t="str">
        <f>HYPERLINK("http://141.218.60.56/~jnz1568/getInfo.php?workbook=14_04.xlsx&amp;sheet=U0&amp;row=3437&amp;col=7&amp;number=0.00175&amp;sourceID=14","0.00175")</f>
        <v>0.00175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HYPERLINK("http://141.218.60.56/~jnz1568/getInfo.php?workbook=14_04.xlsx&amp;sheet=U0&amp;row=3438&amp;col=6&amp;number=4.4&amp;sourceID=14","4.4")</f>
        <v>4.4</v>
      </c>
      <c r="G3438" s="4" t="str">
        <f>HYPERLINK("http://141.218.60.56/~jnz1568/getInfo.php?workbook=14_04.xlsx&amp;sheet=U0&amp;row=3438&amp;col=7&amp;number=0.00175&amp;sourceID=14","0.00175")</f>
        <v>0.00175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HYPERLINK("http://141.218.60.56/~jnz1568/getInfo.php?workbook=14_04.xlsx&amp;sheet=U0&amp;row=3439&amp;col=6&amp;number=4.5&amp;sourceID=14","4.5")</f>
        <v>4.5</v>
      </c>
      <c r="G3439" s="4" t="str">
        <f>HYPERLINK("http://141.218.60.56/~jnz1568/getInfo.php?workbook=14_04.xlsx&amp;sheet=U0&amp;row=3439&amp;col=7&amp;number=0.00175&amp;sourceID=14","0.00175")</f>
        <v>0.00175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HYPERLINK("http://141.218.60.56/~jnz1568/getInfo.php?workbook=14_04.xlsx&amp;sheet=U0&amp;row=3440&amp;col=6&amp;number=4.6&amp;sourceID=14","4.6")</f>
        <v>4.6</v>
      </c>
      <c r="G3440" s="4" t="str">
        <f>HYPERLINK("http://141.218.60.56/~jnz1568/getInfo.php?workbook=14_04.xlsx&amp;sheet=U0&amp;row=3440&amp;col=7&amp;number=0.00174&amp;sourceID=14","0.00174")</f>
        <v>0.00174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HYPERLINK("http://141.218.60.56/~jnz1568/getInfo.php?workbook=14_04.xlsx&amp;sheet=U0&amp;row=3441&amp;col=6&amp;number=4.7&amp;sourceID=14","4.7")</f>
        <v>4.7</v>
      </c>
      <c r="G3441" s="4" t="str">
        <f>HYPERLINK("http://141.218.60.56/~jnz1568/getInfo.php?workbook=14_04.xlsx&amp;sheet=U0&amp;row=3441&amp;col=7&amp;number=0.00174&amp;sourceID=14","0.00174")</f>
        <v>0.00174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HYPERLINK("http://141.218.60.56/~jnz1568/getInfo.php?workbook=14_04.xlsx&amp;sheet=U0&amp;row=3442&amp;col=6&amp;number=4.8&amp;sourceID=14","4.8")</f>
        <v>4.8</v>
      </c>
      <c r="G3442" s="4" t="str">
        <f>HYPERLINK("http://141.218.60.56/~jnz1568/getInfo.php?workbook=14_04.xlsx&amp;sheet=U0&amp;row=3442&amp;col=7&amp;number=0.00174&amp;sourceID=14","0.00174")</f>
        <v>0.00174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HYPERLINK("http://141.218.60.56/~jnz1568/getInfo.php?workbook=14_04.xlsx&amp;sheet=U0&amp;row=3443&amp;col=6&amp;number=4.9&amp;sourceID=14","4.9")</f>
        <v>4.9</v>
      </c>
      <c r="G3443" s="4" t="str">
        <f>HYPERLINK("http://141.218.60.56/~jnz1568/getInfo.php?workbook=14_04.xlsx&amp;sheet=U0&amp;row=3443&amp;col=7&amp;number=0.00174&amp;sourceID=14","0.00174")</f>
        <v>0.00174</v>
      </c>
    </row>
    <row r="3444" spans="1:7">
      <c r="A3444" s="3">
        <v>14</v>
      </c>
      <c r="B3444" s="3">
        <v>4</v>
      </c>
      <c r="C3444" s="3">
        <v>2</v>
      </c>
      <c r="D3444" s="3">
        <v>56</v>
      </c>
      <c r="E3444" s="3">
        <v>1</v>
      </c>
      <c r="F3444" s="4" t="str">
        <f>HYPERLINK("http://141.218.60.56/~jnz1568/getInfo.php?workbook=14_04.xlsx&amp;sheet=U0&amp;row=3444&amp;col=6&amp;number=3&amp;sourceID=14","3")</f>
        <v>3</v>
      </c>
      <c r="G3444" s="4" t="str">
        <f>HYPERLINK("http://141.218.60.56/~jnz1568/getInfo.php?workbook=14_04.xlsx&amp;sheet=U0&amp;row=3444&amp;col=7&amp;number=0.00297&amp;sourceID=14","0.00297")</f>
        <v>0.00297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HYPERLINK("http://141.218.60.56/~jnz1568/getInfo.php?workbook=14_04.xlsx&amp;sheet=U0&amp;row=3445&amp;col=6&amp;number=3.1&amp;sourceID=14","3.1")</f>
        <v>3.1</v>
      </c>
      <c r="G3445" s="4" t="str">
        <f>HYPERLINK("http://141.218.60.56/~jnz1568/getInfo.php?workbook=14_04.xlsx&amp;sheet=U0&amp;row=3445&amp;col=7&amp;number=0.00297&amp;sourceID=14","0.00297")</f>
        <v>0.00297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HYPERLINK("http://141.218.60.56/~jnz1568/getInfo.php?workbook=14_04.xlsx&amp;sheet=U0&amp;row=3446&amp;col=6&amp;number=3.2&amp;sourceID=14","3.2")</f>
        <v>3.2</v>
      </c>
      <c r="G3446" s="4" t="str">
        <f>HYPERLINK("http://141.218.60.56/~jnz1568/getInfo.php?workbook=14_04.xlsx&amp;sheet=U0&amp;row=3446&amp;col=7&amp;number=0.00297&amp;sourceID=14","0.00297")</f>
        <v>0.00297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HYPERLINK("http://141.218.60.56/~jnz1568/getInfo.php?workbook=14_04.xlsx&amp;sheet=U0&amp;row=3447&amp;col=6&amp;number=3.3&amp;sourceID=14","3.3")</f>
        <v>3.3</v>
      </c>
      <c r="G3447" s="4" t="str">
        <f>HYPERLINK("http://141.218.60.56/~jnz1568/getInfo.php?workbook=14_04.xlsx&amp;sheet=U0&amp;row=3447&amp;col=7&amp;number=0.00297&amp;sourceID=14","0.00297")</f>
        <v>0.00297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HYPERLINK("http://141.218.60.56/~jnz1568/getInfo.php?workbook=14_04.xlsx&amp;sheet=U0&amp;row=3448&amp;col=6&amp;number=3.4&amp;sourceID=14","3.4")</f>
        <v>3.4</v>
      </c>
      <c r="G3448" s="4" t="str">
        <f>HYPERLINK("http://141.218.60.56/~jnz1568/getInfo.php?workbook=14_04.xlsx&amp;sheet=U0&amp;row=3448&amp;col=7&amp;number=0.00297&amp;sourceID=14","0.00297")</f>
        <v>0.00297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HYPERLINK("http://141.218.60.56/~jnz1568/getInfo.php?workbook=14_04.xlsx&amp;sheet=U0&amp;row=3449&amp;col=6&amp;number=3.5&amp;sourceID=14","3.5")</f>
        <v>3.5</v>
      </c>
      <c r="G3449" s="4" t="str">
        <f>HYPERLINK("http://141.218.60.56/~jnz1568/getInfo.php?workbook=14_04.xlsx&amp;sheet=U0&amp;row=3449&amp;col=7&amp;number=0.00297&amp;sourceID=14","0.00297")</f>
        <v>0.00297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HYPERLINK("http://141.218.60.56/~jnz1568/getInfo.php?workbook=14_04.xlsx&amp;sheet=U0&amp;row=3450&amp;col=6&amp;number=3.6&amp;sourceID=14","3.6")</f>
        <v>3.6</v>
      </c>
      <c r="G3450" s="4" t="str">
        <f>HYPERLINK("http://141.218.60.56/~jnz1568/getInfo.php?workbook=14_04.xlsx&amp;sheet=U0&amp;row=3450&amp;col=7&amp;number=0.00297&amp;sourceID=14","0.00297")</f>
        <v>0.00297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HYPERLINK("http://141.218.60.56/~jnz1568/getInfo.php?workbook=14_04.xlsx&amp;sheet=U0&amp;row=3451&amp;col=6&amp;number=3.7&amp;sourceID=14","3.7")</f>
        <v>3.7</v>
      </c>
      <c r="G3451" s="4" t="str">
        <f>HYPERLINK("http://141.218.60.56/~jnz1568/getInfo.php?workbook=14_04.xlsx&amp;sheet=U0&amp;row=3451&amp;col=7&amp;number=0.00297&amp;sourceID=14","0.00297")</f>
        <v>0.00297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HYPERLINK("http://141.218.60.56/~jnz1568/getInfo.php?workbook=14_04.xlsx&amp;sheet=U0&amp;row=3452&amp;col=6&amp;number=3.8&amp;sourceID=14","3.8")</f>
        <v>3.8</v>
      </c>
      <c r="G3452" s="4" t="str">
        <f>HYPERLINK("http://141.218.60.56/~jnz1568/getInfo.php?workbook=14_04.xlsx&amp;sheet=U0&amp;row=3452&amp;col=7&amp;number=0.00297&amp;sourceID=14","0.00297")</f>
        <v>0.00297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HYPERLINK("http://141.218.60.56/~jnz1568/getInfo.php?workbook=14_04.xlsx&amp;sheet=U0&amp;row=3453&amp;col=6&amp;number=3.9&amp;sourceID=14","3.9")</f>
        <v>3.9</v>
      </c>
      <c r="G3453" s="4" t="str">
        <f>HYPERLINK("http://141.218.60.56/~jnz1568/getInfo.php?workbook=14_04.xlsx&amp;sheet=U0&amp;row=3453&amp;col=7&amp;number=0.00296&amp;sourceID=14","0.00296")</f>
        <v>0.00296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HYPERLINK("http://141.218.60.56/~jnz1568/getInfo.php?workbook=14_04.xlsx&amp;sheet=U0&amp;row=3454&amp;col=6&amp;number=4&amp;sourceID=14","4")</f>
        <v>4</v>
      </c>
      <c r="G3454" s="4" t="str">
        <f>HYPERLINK("http://141.218.60.56/~jnz1568/getInfo.php?workbook=14_04.xlsx&amp;sheet=U0&amp;row=3454&amp;col=7&amp;number=0.00296&amp;sourceID=14","0.00296")</f>
        <v>0.00296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HYPERLINK("http://141.218.60.56/~jnz1568/getInfo.php?workbook=14_04.xlsx&amp;sheet=U0&amp;row=3455&amp;col=6&amp;number=4.1&amp;sourceID=14","4.1")</f>
        <v>4.1</v>
      </c>
      <c r="G3455" s="4" t="str">
        <f>HYPERLINK("http://141.218.60.56/~jnz1568/getInfo.php?workbook=14_04.xlsx&amp;sheet=U0&amp;row=3455&amp;col=7&amp;number=0.00296&amp;sourceID=14","0.00296")</f>
        <v>0.00296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HYPERLINK("http://141.218.60.56/~jnz1568/getInfo.php?workbook=14_04.xlsx&amp;sheet=U0&amp;row=3456&amp;col=6&amp;number=4.2&amp;sourceID=14","4.2")</f>
        <v>4.2</v>
      </c>
      <c r="G3456" s="4" t="str">
        <f>HYPERLINK("http://141.218.60.56/~jnz1568/getInfo.php?workbook=14_04.xlsx&amp;sheet=U0&amp;row=3456&amp;col=7&amp;number=0.00296&amp;sourceID=14","0.00296")</f>
        <v>0.00296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HYPERLINK("http://141.218.60.56/~jnz1568/getInfo.php?workbook=14_04.xlsx&amp;sheet=U0&amp;row=3457&amp;col=6&amp;number=4.3&amp;sourceID=14","4.3")</f>
        <v>4.3</v>
      </c>
      <c r="G3457" s="4" t="str">
        <f>HYPERLINK("http://141.218.60.56/~jnz1568/getInfo.php?workbook=14_04.xlsx&amp;sheet=U0&amp;row=3457&amp;col=7&amp;number=0.00295&amp;sourceID=14","0.00295")</f>
        <v>0.00295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HYPERLINK("http://141.218.60.56/~jnz1568/getInfo.php?workbook=14_04.xlsx&amp;sheet=U0&amp;row=3458&amp;col=6&amp;number=4.4&amp;sourceID=14","4.4")</f>
        <v>4.4</v>
      </c>
      <c r="G3458" s="4" t="str">
        <f>HYPERLINK("http://141.218.60.56/~jnz1568/getInfo.php?workbook=14_04.xlsx&amp;sheet=U0&amp;row=3458&amp;col=7&amp;number=0.00295&amp;sourceID=14","0.00295")</f>
        <v>0.00295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HYPERLINK("http://141.218.60.56/~jnz1568/getInfo.php?workbook=14_04.xlsx&amp;sheet=U0&amp;row=3459&amp;col=6&amp;number=4.5&amp;sourceID=14","4.5")</f>
        <v>4.5</v>
      </c>
      <c r="G3459" s="4" t="str">
        <f>HYPERLINK("http://141.218.60.56/~jnz1568/getInfo.php?workbook=14_04.xlsx&amp;sheet=U0&amp;row=3459&amp;col=7&amp;number=0.00294&amp;sourceID=14","0.00294")</f>
        <v>0.00294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HYPERLINK("http://141.218.60.56/~jnz1568/getInfo.php?workbook=14_04.xlsx&amp;sheet=U0&amp;row=3460&amp;col=6&amp;number=4.6&amp;sourceID=14","4.6")</f>
        <v>4.6</v>
      </c>
      <c r="G3460" s="4" t="str">
        <f>HYPERLINK("http://141.218.60.56/~jnz1568/getInfo.php?workbook=14_04.xlsx&amp;sheet=U0&amp;row=3460&amp;col=7&amp;number=0.00293&amp;sourceID=14","0.00293")</f>
        <v>0.00293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HYPERLINK("http://141.218.60.56/~jnz1568/getInfo.php?workbook=14_04.xlsx&amp;sheet=U0&amp;row=3461&amp;col=6&amp;number=4.7&amp;sourceID=14","4.7")</f>
        <v>4.7</v>
      </c>
      <c r="G3461" s="4" t="str">
        <f>HYPERLINK("http://141.218.60.56/~jnz1568/getInfo.php?workbook=14_04.xlsx&amp;sheet=U0&amp;row=3461&amp;col=7&amp;number=0.00292&amp;sourceID=14","0.00292")</f>
        <v>0.00292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HYPERLINK("http://141.218.60.56/~jnz1568/getInfo.php?workbook=14_04.xlsx&amp;sheet=U0&amp;row=3462&amp;col=6&amp;number=4.8&amp;sourceID=14","4.8")</f>
        <v>4.8</v>
      </c>
      <c r="G3462" s="4" t="str">
        <f>HYPERLINK("http://141.218.60.56/~jnz1568/getInfo.php?workbook=14_04.xlsx&amp;sheet=U0&amp;row=3462&amp;col=7&amp;number=0.0029&amp;sourceID=14","0.0029")</f>
        <v>0.0029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HYPERLINK("http://141.218.60.56/~jnz1568/getInfo.php?workbook=14_04.xlsx&amp;sheet=U0&amp;row=3463&amp;col=6&amp;number=4.9&amp;sourceID=14","4.9")</f>
        <v>4.9</v>
      </c>
      <c r="G3463" s="4" t="str">
        <f>HYPERLINK("http://141.218.60.56/~jnz1568/getInfo.php?workbook=14_04.xlsx&amp;sheet=U0&amp;row=3463&amp;col=7&amp;number=0.00289&amp;sourceID=14","0.00289")</f>
        <v>0.00289</v>
      </c>
    </row>
    <row r="3464" spans="1:7">
      <c r="A3464" s="3">
        <v>14</v>
      </c>
      <c r="B3464" s="3">
        <v>4</v>
      </c>
      <c r="C3464" s="3">
        <v>2</v>
      </c>
      <c r="D3464" s="3">
        <v>57</v>
      </c>
      <c r="E3464" s="3">
        <v>1</v>
      </c>
      <c r="F3464" s="4" t="str">
        <f>HYPERLINK("http://141.218.60.56/~jnz1568/getInfo.php?workbook=14_04.xlsx&amp;sheet=U0&amp;row=3464&amp;col=6&amp;number=3&amp;sourceID=14","3")</f>
        <v>3</v>
      </c>
      <c r="G3464" s="4" t="str">
        <f>HYPERLINK("http://141.218.60.56/~jnz1568/getInfo.php?workbook=14_04.xlsx&amp;sheet=U0&amp;row=3464&amp;col=7&amp;number=0.00372&amp;sourceID=14","0.00372")</f>
        <v>0.00372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HYPERLINK("http://141.218.60.56/~jnz1568/getInfo.php?workbook=14_04.xlsx&amp;sheet=U0&amp;row=3465&amp;col=6&amp;number=3.1&amp;sourceID=14","3.1")</f>
        <v>3.1</v>
      </c>
      <c r="G3465" s="4" t="str">
        <f>HYPERLINK("http://141.218.60.56/~jnz1568/getInfo.php?workbook=14_04.xlsx&amp;sheet=U0&amp;row=3465&amp;col=7&amp;number=0.00372&amp;sourceID=14","0.00372")</f>
        <v>0.00372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HYPERLINK("http://141.218.60.56/~jnz1568/getInfo.php?workbook=14_04.xlsx&amp;sheet=U0&amp;row=3466&amp;col=6&amp;number=3.2&amp;sourceID=14","3.2")</f>
        <v>3.2</v>
      </c>
      <c r="G3466" s="4" t="str">
        <f>HYPERLINK("http://141.218.60.56/~jnz1568/getInfo.php?workbook=14_04.xlsx&amp;sheet=U0&amp;row=3466&amp;col=7&amp;number=0.00372&amp;sourceID=14","0.00372")</f>
        <v>0.00372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HYPERLINK("http://141.218.60.56/~jnz1568/getInfo.php?workbook=14_04.xlsx&amp;sheet=U0&amp;row=3467&amp;col=6&amp;number=3.3&amp;sourceID=14","3.3")</f>
        <v>3.3</v>
      </c>
      <c r="G3467" s="4" t="str">
        <f>HYPERLINK("http://141.218.60.56/~jnz1568/getInfo.php?workbook=14_04.xlsx&amp;sheet=U0&amp;row=3467&amp;col=7&amp;number=0.00372&amp;sourceID=14","0.00372")</f>
        <v>0.00372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HYPERLINK("http://141.218.60.56/~jnz1568/getInfo.php?workbook=14_04.xlsx&amp;sheet=U0&amp;row=3468&amp;col=6&amp;number=3.4&amp;sourceID=14","3.4")</f>
        <v>3.4</v>
      </c>
      <c r="G3468" s="4" t="str">
        <f>HYPERLINK("http://141.218.60.56/~jnz1568/getInfo.php?workbook=14_04.xlsx&amp;sheet=U0&amp;row=3468&amp;col=7&amp;number=0.00372&amp;sourceID=14","0.00372")</f>
        <v>0.00372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HYPERLINK("http://141.218.60.56/~jnz1568/getInfo.php?workbook=14_04.xlsx&amp;sheet=U0&amp;row=3469&amp;col=6&amp;number=3.5&amp;sourceID=14","3.5")</f>
        <v>3.5</v>
      </c>
      <c r="G3469" s="4" t="str">
        <f>HYPERLINK("http://141.218.60.56/~jnz1568/getInfo.php?workbook=14_04.xlsx&amp;sheet=U0&amp;row=3469&amp;col=7&amp;number=0.00372&amp;sourceID=14","0.00372")</f>
        <v>0.00372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HYPERLINK("http://141.218.60.56/~jnz1568/getInfo.php?workbook=14_04.xlsx&amp;sheet=U0&amp;row=3470&amp;col=6&amp;number=3.6&amp;sourceID=14","3.6")</f>
        <v>3.6</v>
      </c>
      <c r="G3470" s="4" t="str">
        <f>HYPERLINK("http://141.218.60.56/~jnz1568/getInfo.php?workbook=14_04.xlsx&amp;sheet=U0&amp;row=3470&amp;col=7&amp;number=0.00372&amp;sourceID=14","0.00372")</f>
        <v>0.00372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HYPERLINK("http://141.218.60.56/~jnz1568/getInfo.php?workbook=14_04.xlsx&amp;sheet=U0&amp;row=3471&amp;col=6&amp;number=3.7&amp;sourceID=14","3.7")</f>
        <v>3.7</v>
      </c>
      <c r="G3471" s="4" t="str">
        <f>HYPERLINK("http://141.218.60.56/~jnz1568/getInfo.php?workbook=14_04.xlsx&amp;sheet=U0&amp;row=3471&amp;col=7&amp;number=0.00372&amp;sourceID=14","0.00372")</f>
        <v>0.00372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HYPERLINK("http://141.218.60.56/~jnz1568/getInfo.php?workbook=14_04.xlsx&amp;sheet=U0&amp;row=3472&amp;col=6&amp;number=3.8&amp;sourceID=14","3.8")</f>
        <v>3.8</v>
      </c>
      <c r="G3472" s="4" t="str">
        <f>HYPERLINK("http://141.218.60.56/~jnz1568/getInfo.php?workbook=14_04.xlsx&amp;sheet=U0&amp;row=3472&amp;col=7&amp;number=0.00372&amp;sourceID=14","0.00372")</f>
        <v>0.00372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HYPERLINK("http://141.218.60.56/~jnz1568/getInfo.php?workbook=14_04.xlsx&amp;sheet=U0&amp;row=3473&amp;col=6&amp;number=3.9&amp;sourceID=14","3.9")</f>
        <v>3.9</v>
      </c>
      <c r="G3473" s="4" t="str">
        <f>HYPERLINK("http://141.218.60.56/~jnz1568/getInfo.php?workbook=14_04.xlsx&amp;sheet=U0&amp;row=3473&amp;col=7&amp;number=0.00372&amp;sourceID=14","0.00372")</f>
        <v>0.00372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HYPERLINK("http://141.218.60.56/~jnz1568/getInfo.php?workbook=14_04.xlsx&amp;sheet=U0&amp;row=3474&amp;col=6&amp;number=4&amp;sourceID=14","4")</f>
        <v>4</v>
      </c>
      <c r="G3474" s="4" t="str">
        <f>HYPERLINK("http://141.218.60.56/~jnz1568/getInfo.php?workbook=14_04.xlsx&amp;sheet=U0&amp;row=3474&amp;col=7&amp;number=0.00372&amp;sourceID=14","0.00372")</f>
        <v>0.00372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HYPERLINK("http://141.218.60.56/~jnz1568/getInfo.php?workbook=14_04.xlsx&amp;sheet=U0&amp;row=3475&amp;col=6&amp;number=4.1&amp;sourceID=14","4.1")</f>
        <v>4.1</v>
      </c>
      <c r="G3475" s="4" t="str">
        <f>HYPERLINK("http://141.218.60.56/~jnz1568/getInfo.php?workbook=14_04.xlsx&amp;sheet=U0&amp;row=3475&amp;col=7&amp;number=0.00372&amp;sourceID=14","0.00372")</f>
        <v>0.00372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HYPERLINK("http://141.218.60.56/~jnz1568/getInfo.php?workbook=14_04.xlsx&amp;sheet=U0&amp;row=3476&amp;col=6&amp;number=4.2&amp;sourceID=14","4.2")</f>
        <v>4.2</v>
      </c>
      <c r="G3476" s="4" t="str">
        <f>HYPERLINK("http://141.218.60.56/~jnz1568/getInfo.php?workbook=14_04.xlsx&amp;sheet=U0&amp;row=3476&amp;col=7&amp;number=0.00372&amp;sourceID=14","0.00372")</f>
        <v>0.00372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HYPERLINK("http://141.218.60.56/~jnz1568/getInfo.php?workbook=14_04.xlsx&amp;sheet=U0&amp;row=3477&amp;col=6&amp;number=4.3&amp;sourceID=14","4.3")</f>
        <v>4.3</v>
      </c>
      <c r="G3477" s="4" t="str">
        <f>HYPERLINK("http://141.218.60.56/~jnz1568/getInfo.php?workbook=14_04.xlsx&amp;sheet=U0&amp;row=3477&amp;col=7&amp;number=0.00372&amp;sourceID=14","0.00372")</f>
        <v>0.00372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HYPERLINK("http://141.218.60.56/~jnz1568/getInfo.php?workbook=14_04.xlsx&amp;sheet=U0&amp;row=3478&amp;col=6&amp;number=4.4&amp;sourceID=14","4.4")</f>
        <v>4.4</v>
      </c>
      <c r="G3478" s="4" t="str">
        <f>HYPERLINK("http://141.218.60.56/~jnz1568/getInfo.php?workbook=14_04.xlsx&amp;sheet=U0&amp;row=3478&amp;col=7&amp;number=0.00373&amp;sourceID=14","0.00373")</f>
        <v>0.00373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HYPERLINK("http://141.218.60.56/~jnz1568/getInfo.php?workbook=14_04.xlsx&amp;sheet=U0&amp;row=3479&amp;col=6&amp;number=4.5&amp;sourceID=14","4.5")</f>
        <v>4.5</v>
      </c>
      <c r="G3479" s="4" t="str">
        <f>HYPERLINK("http://141.218.60.56/~jnz1568/getInfo.php?workbook=14_04.xlsx&amp;sheet=U0&amp;row=3479&amp;col=7&amp;number=0.00373&amp;sourceID=14","0.00373")</f>
        <v>0.00373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HYPERLINK("http://141.218.60.56/~jnz1568/getInfo.php?workbook=14_04.xlsx&amp;sheet=U0&amp;row=3480&amp;col=6&amp;number=4.6&amp;sourceID=14","4.6")</f>
        <v>4.6</v>
      </c>
      <c r="G3480" s="4" t="str">
        <f>HYPERLINK("http://141.218.60.56/~jnz1568/getInfo.php?workbook=14_04.xlsx&amp;sheet=U0&amp;row=3480&amp;col=7&amp;number=0.00373&amp;sourceID=14","0.00373")</f>
        <v>0.00373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HYPERLINK("http://141.218.60.56/~jnz1568/getInfo.php?workbook=14_04.xlsx&amp;sheet=U0&amp;row=3481&amp;col=6&amp;number=4.7&amp;sourceID=14","4.7")</f>
        <v>4.7</v>
      </c>
      <c r="G3481" s="4" t="str">
        <f>HYPERLINK("http://141.218.60.56/~jnz1568/getInfo.php?workbook=14_04.xlsx&amp;sheet=U0&amp;row=3481&amp;col=7&amp;number=0.00374&amp;sourceID=14","0.00374")</f>
        <v>0.00374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HYPERLINK("http://141.218.60.56/~jnz1568/getInfo.php?workbook=14_04.xlsx&amp;sheet=U0&amp;row=3482&amp;col=6&amp;number=4.8&amp;sourceID=14","4.8")</f>
        <v>4.8</v>
      </c>
      <c r="G3482" s="4" t="str">
        <f>HYPERLINK("http://141.218.60.56/~jnz1568/getInfo.php?workbook=14_04.xlsx&amp;sheet=U0&amp;row=3482&amp;col=7&amp;number=0.00374&amp;sourceID=14","0.00374")</f>
        <v>0.00374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HYPERLINK("http://141.218.60.56/~jnz1568/getInfo.php?workbook=14_04.xlsx&amp;sheet=U0&amp;row=3483&amp;col=6&amp;number=4.9&amp;sourceID=14","4.9")</f>
        <v>4.9</v>
      </c>
      <c r="G3483" s="4" t="str">
        <f>HYPERLINK("http://141.218.60.56/~jnz1568/getInfo.php?workbook=14_04.xlsx&amp;sheet=U0&amp;row=3483&amp;col=7&amp;number=0.00375&amp;sourceID=14","0.00375")</f>
        <v>0.00375</v>
      </c>
    </row>
    <row r="3484" spans="1:7">
      <c r="A3484" s="3">
        <v>14</v>
      </c>
      <c r="B3484" s="3">
        <v>4</v>
      </c>
      <c r="C3484" s="3">
        <v>2</v>
      </c>
      <c r="D3484" s="3">
        <v>58</v>
      </c>
      <c r="E3484" s="3">
        <v>1</v>
      </c>
      <c r="F3484" s="4" t="str">
        <f>HYPERLINK("http://141.218.60.56/~jnz1568/getInfo.php?workbook=14_04.xlsx&amp;sheet=U0&amp;row=3484&amp;col=6&amp;number=3&amp;sourceID=14","3")</f>
        <v>3</v>
      </c>
      <c r="G3484" s="4" t="str">
        <f>HYPERLINK("http://141.218.60.56/~jnz1568/getInfo.php?workbook=14_04.xlsx&amp;sheet=U0&amp;row=3484&amp;col=7&amp;number=0.000484&amp;sourceID=14","0.000484")</f>
        <v>0.000484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HYPERLINK("http://141.218.60.56/~jnz1568/getInfo.php?workbook=14_04.xlsx&amp;sheet=U0&amp;row=3485&amp;col=6&amp;number=3.1&amp;sourceID=14","3.1")</f>
        <v>3.1</v>
      </c>
      <c r="G3485" s="4" t="str">
        <f>HYPERLINK("http://141.218.60.56/~jnz1568/getInfo.php?workbook=14_04.xlsx&amp;sheet=U0&amp;row=3485&amp;col=7&amp;number=0.000484&amp;sourceID=14","0.000484")</f>
        <v>0.000484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HYPERLINK("http://141.218.60.56/~jnz1568/getInfo.php?workbook=14_04.xlsx&amp;sheet=U0&amp;row=3486&amp;col=6&amp;number=3.2&amp;sourceID=14","3.2")</f>
        <v>3.2</v>
      </c>
      <c r="G3486" s="4" t="str">
        <f>HYPERLINK("http://141.218.60.56/~jnz1568/getInfo.php?workbook=14_04.xlsx&amp;sheet=U0&amp;row=3486&amp;col=7&amp;number=0.000484&amp;sourceID=14","0.000484")</f>
        <v>0.000484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HYPERLINK("http://141.218.60.56/~jnz1568/getInfo.php?workbook=14_04.xlsx&amp;sheet=U0&amp;row=3487&amp;col=6&amp;number=3.3&amp;sourceID=14","3.3")</f>
        <v>3.3</v>
      </c>
      <c r="G3487" s="4" t="str">
        <f>HYPERLINK("http://141.218.60.56/~jnz1568/getInfo.php?workbook=14_04.xlsx&amp;sheet=U0&amp;row=3487&amp;col=7&amp;number=0.000484&amp;sourceID=14","0.000484")</f>
        <v>0.000484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HYPERLINK("http://141.218.60.56/~jnz1568/getInfo.php?workbook=14_04.xlsx&amp;sheet=U0&amp;row=3488&amp;col=6&amp;number=3.4&amp;sourceID=14","3.4")</f>
        <v>3.4</v>
      </c>
      <c r="G3488" s="4" t="str">
        <f>HYPERLINK("http://141.218.60.56/~jnz1568/getInfo.php?workbook=14_04.xlsx&amp;sheet=U0&amp;row=3488&amp;col=7&amp;number=0.000484&amp;sourceID=14","0.000484")</f>
        <v>0.000484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HYPERLINK("http://141.218.60.56/~jnz1568/getInfo.php?workbook=14_04.xlsx&amp;sheet=U0&amp;row=3489&amp;col=6&amp;number=3.5&amp;sourceID=14","3.5")</f>
        <v>3.5</v>
      </c>
      <c r="G3489" s="4" t="str">
        <f>HYPERLINK("http://141.218.60.56/~jnz1568/getInfo.php?workbook=14_04.xlsx&amp;sheet=U0&amp;row=3489&amp;col=7&amp;number=0.000484&amp;sourceID=14","0.000484")</f>
        <v>0.000484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HYPERLINK("http://141.218.60.56/~jnz1568/getInfo.php?workbook=14_04.xlsx&amp;sheet=U0&amp;row=3490&amp;col=6&amp;number=3.6&amp;sourceID=14","3.6")</f>
        <v>3.6</v>
      </c>
      <c r="G3490" s="4" t="str">
        <f>HYPERLINK("http://141.218.60.56/~jnz1568/getInfo.php?workbook=14_04.xlsx&amp;sheet=U0&amp;row=3490&amp;col=7&amp;number=0.000484&amp;sourceID=14","0.000484")</f>
        <v>0.000484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HYPERLINK("http://141.218.60.56/~jnz1568/getInfo.php?workbook=14_04.xlsx&amp;sheet=U0&amp;row=3491&amp;col=6&amp;number=3.7&amp;sourceID=14","3.7")</f>
        <v>3.7</v>
      </c>
      <c r="G3491" s="4" t="str">
        <f>HYPERLINK("http://141.218.60.56/~jnz1568/getInfo.php?workbook=14_04.xlsx&amp;sheet=U0&amp;row=3491&amp;col=7&amp;number=0.000484&amp;sourceID=14","0.000484")</f>
        <v>0.000484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HYPERLINK("http://141.218.60.56/~jnz1568/getInfo.php?workbook=14_04.xlsx&amp;sheet=U0&amp;row=3492&amp;col=6&amp;number=3.8&amp;sourceID=14","3.8")</f>
        <v>3.8</v>
      </c>
      <c r="G3492" s="4" t="str">
        <f>HYPERLINK("http://141.218.60.56/~jnz1568/getInfo.php?workbook=14_04.xlsx&amp;sheet=U0&amp;row=3492&amp;col=7&amp;number=0.000483&amp;sourceID=14","0.000483")</f>
        <v>0.000483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HYPERLINK("http://141.218.60.56/~jnz1568/getInfo.php?workbook=14_04.xlsx&amp;sheet=U0&amp;row=3493&amp;col=6&amp;number=3.9&amp;sourceID=14","3.9")</f>
        <v>3.9</v>
      </c>
      <c r="G3493" s="4" t="str">
        <f>HYPERLINK("http://141.218.60.56/~jnz1568/getInfo.php?workbook=14_04.xlsx&amp;sheet=U0&amp;row=3493&amp;col=7&amp;number=0.000483&amp;sourceID=14","0.000483")</f>
        <v>0.000483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HYPERLINK("http://141.218.60.56/~jnz1568/getInfo.php?workbook=14_04.xlsx&amp;sheet=U0&amp;row=3494&amp;col=6&amp;number=4&amp;sourceID=14","4")</f>
        <v>4</v>
      </c>
      <c r="G3494" s="4" t="str">
        <f>HYPERLINK("http://141.218.60.56/~jnz1568/getInfo.php?workbook=14_04.xlsx&amp;sheet=U0&amp;row=3494&amp;col=7&amp;number=0.000483&amp;sourceID=14","0.000483")</f>
        <v>0.000483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HYPERLINK("http://141.218.60.56/~jnz1568/getInfo.php?workbook=14_04.xlsx&amp;sheet=U0&amp;row=3495&amp;col=6&amp;number=4.1&amp;sourceID=14","4.1")</f>
        <v>4.1</v>
      </c>
      <c r="G3495" s="4" t="str">
        <f>HYPERLINK("http://141.218.60.56/~jnz1568/getInfo.php?workbook=14_04.xlsx&amp;sheet=U0&amp;row=3495&amp;col=7&amp;number=0.000483&amp;sourceID=14","0.000483")</f>
        <v>0.000483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HYPERLINK("http://141.218.60.56/~jnz1568/getInfo.php?workbook=14_04.xlsx&amp;sheet=U0&amp;row=3496&amp;col=6&amp;number=4.2&amp;sourceID=14","4.2")</f>
        <v>4.2</v>
      </c>
      <c r="G3496" s="4" t="str">
        <f>HYPERLINK("http://141.218.60.56/~jnz1568/getInfo.php?workbook=14_04.xlsx&amp;sheet=U0&amp;row=3496&amp;col=7&amp;number=0.000483&amp;sourceID=14","0.000483")</f>
        <v>0.000483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HYPERLINK("http://141.218.60.56/~jnz1568/getInfo.php?workbook=14_04.xlsx&amp;sheet=U0&amp;row=3497&amp;col=6&amp;number=4.3&amp;sourceID=14","4.3")</f>
        <v>4.3</v>
      </c>
      <c r="G3497" s="4" t="str">
        <f>HYPERLINK("http://141.218.60.56/~jnz1568/getInfo.php?workbook=14_04.xlsx&amp;sheet=U0&amp;row=3497&amp;col=7&amp;number=0.000482&amp;sourceID=14","0.000482")</f>
        <v>0.000482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HYPERLINK("http://141.218.60.56/~jnz1568/getInfo.php?workbook=14_04.xlsx&amp;sheet=U0&amp;row=3498&amp;col=6&amp;number=4.4&amp;sourceID=14","4.4")</f>
        <v>4.4</v>
      </c>
      <c r="G3498" s="4" t="str">
        <f>HYPERLINK("http://141.218.60.56/~jnz1568/getInfo.php?workbook=14_04.xlsx&amp;sheet=U0&amp;row=3498&amp;col=7&amp;number=0.000482&amp;sourceID=14","0.000482")</f>
        <v>0.000482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HYPERLINK("http://141.218.60.56/~jnz1568/getInfo.php?workbook=14_04.xlsx&amp;sheet=U0&amp;row=3499&amp;col=6&amp;number=4.5&amp;sourceID=14","4.5")</f>
        <v>4.5</v>
      </c>
      <c r="G3499" s="4" t="str">
        <f>HYPERLINK("http://141.218.60.56/~jnz1568/getInfo.php?workbook=14_04.xlsx&amp;sheet=U0&amp;row=3499&amp;col=7&amp;number=0.000481&amp;sourceID=14","0.000481")</f>
        <v>0.000481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HYPERLINK("http://141.218.60.56/~jnz1568/getInfo.php?workbook=14_04.xlsx&amp;sheet=U0&amp;row=3500&amp;col=6&amp;number=4.6&amp;sourceID=14","4.6")</f>
        <v>4.6</v>
      </c>
      <c r="G3500" s="4" t="str">
        <f>HYPERLINK("http://141.218.60.56/~jnz1568/getInfo.php?workbook=14_04.xlsx&amp;sheet=U0&amp;row=3500&amp;col=7&amp;number=0.000481&amp;sourceID=14","0.000481")</f>
        <v>0.000481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HYPERLINK("http://141.218.60.56/~jnz1568/getInfo.php?workbook=14_04.xlsx&amp;sheet=U0&amp;row=3501&amp;col=6&amp;number=4.7&amp;sourceID=14","4.7")</f>
        <v>4.7</v>
      </c>
      <c r="G3501" s="4" t="str">
        <f>HYPERLINK("http://141.218.60.56/~jnz1568/getInfo.php?workbook=14_04.xlsx&amp;sheet=U0&amp;row=3501&amp;col=7&amp;number=0.00048&amp;sourceID=14","0.00048")</f>
        <v>0.00048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HYPERLINK("http://141.218.60.56/~jnz1568/getInfo.php?workbook=14_04.xlsx&amp;sheet=U0&amp;row=3502&amp;col=6&amp;number=4.8&amp;sourceID=14","4.8")</f>
        <v>4.8</v>
      </c>
      <c r="G3502" s="4" t="str">
        <f>HYPERLINK("http://141.218.60.56/~jnz1568/getInfo.php?workbook=14_04.xlsx&amp;sheet=U0&amp;row=3502&amp;col=7&amp;number=0.000479&amp;sourceID=14","0.000479")</f>
        <v>0.000479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HYPERLINK("http://141.218.60.56/~jnz1568/getInfo.php?workbook=14_04.xlsx&amp;sheet=U0&amp;row=3503&amp;col=6&amp;number=4.9&amp;sourceID=14","4.9")</f>
        <v>4.9</v>
      </c>
      <c r="G3503" s="4" t="str">
        <f>HYPERLINK("http://141.218.60.56/~jnz1568/getInfo.php?workbook=14_04.xlsx&amp;sheet=U0&amp;row=3503&amp;col=7&amp;number=0.000478&amp;sourceID=14","0.000478")</f>
        <v>0.000478</v>
      </c>
    </row>
    <row r="3504" spans="1:7">
      <c r="A3504" s="3">
        <v>14</v>
      </c>
      <c r="B3504" s="3">
        <v>4</v>
      </c>
      <c r="C3504" s="3">
        <v>2</v>
      </c>
      <c r="D3504" s="3">
        <v>59</v>
      </c>
      <c r="E3504" s="3">
        <v>1</v>
      </c>
      <c r="F3504" s="4" t="str">
        <f>HYPERLINK("http://141.218.60.56/~jnz1568/getInfo.php?workbook=14_04.xlsx&amp;sheet=U0&amp;row=3504&amp;col=6&amp;number=3&amp;sourceID=14","3")</f>
        <v>3</v>
      </c>
      <c r="G3504" s="4" t="str">
        <f>HYPERLINK("http://141.218.60.56/~jnz1568/getInfo.php?workbook=14_04.xlsx&amp;sheet=U0&amp;row=3504&amp;col=7&amp;number=1.87e-05&amp;sourceID=14","1.87e-05")</f>
        <v>1.87e-05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HYPERLINK("http://141.218.60.56/~jnz1568/getInfo.php?workbook=14_04.xlsx&amp;sheet=U0&amp;row=3505&amp;col=6&amp;number=3.1&amp;sourceID=14","3.1")</f>
        <v>3.1</v>
      </c>
      <c r="G3505" s="4" t="str">
        <f>HYPERLINK("http://141.218.60.56/~jnz1568/getInfo.php?workbook=14_04.xlsx&amp;sheet=U0&amp;row=3505&amp;col=7&amp;number=1.87e-05&amp;sourceID=14","1.87e-05")</f>
        <v>1.87e-05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HYPERLINK("http://141.218.60.56/~jnz1568/getInfo.php?workbook=14_04.xlsx&amp;sheet=U0&amp;row=3506&amp;col=6&amp;number=3.2&amp;sourceID=14","3.2")</f>
        <v>3.2</v>
      </c>
      <c r="G3506" s="4" t="str">
        <f>HYPERLINK("http://141.218.60.56/~jnz1568/getInfo.php?workbook=14_04.xlsx&amp;sheet=U0&amp;row=3506&amp;col=7&amp;number=1.87e-05&amp;sourceID=14","1.87e-05")</f>
        <v>1.87e-05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HYPERLINK("http://141.218.60.56/~jnz1568/getInfo.php?workbook=14_04.xlsx&amp;sheet=U0&amp;row=3507&amp;col=6&amp;number=3.3&amp;sourceID=14","3.3")</f>
        <v>3.3</v>
      </c>
      <c r="G3507" s="4" t="str">
        <f>HYPERLINK("http://141.218.60.56/~jnz1568/getInfo.php?workbook=14_04.xlsx&amp;sheet=U0&amp;row=3507&amp;col=7&amp;number=1.87e-05&amp;sourceID=14","1.87e-05")</f>
        <v>1.87e-05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HYPERLINK("http://141.218.60.56/~jnz1568/getInfo.php?workbook=14_04.xlsx&amp;sheet=U0&amp;row=3508&amp;col=6&amp;number=3.4&amp;sourceID=14","3.4")</f>
        <v>3.4</v>
      </c>
      <c r="G3508" s="4" t="str">
        <f>HYPERLINK("http://141.218.60.56/~jnz1568/getInfo.php?workbook=14_04.xlsx&amp;sheet=U0&amp;row=3508&amp;col=7&amp;number=1.87e-05&amp;sourceID=14","1.87e-05")</f>
        <v>1.87e-05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HYPERLINK("http://141.218.60.56/~jnz1568/getInfo.php?workbook=14_04.xlsx&amp;sheet=U0&amp;row=3509&amp;col=6&amp;number=3.5&amp;sourceID=14","3.5")</f>
        <v>3.5</v>
      </c>
      <c r="G3509" s="4" t="str">
        <f>HYPERLINK("http://141.218.60.56/~jnz1568/getInfo.php?workbook=14_04.xlsx&amp;sheet=U0&amp;row=3509&amp;col=7&amp;number=1.87e-05&amp;sourceID=14","1.87e-05")</f>
        <v>1.87e-05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HYPERLINK("http://141.218.60.56/~jnz1568/getInfo.php?workbook=14_04.xlsx&amp;sheet=U0&amp;row=3510&amp;col=6&amp;number=3.6&amp;sourceID=14","3.6")</f>
        <v>3.6</v>
      </c>
      <c r="G3510" s="4" t="str">
        <f>HYPERLINK("http://141.218.60.56/~jnz1568/getInfo.php?workbook=14_04.xlsx&amp;sheet=U0&amp;row=3510&amp;col=7&amp;number=1.87e-05&amp;sourceID=14","1.87e-05")</f>
        <v>1.87e-05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HYPERLINK("http://141.218.60.56/~jnz1568/getInfo.php?workbook=14_04.xlsx&amp;sheet=U0&amp;row=3511&amp;col=6&amp;number=3.7&amp;sourceID=14","3.7")</f>
        <v>3.7</v>
      </c>
      <c r="G3511" s="4" t="str">
        <f>HYPERLINK("http://141.218.60.56/~jnz1568/getInfo.php?workbook=14_04.xlsx&amp;sheet=U0&amp;row=3511&amp;col=7&amp;number=1.87e-05&amp;sourceID=14","1.87e-05")</f>
        <v>1.87e-05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HYPERLINK("http://141.218.60.56/~jnz1568/getInfo.php?workbook=14_04.xlsx&amp;sheet=U0&amp;row=3512&amp;col=6&amp;number=3.8&amp;sourceID=14","3.8")</f>
        <v>3.8</v>
      </c>
      <c r="G3512" s="4" t="str">
        <f>HYPERLINK("http://141.218.60.56/~jnz1568/getInfo.php?workbook=14_04.xlsx&amp;sheet=U0&amp;row=3512&amp;col=7&amp;number=1.87e-05&amp;sourceID=14","1.87e-05")</f>
        <v>1.87e-05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HYPERLINK("http://141.218.60.56/~jnz1568/getInfo.php?workbook=14_04.xlsx&amp;sheet=U0&amp;row=3513&amp;col=6&amp;number=3.9&amp;sourceID=14","3.9")</f>
        <v>3.9</v>
      </c>
      <c r="G3513" s="4" t="str">
        <f>HYPERLINK("http://141.218.60.56/~jnz1568/getInfo.php?workbook=14_04.xlsx&amp;sheet=U0&amp;row=3513&amp;col=7&amp;number=1.87e-05&amp;sourceID=14","1.87e-05")</f>
        <v>1.87e-05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HYPERLINK("http://141.218.60.56/~jnz1568/getInfo.php?workbook=14_04.xlsx&amp;sheet=U0&amp;row=3514&amp;col=6&amp;number=4&amp;sourceID=14","4")</f>
        <v>4</v>
      </c>
      <c r="G3514" s="4" t="str">
        <f>HYPERLINK("http://141.218.60.56/~jnz1568/getInfo.php?workbook=14_04.xlsx&amp;sheet=U0&amp;row=3514&amp;col=7&amp;number=1.87e-05&amp;sourceID=14","1.87e-05")</f>
        <v>1.87e-05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HYPERLINK("http://141.218.60.56/~jnz1568/getInfo.php?workbook=14_04.xlsx&amp;sheet=U0&amp;row=3515&amp;col=6&amp;number=4.1&amp;sourceID=14","4.1")</f>
        <v>4.1</v>
      </c>
      <c r="G3515" s="4" t="str">
        <f>HYPERLINK("http://141.218.60.56/~jnz1568/getInfo.php?workbook=14_04.xlsx&amp;sheet=U0&amp;row=3515&amp;col=7&amp;number=1.87e-05&amp;sourceID=14","1.87e-05")</f>
        <v>1.87e-05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HYPERLINK("http://141.218.60.56/~jnz1568/getInfo.php?workbook=14_04.xlsx&amp;sheet=U0&amp;row=3516&amp;col=6&amp;number=4.2&amp;sourceID=14","4.2")</f>
        <v>4.2</v>
      </c>
      <c r="G3516" s="4" t="str">
        <f>HYPERLINK("http://141.218.60.56/~jnz1568/getInfo.php?workbook=14_04.xlsx&amp;sheet=U0&amp;row=3516&amp;col=7&amp;number=1.87e-05&amp;sourceID=14","1.87e-05")</f>
        <v>1.87e-05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HYPERLINK("http://141.218.60.56/~jnz1568/getInfo.php?workbook=14_04.xlsx&amp;sheet=U0&amp;row=3517&amp;col=6&amp;number=4.3&amp;sourceID=14","4.3")</f>
        <v>4.3</v>
      </c>
      <c r="G3517" s="4" t="str">
        <f>HYPERLINK("http://141.218.60.56/~jnz1568/getInfo.php?workbook=14_04.xlsx&amp;sheet=U0&amp;row=3517&amp;col=7&amp;number=1.87e-05&amp;sourceID=14","1.87e-05")</f>
        <v>1.87e-05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HYPERLINK("http://141.218.60.56/~jnz1568/getInfo.php?workbook=14_04.xlsx&amp;sheet=U0&amp;row=3518&amp;col=6&amp;number=4.4&amp;sourceID=14","4.4")</f>
        <v>4.4</v>
      </c>
      <c r="G3518" s="4" t="str">
        <f>HYPERLINK("http://141.218.60.56/~jnz1568/getInfo.php?workbook=14_04.xlsx&amp;sheet=U0&amp;row=3518&amp;col=7&amp;number=1.87e-05&amp;sourceID=14","1.87e-05")</f>
        <v>1.87e-05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HYPERLINK("http://141.218.60.56/~jnz1568/getInfo.php?workbook=14_04.xlsx&amp;sheet=U0&amp;row=3519&amp;col=6&amp;number=4.5&amp;sourceID=14","4.5")</f>
        <v>4.5</v>
      </c>
      <c r="G3519" s="4" t="str">
        <f>HYPERLINK("http://141.218.60.56/~jnz1568/getInfo.php?workbook=14_04.xlsx&amp;sheet=U0&amp;row=3519&amp;col=7&amp;number=1.87e-05&amp;sourceID=14","1.87e-05")</f>
        <v>1.87e-05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HYPERLINK("http://141.218.60.56/~jnz1568/getInfo.php?workbook=14_04.xlsx&amp;sheet=U0&amp;row=3520&amp;col=6&amp;number=4.6&amp;sourceID=14","4.6")</f>
        <v>4.6</v>
      </c>
      <c r="G3520" s="4" t="str">
        <f>HYPERLINK("http://141.218.60.56/~jnz1568/getInfo.php?workbook=14_04.xlsx&amp;sheet=U0&amp;row=3520&amp;col=7&amp;number=1.87e-05&amp;sourceID=14","1.87e-05")</f>
        <v>1.87e-05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HYPERLINK("http://141.218.60.56/~jnz1568/getInfo.php?workbook=14_04.xlsx&amp;sheet=U0&amp;row=3521&amp;col=6&amp;number=4.7&amp;sourceID=14","4.7")</f>
        <v>4.7</v>
      </c>
      <c r="G3521" s="4" t="str">
        <f>HYPERLINK("http://141.218.60.56/~jnz1568/getInfo.php?workbook=14_04.xlsx&amp;sheet=U0&amp;row=3521&amp;col=7&amp;number=1.87e-05&amp;sourceID=14","1.87e-05")</f>
        <v>1.87e-05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HYPERLINK("http://141.218.60.56/~jnz1568/getInfo.php?workbook=14_04.xlsx&amp;sheet=U0&amp;row=3522&amp;col=6&amp;number=4.8&amp;sourceID=14","4.8")</f>
        <v>4.8</v>
      </c>
      <c r="G3522" s="4" t="str">
        <f>HYPERLINK("http://141.218.60.56/~jnz1568/getInfo.php?workbook=14_04.xlsx&amp;sheet=U0&amp;row=3522&amp;col=7&amp;number=1.87e-05&amp;sourceID=14","1.87e-05")</f>
        <v>1.87e-05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HYPERLINK("http://141.218.60.56/~jnz1568/getInfo.php?workbook=14_04.xlsx&amp;sheet=U0&amp;row=3523&amp;col=6&amp;number=4.9&amp;sourceID=14","4.9")</f>
        <v>4.9</v>
      </c>
      <c r="G3523" s="4" t="str">
        <f>HYPERLINK("http://141.218.60.56/~jnz1568/getInfo.php?workbook=14_04.xlsx&amp;sheet=U0&amp;row=3523&amp;col=7&amp;number=1.88e-05&amp;sourceID=14","1.88e-05")</f>
        <v>1.88e-05</v>
      </c>
    </row>
    <row r="3524" spans="1:7">
      <c r="A3524" s="3">
        <v>14</v>
      </c>
      <c r="B3524" s="3">
        <v>4</v>
      </c>
      <c r="C3524" s="3">
        <v>2</v>
      </c>
      <c r="D3524" s="3">
        <v>60</v>
      </c>
      <c r="E3524" s="3">
        <v>1</v>
      </c>
      <c r="F3524" s="4" t="str">
        <f>HYPERLINK("http://141.218.60.56/~jnz1568/getInfo.php?workbook=14_04.xlsx&amp;sheet=U0&amp;row=3524&amp;col=6&amp;number=3&amp;sourceID=14","3")</f>
        <v>3</v>
      </c>
      <c r="G3524" s="4" t="str">
        <f>HYPERLINK("http://141.218.60.56/~jnz1568/getInfo.php?workbook=14_04.xlsx&amp;sheet=U0&amp;row=3524&amp;col=7&amp;number=8.69e-05&amp;sourceID=14","8.69e-05")</f>
        <v>8.69e-05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HYPERLINK("http://141.218.60.56/~jnz1568/getInfo.php?workbook=14_04.xlsx&amp;sheet=U0&amp;row=3525&amp;col=6&amp;number=3.1&amp;sourceID=14","3.1")</f>
        <v>3.1</v>
      </c>
      <c r="G3525" s="4" t="str">
        <f>HYPERLINK("http://141.218.60.56/~jnz1568/getInfo.php?workbook=14_04.xlsx&amp;sheet=U0&amp;row=3525&amp;col=7&amp;number=8.68e-05&amp;sourceID=14","8.68e-05")</f>
        <v>8.68e-05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HYPERLINK("http://141.218.60.56/~jnz1568/getInfo.php?workbook=14_04.xlsx&amp;sheet=U0&amp;row=3526&amp;col=6&amp;number=3.2&amp;sourceID=14","3.2")</f>
        <v>3.2</v>
      </c>
      <c r="G3526" s="4" t="str">
        <f>HYPERLINK("http://141.218.60.56/~jnz1568/getInfo.php?workbook=14_04.xlsx&amp;sheet=U0&amp;row=3526&amp;col=7&amp;number=8.68e-05&amp;sourceID=14","8.68e-05")</f>
        <v>8.68e-05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HYPERLINK("http://141.218.60.56/~jnz1568/getInfo.php?workbook=14_04.xlsx&amp;sheet=U0&amp;row=3527&amp;col=6&amp;number=3.3&amp;sourceID=14","3.3")</f>
        <v>3.3</v>
      </c>
      <c r="G3527" s="4" t="str">
        <f>HYPERLINK("http://141.218.60.56/~jnz1568/getInfo.php?workbook=14_04.xlsx&amp;sheet=U0&amp;row=3527&amp;col=7&amp;number=8.68e-05&amp;sourceID=14","8.68e-05")</f>
        <v>8.68e-05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HYPERLINK("http://141.218.60.56/~jnz1568/getInfo.php?workbook=14_04.xlsx&amp;sheet=U0&amp;row=3528&amp;col=6&amp;number=3.4&amp;sourceID=14","3.4")</f>
        <v>3.4</v>
      </c>
      <c r="G3528" s="4" t="str">
        <f>HYPERLINK("http://141.218.60.56/~jnz1568/getInfo.php?workbook=14_04.xlsx&amp;sheet=U0&amp;row=3528&amp;col=7&amp;number=8.68e-05&amp;sourceID=14","8.68e-05")</f>
        <v>8.68e-05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HYPERLINK("http://141.218.60.56/~jnz1568/getInfo.php?workbook=14_04.xlsx&amp;sheet=U0&amp;row=3529&amp;col=6&amp;number=3.5&amp;sourceID=14","3.5")</f>
        <v>3.5</v>
      </c>
      <c r="G3529" s="4" t="str">
        <f>HYPERLINK("http://141.218.60.56/~jnz1568/getInfo.php?workbook=14_04.xlsx&amp;sheet=U0&amp;row=3529&amp;col=7&amp;number=8.68e-05&amp;sourceID=14","8.68e-05")</f>
        <v>8.68e-05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HYPERLINK("http://141.218.60.56/~jnz1568/getInfo.php?workbook=14_04.xlsx&amp;sheet=U0&amp;row=3530&amp;col=6&amp;number=3.6&amp;sourceID=14","3.6")</f>
        <v>3.6</v>
      </c>
      <c r="G3530" s="4" t="str">
        <f>HYPERLINK("http://141.218.60.56/~jnz1568/getInfo.php?workbook=14_04.xlsx&amp;sheet=U0&amp;row=3530&amp;col=7&amp;number=8.68e-05&amp;sourceID=14","8.68e-05")</f>
        <v>8.68e-05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HYPERLINK("http://141.218.60.56/~jnz1568/getInfo.php?workbook=14_04.xlsx&amp;sheet=U0&amp;row=3531&amp;col=6&amp;number=3.7&amp;sourceID=14","3.7")</f>
        <v>3.7</v>
      </c>
      <c r="G3531" s="4" t="str">
        <f>HYPERLINK("http://141.218.60.56/~jnz1568/getInfo.php?workbook=14_04.xlsx&amp;sheet=U0&amp;row=3531&amp;col=7&amp;number=8.68e-05&amp;sourceID=14","8.68e-05")</f>
        <v>8.68e-05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HYPERLINK("http://141.218.60.56/~jnz1568/getInfo.php?workbook=14_04.xlsx&amp;sheet=U0&amp;row=3532&amp;col=6&amp;number=3.8&amp;sourceID=14","3.8")</f>
        <v>3.8</v>
      </c>
      <c r="G3532" s="4" t="str">
        <f>HYPERLINK("http://141.218.60.56/~jnz1568/getInfo.php?workbook=14_04.xlsx&amp;sheet=U0&amp;row=3532&amp;col=7&amp;number=8.68e-05&amp;sourceID=14","8.68e-05")</f>
        <v>8.68e-05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HYPERLINK("http://141.218.60.56/~jnz1568/getInfo.php?workbook=14_04.xlsx&amp;sheet=U0&amp;row=3533&amp;col=6&amp;number=3.9&amp;sourceID=14","3.9")</f>
        <v>3.9</v>
      </c>
      <c r="G3533" s="4" t="str">
        <f>HYPERLINK("http://141.218.60.56/~jnz1568/getInfo.php?workbook=14_04.xlsx&amp;sheet=U0&amp;row=3533&amp;col=7&amp;number=8.67e-05&amp;sourceID=14","8.67e-05")</f>
        <v>8.67e-05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HYPERLINK("http://141.218.60.56/~jnz1568/getInfo.php?workbook=14_04.xlsx&amp;sheet=U0&amp;row=3534&amp;col=6&amp;number=4&amp;sourceID=14","4")</f>
        <v>4</v>
      </c>
      <c r="G3534" s="4" t="str">
        <f>HYPERLINK("http://141.218.60.56/~jnz1568/getInfo.php?workbook=14_04.xlsx&amp;sheet=U0&amp;row=3534&amp;col=7&amp;number=8.67e-05&amp;sourceID=14","8.67e-05")</f>
        <v>8.67e-05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HYPERLINK("http://141.218.60.56/~jnz1568/getInfo.php?workbook=14_04.xlsx&amp;sheet=U0&amp;row=3535&amp;col=6&amp;number=4.1&amp;sourceID=14","4.1")</f>
        <v>4.1</v>
      </c>
      <c r="G3535" s="4" t="str">
        <f>HYPERLINK("http://141.218.60.56/~jnz1568/getInfo.php?workbook=14_04.xlsx&amp;sheet=U0&amp;row=3535&amp;col=7&amp;number=8.67e-05&amp;sourceID=14","8.67e-05")</f>
        <v>8.67e-05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HYPERLINK("http://141.218.60.56/~jnz1568/getInfo.php?workbook=14_04.xlsx&amp;sheet=U0&amp;row=3536&amp;col=6&amp;number=4.2&amp;sourceID=14","4.2")</f>
        <v>4.2</v>
      </c>
      <c r="G3536" s="4" t="str">
        <f>HYPERLINK("http://141.218.60.56/~jnz1568/getInfo.php?workbook=14_04.xlsx&amp;sheet=U0&amp;row=3536&amp;col=7&amp;number=8.66e-05&amp;sourceID=14","8.66e-05")</f>
        <v>8.66e-05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HYPERLINK("http://141.218.60.56/~jnz1568/getInfo.php?workbook=14_04.xlsx&amp;sheet=U0&amp;row=3537&amp;col=6&amp;number=4.3&amp;sourceID=14","4.3")</f>
        <v>4.3</v>
      </c>
      <c r="G3537" s="4" t="str">
        <f>HYPERLINK("http://141.218.60.56/~jnz1568/getInfo.php?workbook=14_04.xlsx&amp;sheet=U0&amp;row=3537&amp;col=7&amp;number=8.66e-05&amp;sourceID=14","8.66e-05")</f>
        <v>8.66e-05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HYPERLINK("http://141.218.60.56/~jnz1568/getInfo.php?workbook=14_04.xlsx&amp;sheet=U0&amp;row=3538&amp;col=6&amp;number=4.4&amp;sourceID=14","4.4")</f>
        <v>4.4</v>
      </c>
      <c r="G3538" s="4" t="str">
        <f>HYPERLINK("http://141.218.60.56/~jnz1568/getInfo.php?workbook=14_04.xlsx&amp;sheet=U0&amp;row=3538&amp;col=7&amp;number=8.65e-05&amp;sourceID=14","8.65e-05")</f>
        <v>8.65e-05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HYPERLINK("http://141.218.60.56/~jnz1568/getInfo.php?workbook=14_04.xlsx&amp;sheet=U0&amp;row=3539&amp;col=6&amp;number=4.5&amp;sourceID=14","4.5")</f>
        <v>4.5</v>
      </c>
      <c r="G3539" s="4" t="str">
        <f>HYPERLINK("http://141.218.60.56/~jnz1568/getInfo.php?workbook=14_04.xlsx&amp;sheet=U0&amp;row=3539&amp;col=7&amp;number=8.64e-05&amp;sourceID=14","8.64e-05")</f>
        <v>8.64e-05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HYPERLINK("http://141.218.60.56/~jnz1568/getInfo.php?workbook=14_04.xlsx&amp;sheet=U0&amp;row=3540&amp;col=6&amp;number=4.6&amp;sourceID=14","4.6")</f>
        <v>4.6</v>
      </c>
      <c r="G3540" s="4" t="str">
        <f>HYPERLINK("http://141.218.60.56/~jnz1568/getInfo.php?workbook=14_04.xlsx&amp;sheet=U0&amp;row=3540&amp;col=7&amp;number=8.62e-05&amp;sourceID=14","8.62e-05")</f>
        <v>8.62e-05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HYPERLINK("http://141.218.60.56/~jnz1568/getInfo.php?workbook=14_04.xlsx&amp;sheet=U0&amp;row=3541&amp;col=6&amp;number=4.7&amp;sourceID=14","4.7")</f>
        <v>4.7</v>
      </c>
      <c r="G3541" s="4" t="str">
        <f>HYPERLINK("http://141.218.60.56/~jnz1568/getInfo.php?workbook=14_04.xlsx&amp;sheet=U0&amp;row=3541&amp;col=7&amp;number=8.61e-05&amp;sourceID=14","8.61e-05")</f>
        <v>8.61e-05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HYPERLINK("http://141.218.60.56/~jnz1568/getInfo.php?workbook=14_04.xlsx&amp;sheet=U0&amp;row=3542&amp;col=6&amp;number=4.8&amp;sourceID=14","4.8")</f>
        <v>4.8</v>
      </c>
      <c r="G3542" s="4" t="str">
        <f>HYPERLINK("http://141.218.60.56/~jnz1568/getInfo.php?workbook=14_04.xlsx&amp;sheet=U0&amp;row=3542&amp;col=7&amp;number=8.59e-05&amp;sourceID=14","8.59e-05")</f>
        <v>8.59e-05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HYPERLINK("http://141.218.60.56/~jnz1568/getInfo.php?workbook=14_04.xlsx&amp;sheet=U0&amp;row=3543&amp;col=6&amp;number=4.9&amp;sourceID=14","4.9")</f>
        <v>4.9</v>
      </c>
      <c r="G3543" s="4" t="str">
        <f>HYPERLINK("http://141.218.60.56/~jnz1568/getInfo.php?workbook=14_04.xlsx&amp;sheet=U0&amp;row=3543&amp;col=7&amp;number=8.56e-05&amp;sourceID=14","8.56e-05")</f>
        <v>8.56e-05</v>
      </c>
    </row>
    <row r="3544" spans="1:7">
      <c r="A3544" s="3">
        <v>14</v>
      </c>
      <c r="B3544" s="3">
        <v>4</v>
      </c>
      <c r="C3544" s="3">
        <v>2</v>
      </c>
      <c r="D3544" s="3">
        <v>61</v>
      </c>
      <c r="E3544" s="3">
        <v>1</v>
      </c>
      <c r="F3544" s="4" t="str">
        <f>HYPERLINK("http://141.218.60.56/~jnz1568/getInfo.php?workbook=14_04.xlsx&amp;sheet=U0&amp;row=3544&amp;col=6&amp;number=3&amp;sourceID=14","3")</f>
        <v>3</v>
      </c>
      <c r="G3544" s="4" t="str">
        <f>HYPERLINK("http://141.218.60.56/~jnz1568/getInfo.php?workbook=14_04.xlsx&amp;sheet=U0&amp;row=3544&amp;col=7&amp;number=0.000589&amp;sourceID=14","0.000589")</f>
        <v>0.000589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HYPERLINK("http://141.218.60.56/~jnz1568/getInfo.php?workbook=14_04.xlsx&amp;sheet=U0&amp;row=3545&amp;col=6&amp;number=3.1&amp;sourceID=14","3.1")</f>
        <v>3.1</v>
      </c>
      <c r="G3545" s="4" t="str">
        <f>HYPERLINK("http://141.218.60.56/~jnz1568/getInfo.php?workbook=14_04.xlsx&amp;sheet=U0&amp;row=3545&amp;col=7&amp;number=0.000589&amp;sourceID=14","0.000589")</f>
        <v>0.000589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HYPERLINK("http://141.218.60.56/~jnz1568/getInfo.php?workbook=14_04.xlsx&amp;sheet=U0&amp;row=3546&amp;col=6&amp;number=3.2&amp;sourceID=14","3.2")</f>
        <v>3.2</v>
      </c>
      <c r="G3546" s="4" t="str">
        <f>HYPERLINK("http://141.218.60.56/~jnz1568/getInfo.php?workbook=14_04.xlsx&amp;sheet=U0&amp;row=3546&amp;col=7&amp;number=0.000589&amp;sourceID=14","0.000589")</f>
        <v>0.000589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HYPERLINK("http://141.218.60.56/~jnz1568/getInfo.php?workbook=14_04.xlsx&amp;sheet=U0&amp;row=3547&amp;col=6&amp;number=3.3&amp;sourceID=14","3.3")</f>
        <v>3.3</v>
      </c>
      <c r="G3547" s="4" t="str">
        <f>HYPERLINK("http://141.218.60.56/~jnz1568/getInfo.php?workbook=14_04.xlsx&amp;sheet=U0&amp;row=3547&amp;col=7&amp;number=0.000589&amp;sourceID=14","0.000589")</f>
        <v>0.000589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HYPERLINK("http://141.218.60.56/~jnz1568/getInfo.php?workbook=14_04.xlsx&amp;sheet=U0&amp;row=3548&amp;col=6&amp;number=3.4&amp;sourceID=14","3.4")</f>
        <v>3.4</v>
      </c>
      <c r="G3548" s="4" t="str">
        <f>HYPERLINK("http://141.218.60.56/~jnz1568/getInfo.php?workbook=14_04.xlsx&amp;sheet=U0&amp;row=3548&amp;col=7&amp;number=0.000589&amp;sourceID=14","0.000589")</f>
        <v>0.000589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HYPERLINK("http://141.218.60.56/~jnz1568/getInfo.php?workbook=14_04.xlsx&amp;sheet=U0&amp;row=3549&amp;col=6&amp;number=3.5&amp;sourceID=14","3.5")</f>
        <v>3.5</v>
      </c>
      <c r="G3549" s="4" t="str">
        <f>HYPERLINK("http://141.218.60.56/~jnz1568/getInfo.php?workbook=14_04.xlsx&amp;sheet=U0&amp;row=3549&amp;col=7&amp;number=0.000589&amp;sourceID=14","0.000589")</f>
        <v>0.000589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HYPERLINK("http://141.218.60.56/~jnz1568/getInfo.php?workbook=14_04.xlsx&amp;sheet=U0&amp;row=3550&amp;col=6&amp;number=3.6&amp;sourceID=14","3.6")</f>
        <v>3.6</v>
      </c>
      <c r="G3550" s="4" t="str">
        <f>HYPERLINK("http://141.218.60.56/~jnz1568/getInfo.php?workbook=14_04.xlsx&amp;sheet=U0&amp;row=3550&amp;col=7&amp;number=0.000589&amp;sourceID=14","0.000589")</f>
        <v>0.000589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HYPERLINK("http://141.218.60.56/~jnz1568/getInfo.php?workbook=14_04.xlsx&amp;sheet=U0&amp;row=3551&amp;col=6&amp;number=3.7&amp;sourceID=14","3.7")</f>
        <v>3.7</v>
      </c>
      <c r="G3551" s="4" t="str">
        <f>HYPERLINK("http://141.218.60.56/~jnz1568/getInfo.php?workbook=14_04.xlsx&amp;sheet=U0&amp;row=3551&amp;col=7&amp;number=0.00059&amp;sourceID=14","0.00059")</f>
        <v>0.00059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HYPERLINK("http://141.218.60.56/~jnz1568/getInfo.php?workbook=14_04.xlsx&amp;sheet=U0&amp;row=3552&amp;col=6&amp;number=3.8&amp;sourceID=14","3.8")</f>
        <v>3.8</v>
      </c>
      <c r="G3552" s="4" t="str">
        <f>HYPERLINK("http://141.218.60.56/~jnz1568/getInfo.php?workbook=14_04.xlsx&amp;sheet=U0&amp;row=3552&amp;col=7&amp;number=0.00059&amp;sourceID=14","0.00059")</f>
        <v>0.00059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HYPERLINK("http://141.218.60.56/~jnz1568/getInfo.php?workbook=14_04.xlsx&amp;sheet=U0&amp;row=3553&amp;col=6&amp;number=3.9&amp;sourceID=14","3.9")</f>
        <v>3.9</v>
      </c>
      <c r="G3553" s="4" t="str">
        <f>HYPERLINK("http://141.218.60.56/~jnz1568/getInfo.php?workbook=14_04.xlsx&amp;sheet=U0&amp;row=3553&amp;col=7&amp;number=0.00059&amp;sourceID=14","0.00059")</f>
        <v>0.00059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HYPERLINK("http://141.218.60.56/~jnz1568/getInfo.php?workbook=14_04.xlsx&amp;sheet=U0&amp;row=3554&amp;col=6&amp;number=4&amp;sourceID=14","4")</f>
        <v>4</v>
      </c>
      <c r="G3554" s="4" t="str">
        <f>HYPERLINK("http://141.218.60.56/~jnz1568/getInfo.php?workbook=14_04.xlsx&amp;sheet=U0&amp;row=3554&amp;col=7&amp;number=0.00059&amp;sourceID=14","0.00059")</f>
        <v>0.00059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HYPERLINK("http://141.218.60.56/~jnz1568/getInfo.php?workbook=14_04.xlsx&amp;sheet=U0&amp;row=3555&amp;col=6&amp;number=4.1&amp;sourceID=14","4.1")</f>
        <v>4.1</v>
      </c>
      <c r="G3555" s="4" t="str">
        <f>HYPERLINK("http://141.218.60.56/~jnz1568/getInfo.php?workbook=14_04.xlsx&amp;sheet=U0&amp;row=3555&amp;col=7&amp;number=0.000591&amp;sourceID=14","0.000591")</f>
        <v>0.000591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HYPERLINK("http://141.218.60.56/~jnz1568/getInfo.php?workbook=14_04.xlsx&amp;sheet=U0&amp;row=3556&amp;col=6&amp;number=4.2&amp;sourceID=14","4.2")</f>
        <v>4.2</v>
      </c>
      <c r="G3556" s="4" t="str">
        <f>HYPERLINK("http://141.218.60.56/~jnz1568/getInfo.php?workbook=14_04.xlsx&amp;sheet=U0&amp;row=3556&amp;col=7&amp;number=0.000591&amp;sourceID=14","0.000591")</f>
        <v>0.000591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HYPERLINK("http://141.218.60.56/~jnz1568/getInfo.php?workbook=14_04.xlsx&amp;sheet=U0&amp;row=3557&amp;col=6&amp;number=4.3&amp;sourceID=14","4.3")</f>
        <v>4.3</v>
      </c>
      <c r="G3557" s="4" t="str">
        <f>HYPERLINK("http://141.218.60.56/~jnz1568/getInfo.php?workbook=14_04.xlsx&amp;sheet=U0&amp;row=3557&amp;col=7&amp;number=0.000592&amp;sourceID=14","0.000592")</f>
        <v>0.000592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HYPERLINK("http://141.218.60.56/~jnz1568/getInfo.php?workbook=14_04.xlsx&amp;sheet=U0&amp;row=3558&amp;col=6&amp;number=4.4&amp;sourceID=14","4.4")</f>
        <v>4.4</v>
      </c>
      <c r="G3558" s="4" t="str">
        <f>HYPERLINK("http://141.218.60.56/~jnz1568/getInfo.php?workbook=14_04.xlsx&amp;sheet=U0&amp;row=3558&amp;col=7&amp;number=0.000592&amp;sourceID=14","0.000592")</f>
        <v>0.000592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HYPERLINK("http://141.218.60.56/~jnz1568/getInfo.php?workbook=14_04.xlsx&amp;sheet=U0&amp;row=3559&amp;col=6&amp;number=4.5&amp;sourceID=14","4.5")</f>
        <v>4.5</v>
      </c>
      <c r="G3559" s="4" t="str">
        <f>HYPERLINK("http://141.218.60.56/~jnz1568/getInfo.php?workbook=14_04.xlsx&amp;sheet=U0&amp;row=3559&amp;col=7&amp;number=0.000593&amp;sourceID=14","0.000593")</f>
        <v>0.000593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HYPERLINK("http://141.218.60.56/~jnz1568/getInfo.php?workbook=14_04.xlsx&amp;sheet=U0&amp;row=3560&amp;col=6&amp;number=4.6&amp;sourceID=14","4.6")</f>
        <v>4.6</v>
      </c>
      <c r="G3560" s="4" t="str">
        <f>HYPERLINK("http://141.218.60.56/~jnz1568/getInfo.php?workbook=14_04.xlsx&amp;sheet=U0&amp;row=3560&amp;col=7&amp;number=0.000595&amp;sourceID=14","0.000595")</f>
        <v>0.000595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HYPERLINK("http://141.218.60.56/~jnz1568/getInfo.php?workbook=14_04.xlsx&amp;sheet=U0&amp;row=3561&amp;col=6&amp;number=4.7&amp;sourceID=14","4.7")</f>
        <v>4.7</v>
      </c>
      <c r="G3561" s="4" t="str">
        <f>HYPERLINK("http://141.218.60.56/~jnz1568/getInfo.php?workbook=14_04.xlsx&amp;sheet=U0&amp;row=3561&amp;col=7&amp;number=0.000596&amp;sourceID=14","0.000596")</f>
        <v>0.000596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HYPERLINK("http://141.218.60.56/~jnz1568/getInfo.php?workbook=14_04.xlsx&amp;sheet=U0&amp;row=3562&amp;col=6&amp;number=4.8&amp;sourceID=14","4.8")</f>
        <v>4.8</v>
      </c>
      <c r="G3562" s="4" t="str">
        <f>HYPERLINK("http://141.218.60.56/~jnz1568/getInfo.php?workbook=14_04.xlsx&amp;sheet=U0&amp;row=3562&amp;col=7&amp;number=0.000598&amp;sourceID=14","0.000598")</f>
        <v>0.000598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HYPERLINK("http://141.218.60.56/~jnz1568/getInfo.php?workbook=14_04.xlsx&amp;sheet=U0&amp;row=3563&amp;col=6&amp;number=4.9&amp;sourceID=14","4.9")</f>
        <v>4.9</v>
      </c>
      <c r="G3563" s="4" t="str">
        <f>HYPERLINK("http://141.218.60.56/~jnz1568/getInfo.php?workbook=14_04.xlsx&amp;sheet=U0&amp;row=3563&amp;col=7&amp;number=0.0006&amp;sourceID=14","0.0006")</f>
        <v>0.0006</v>
      </c>
    </row>
    <row r="3564" spans="1:7">
      <c r="A3564" s="3">
        <v>14</v>
      </c>
      <c r="B3564" s="3">
        <v>4</v>
      </c>
      <c r="C3564" s="3">
        <v>2</v>
      </c>
      <c r="D3564" s="3">
        <v>62</v>
      </c>
      <c r="E3564" s="3">
        <v>1</v>
      </c>
      <c r="F3564" s="4" t="str">
        <f>HYPERLINK("http://141.218.60.56/~jnz1568/getInfo.php?workbook=14_04.xlsx&amp;sheet=U0&amp;row=3564&amp;col=6&amp;number=3&amp;sourceID=14","3")</f>
        <v>3</v>
      </c>
      <c r="G3564" s="4" t="str">
        <f>HYPERLINK("http://141.218.60.56/~jnz1568/getInfo.php?workbook=14_04.xlsx&amp;sheet=U0&amp;row=3564&amp;col=7&amp;number=0.000659&amp;sourceID=14","0.000659")</f>
        <v>0.000659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HYPERLINK("http://141.218.60.56/~jnz1568/getInfo.php?workbook=14_04.xlsx&amp;sheet=U0&amp;row=3565&amp;col=6&amp;number=3.1&amp;sourceID=14","3.1")</f>
        <v>3.1</v>
      </c>
      <c r="G3565" s="4" t="str">
        <f>HYPERLINK("http://141.218.60.56/~jnz1568/getInfo.php?workbook=14_04.xlsx&amp;sheet=U0&amp;row=3565&amp;col=7&amp;number=0.000659&amp;sourceID=14","0.000659")</f>
        <v>0.000659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HYPERLINK("http://141.218.60.56/~jnz1568/getInfo.php?workbook=14_04.xlsx&amp;sheet=U0&amp;row=3566&amp;col=6&amp;number=3.2&amp;sourceID=14","3.2")</f>
        <v>3.2</v>
      </c>
      <c r="G3566" s="4" t="str">
        <f>HYPERLINK("http://141.218.60.56/~jnz1568/getInfo.php?workbook=14_04.xlsx&amp;sheet=U0&amp;row=3566&amp;col=7&amp;number=0.00066&amp;sourceID=14","0.00066")</f>
        <v>0.00066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HYPERLINK("http://141.218.60.56/~jnz1568/getInfo.php?workbook=14_04.xlsx&amp;sheet=U0&amp;row=3567&amp;col=6&amp;number=3.3&amp;sourceID=14","3.3")</f>
        <v>3.3</v>
      </c>
      <c r="G3567" s="4" t="str">
        <f>HYPERLINK("http://141.218.60.56/~jnz1568/getInfo.php?workbook=14_04.xlsx&amp;sheet=U0&amp;row=3567&amp;col=7&amp;number=0.00066&amp;sourceID=14","0.00066")</f>
        <v>0.00066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HYPERLINK("http://141.218.60.56/~jnz1568/getInfo.php?workbook=14_04.xlsx&amp;sheet=U0&amp;row=3568&amp;col=6&amp;number=3.4&amp;sourceID=14","3.4")</f>
        <v>3.4</v>
      </c>
      <c r="G3568" s="4" t="str">
        <f>HYPERLINK("http://141.218.60.56/~jnz1568/getInfo.php?workbook=14_04.xlsx&amp;sheet=U0&amp;row=3568&amp;col=7&amp;number=0.00066&amp;sourceID=14","0.00066")</f>
        <v>0.00066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HYPERLINK("http://141.218.60.56/~jnz1568/getInfo.php?workbook=14_04.xlsx&amp;sheet=U0&amp;row=3569&amp;col=6&amp;number=3.5&amp;sourceID=14","3.5")</f>
        <v>3.5</v>
      </c>
      <c r="G3569" s="4" t="str">
        <f>HYPERLINK("http://141.218.60.56/~jnz1568/getInfo.php?workbook=14_04.xlsx&amp;sheet=U0&amp;row=3569&amp;col=7&amp;number=0.000661&amp;sourceID=14","0.000661")</f>
        <v>0.000661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HYPERLINK("http://141.218.60.56/~jnz1568/getInfo.php?workbook=14_04.xlsx&amp;sheet=U0&amp;row=3570&amp;col=6&amp;number=3.6&amp;sourceID=14","3.6")</f>
        <v>3.6</v>
      </c>
      <c r="G3570" s="4" t="str">
        <f>HYPERLINK("http://141.218.60.56/~jnz1568/getInfo.php?workbook=14_04.xlsx&amp;sheet=U0&amp;row=3570&amp;col=7&amp;number=0.000661&amp;sourceID=14","0.000661")</f>
        <v>0.000661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HYPERLINK("http://141.218.60.56/~jnz1568/getInfo.php?workbook=14_04.xlsx&amp;sheet=U0&amp;row=3571&amp;col=6&amp;number=3.7&amp;sourceID=14","3.7")</f>
        <v>3.7</v>
      </c>
      <c r="G3571" s="4" t="str">
        <f>HYPERLINK("http://141.218.60.56/~jnz1568/getInfo.php?workbook=14_04.xlsx&amp;sheet=U0&amp;row=3571&amp;col=7&amp;number=0.000662&amp;sourceID=14","0.000662")</f>
        <v>0.000662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HYPERLINK("http://141.218.60.56/~jnz1568/getInfo.php?workbook=14_04.xlsx&amp;sheet=U0&amp;row=3572&amp;col=6&amp;number=3.8&amp;sourceID=14","3.8")</f>
        <v>3.8</v>
      </c>
      <c r="G3572" s="4" t="str">
        <f>HYPERLINK("http://141.218.60.56/~jnz1568/getInfo.php?workbook=14_04.xlsx&amp;sheet=U0&amp;row=3572&amp;col=7&amp;number=0.000662&amp;sourceID=14","0.000662")</f>
        <v>0.000662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HYPERLINK("http://141.218.60.56/~jnz1568/getInfo.php?workbook=14_04.xlsx&amp;sheet=U0&amp;row=3573&amp;col=6&amp;number=3.9&amp;sourceID=14","3.9")</f>
        <v>3.9</v>
      </c>
      <c r="G3573" s="4" t="str">
        <f>HYPERLINK("http://141.218.60.56/~jnz1568/getInfo.php?workbook=14_04.xlsx&amp;sheet=U0&amp;row=3573&amp;col=7&amp;number=0.000663&amp;sourceID=14","0.000663")</f>
        <v>0.000663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HYPERLINK("http://141.218.60.56/~jnz1568/getInfo.php?workbook=14_04.xlsx&amp;sheet=U0&amp;row=3574&amp;col=6&amp;number=4&amp;sourceID=14","4")</f>
        <v>4</v>
      </c>
      <c r="G3574" s="4" t="str">
        <f>HYPERLINK("http://141.218.60.56/~jnz1568/getInfo.php?workbook=14_04.xlsx&amp;sheet=U0&amp;row=3574&amp;col=7&amp;number=0.000665&amp;sourceID=14","0.000665")</f>
        <v>0.000665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HYPERLINK("http://141.218.60.56/~jnz1568/getInfo.php?workbook=14_04.xlsx&amp;sheet=U0&amp;row=3575&amp;col=6&amp;number=4.1&amp;sourceID=14","4.1")</f>
        <v>4.1</v>
      </c>
      <c r="G3575" s="4" t="str">
        <f>HYPERLINK("http://141.218.60.56/~jnz1568/getInfo.php?workbook=14_04.xlsx&amp;sheet=U0&amp;row=3575&amp;col=7&amp;number=0.000666&amp;sourceID=14","0.000666")</f>
        <v>0.000666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HYPERLINK("http://141.218.60.56/~jnz1568/getInfo.php?workbook=14_04.xlsx&amp;sheet=U0&amp;row=3576&amp;col=6&amp;number=4.2&amp;sourceID=14","4.2")</f>
        <v>4.2</v>
      </c>
      <c r="G3576" s="4" t="str">
        <f>HYPERLINK("http://141.218.60.56/~jnz1568/getInfo.php?workbook=14_04.xlsx&amp;sheet=U0&amp;row=3576&amp;col=7&amp;number=0.000668&amp;sourceID=14","0.000668")</f>
        <v>0.000668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HYPERLINK("http://141.218.60.56/~jnz1568/getInfo.php?workbook=14_04.xlsx&amp;sheet=U0&amp;row=3577&amp;col=6&amp;number=4.3&amp;sourceID=14","4.3")</f>
        <v>4.3</v>
      </c>
      <c r="G3577" s="4" t="str">
        <f>HYPERLINK("http://141.218.60.56/~jnz1568/getInfo.php?workbook=14_04.xlsx&amp;sheet=U0&amp;row=3577&amp;col=7&amp;number=0.00067&amp;sourceID=14","0.00067")</f>
        <v>0.00067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HYPERLINK("http://141.218.60.56/~jnz1568/getInfo.php?workbook=14_04.xlsx&amp;sheet=U0&amp;row=3578&amp;col=6&amp;number=4.4&amp;sourceID=14","4.4")</f>
        <v>4.4</v>
      </c>
      <c r="G3578" s="4" t="str">
        <f>HYPERLINK("http://141.218.60.56/~jnz1568/getInfo.php?workbook=14_04.xlsx&amp;sheet=U0&amp;row=3578&amp;col=7&amp;number=0.000673&amp;sourceID=14","0.000673")</f>
        <v>0.000673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HYPERLINK("http://141.218.60.56/~jnz1568/getInfo.php?workbook=14_04.xlsx&amp;sheet=U0&amp;row=3579&amp;col=6&amp;number=4.5&amp;sourceID=14","4.5")</f>
        <v>4.5</v>
      </c>
      <c r="G3579" s="4" t="str">
        <f>HYPERLINK("http://141.218.60.56/~jnz1568/getInfo.php?workbook=14_04.xlsx&amp;sheet=U0&amp;row=3579&amp;col=7&amp;number=0.000677&amp;sourceID=14","0.000677")</f>
        <v>0.000677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HYPERLINK("http://141.218.60.56/~jnz1568/getInfo.php?workbook=14_04.xlsx&amp;sheet=U0&amp;row=3580&amp;col=6&amp;number=4.6&amp;sourceID=14","4.6")</f>
        <v>4.6</v>
      </c>
      <c r="G3580" s="4" t="str">
        <f>HYPERLINK("http://141.218.60.56/~jnz1568/getInfo.php?workbook=14_04.xlsx&amp;sheet=U0&amp;row=3580&amp;col=7&amp;number=0.000682&amp;sourceID=14","0.000682")</f>
        <v>0.000682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HYPERLINK("http://141.218.60.56/~jnz1568/getInfo.php?workbook=14_04.xlsx&amp;sheet=U0&amp;row=3581&amp;col=6&amp;number=4.7&amp;sourceID=14","4.7")</f>
        <v>4.7</v>
      </c>
      <c r="G3581" s="4" t="str">
        <f>HYPERLINK("http://141.218.60.56/~jnz1568/getInfo.php?workbook=14_04.xlsx&amp;sheet=U0&amp;row=3581&amp;col=7&amp;number=0.000688&amp;sourceID=14","0.000688")</f>
        <v>0.000688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HYPERLINK("http://141.218.60.56/~jnz1568/getInfo.php?workbook=14_04.xlsx&amp;sheet=U0&amp;row=3582&amp;col=6&amp;number=4.8&amp;sourceID=14","4.8")</f>
        <v>4.8</v>
      </c>
      <c r="G3582" s="4" t="str">
        <f>HYPERLINK("http://141.218.60.56/~jnz1568/getInfo.php?workbook=14_04.xlsx&amp;sheet=U0&amp;row=3582&amp;col=7&amp;number=0.000696&amp;sourceID=14","0.000696")</f>
        <v>0.000696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HYPERLINK("http://141.218.60.56/~jnz1568/getInfo.php?workbook=14_04.xlsx&amp;sheet=U0&amp;row=3583&amp;col=6&amp;number=4.9&amp;sourceID=14","4.9")</f>
        <v>4.9</v>
      </c>
      <c r="G3583" s="4" t="str">
        <f>HYPERLINK("http://141.218.60.56/~jnz1568/getInfo.php?workbook=14_04.xlsx&amp;sheet=U0&amp;row=3583&amp;col=7&amp;number=0.000705&amp;sourceID=14","0.000705")</f>
        <v>0.000705</v>
      </c>
    </row>
    <row r="3584" spans="1:7">
      <c r="A3584" s="3">
        <v>14</v>
      </c>
      <c r="B3584" s="3">
        <v>4</v>
      </c>
      <c r="C3584" s="3">
        <v>2</v>
      </c>
      <c r="D3584" s="3">
        <v>63</v>
      </c>
      <c r="E3584" s="3">
        <v>1</v>
      </c>
      <c r="F3584" s="4" t="str">
        <f>HYPERLINK("http://141.218.60.56/~jnz1568/getInfo.php?workbook=14_04.xlsx&amp;sheet=U0&amp;row=3584&amp;col=6&amp;number=3&amp;sourceID=14","3")</f>
        <v>3</v>
      </c>
      <c r="G3584" s="4" t="str">
        <f>HYPERLINK("http://141.218.60.56/~jnz1568/getInfo.php?workbook=14_04.xlsx&amp;sheet=U0&amp;row=3584&amp;col=7&amp;number=0.000708&amp;sourceID=14","0.000708")</f>
        <v>0.000708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HYPERLINK("http://141.218.60.56/~jnz1568/getInfo.php?workbook=14_04.xlsx&amp;sheet=U0&amp;row=3585&amp;col=6&amp;number=3.1&amp;sourceID=14","3.1")</f>
        <v>3.1</v>
      </c>
      <c r="G3585" s="4" t="str">
        <f>HYPERLINK("http://141.218.60.56/~jnz1568/getInfo.php?workbook=14_04.xlsx&amp;sheet=U0&amp;row=3585&amp;col=7&amp;number=0.000708&amp;sourceID=14","0.000708")</f>
        <v>0.000708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HYPERLINK("http://141.218.60.56/~jnz1568/getInfo.php?workbook=14_04.xlsx&amp;sheet=U0&amp;row=3586&amp;col=6&amp;number=3.2&amp;sourceID=14","3.2")</f>
        <v>3.2</v>
      </c>
      <c r="G3586" s="4" t="str">
        <f>HYPERLINK("http://141.218.60.56/~jnz1568/getInfo.php?workbook=14_04.xlsx&amp;sheet=U0&amp;row=3586&amp;col=7&amp;number=0.000708&amp;sourceID=14","0.000708")</f>
        <v>0.000708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HYPERLINK("http://141.218.60.56/~jnz1568/getInfo.php?workbook=14_04.xlsx&amp;sheet=U0&amp;row=3587&amp;col=6&amp;number=3.3&amp;sourceID=14","3.3")</f>
        <v>3.3</v>
      </c>
      <c r="G3587" s="4" t="str">
        <f>HYPERLINK("http://141.218.60.56/~jnz1568/getInfo.php?workbook=14_04.xlsx&amp;sheet=U0&amp;row=3587&amp;col=7&amp;number=0.000708&amp;sourceID=14","0.000708")</f>
        <v>0.000708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HYPERLINK("http://141.218.60.56/~jnz1568/getInfo.php?workbook=14_04.xlsx&amp;sheet=U0&amp;row=3588&amp;col=6&amp;number=3.4&amp;sourceID=14","3.4")</f>
        <v>3.4</v>
      </c>
      <c r="G3588" s="4" t="str">
        <f>HYPERLINK("http://141.218.60.56/~jnz1568/getInfo.php?workbook=14_04.xlsx&amp;sheet=U0&amp;row=3588&amp;col=7&amp;number=0.000708&amp;sourceID=14","0.000708")</f>
        <v>0.000708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HYPERLINK("http://141.218.60.56/~jnz1568/getInfo.php?workbook=14_04.xlsx&amp;sheet=U0&amp;row=3589&amp;col=6&amp;number=3.5&amp;sourceID=14","3.5")</f>
        <v>3.5</v>
      </c>
      <c r="G3589" s="4" t="str">
        <f>HYPERLINK("http://141.218.60.56/~jnz1568/getInfo.php?workbook=14_04.xlsx&amp;sheet=U0&amp;row=3589&amp;col=7&amp;number=0.000708&amp;sourceID=14","0.000708")</f>
        <v>0.000708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HYPERLINK("http://141.218.60.56/~jnz1568/getInfo.php?workbook=14_04.xlsx&amp;sheet=U0&amp;row=3590&amp;col=6&amp;number=3.6&amp;sourceID=14","3.6")</f>
        <v>3.6</v>
      </c>
      <c r="G3590" s="4" t="str">
        <f>HYPERLINK("http://141.218.60.56/~jnz1568/getInfo.php?workbook=14_04.xlsx&amp;sheet=U0&amp;row=3590&amp;col=7&amp;number=0.000708&amp;sourceID=14","0.000708")</f>
        <v>0.000708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HYPERLINK("http://141.218.60.56/~jnz1568/getInfo.php?workbook=14_04.xlsx&amp;sheet=U0&amp;row=3591&amp;col=6&amp;number=3.7&amp;sourceID=14","3.7")</f>
        <v>3.7</v>
      </c>
      <c r="G3591" s="4" t="str">
        <f>HYPERLINK("http://141.218.60.56/~jnz1568/getInfo.php?workbook=14_04.xlsx&amp;sheet=U0&amp;row=3591&amp;col=7&amp;number=0.000708&amp;sourceID=14","0.000708")</f>
        <v>0.000708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HYPERLINK("http://141.218.60.56/~jnz1568/getInfo.php?workbook=14_04.xlsx&amp;sheet=U0&amp;row=3592&amp;col=6&amp;number=3.8&amp;sourceID=14","3.8")</f>
        <v>3.8</v>
      </c>
      <c r="G3592" s="4" t="str">
        <f>HYPERLINK("http://141.218.60.56/~jnz1568/getInfo.php?workbook=14_04.xlsx&amp;sheet=U0&amp;row=3592&amp;col=7&amp;number=0.000708&amp;sourceID=14","0.000708")</f>
        <v>0.000708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HYPERLINK("http://141.218.60.56/~jnz1568/getInfo.php?workbook=14_04.xlsx&amp;sheet=U0&amp;row=3593&amp;col=6&amp;number=3.9&amp;sourceID=14","3.9")</f>
        <v>3.9</v>
      </c>
      <c r="G3593" s="4" t="str">
        <f>HYPERLINK("http://141.218.60.56/~jnz1568/getInfo.php?workbook=14_04.xlsx&amp;sheet=U0&amp;row=3593&amp;col=7&amp;number=0.000708&amp;sourceID=14","0.000708")</f>
        <v>0.000708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HYPERLINK("http://141.218.60.56/~jnz1568/getInfo.php?workbook=14_04.xlsx&amp;sheet=U0&amp;row=3594&amp;col=6&amp;number=4&amp;sourceID=14","4")</f>
        <v>4</v>
      </c>
      <c r="G3594" s="4" t="str">
        <f>HYPERLINK("http://141.218.60.56/~jnz1568/getInfo.php?workbook=14_04.xlsx&amp;sheet=U0&amp;row=3594&amp;col=7&amp;number=0.000707&amp;sourceID=14","0.000707")</f>
        <v>0.000707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HYPERLINK("http://141.218.60.56/~jnz1568/getInfo.php?workbook=14_04.xlsx&amp;sheet=U0&amp;row=3595&amp;col=6&amp;number=4.1&amp;sourceID=14","4.1")</f>
        <v>4.1</v>
      </c>
      <c r="G3595" s="4" t="str">
        <f>HYPERLINK("http://141.218.60.56/~jnz1568/getInfo.php?workbook=14_04.xlsx&amp;sheet=U0&amp;row=3595&amp;col=7&amp;number=0.000707&amp;sourceID=14","0.000707")</f>
        <v>0.000707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HYPERLINK("http://141.218.60.56/~jnz1568/getInfo.php?workbook=14_04.xlsx&amp;sheet=U0&amp;row=3596&amp;col=6&amp;number=4.2&amp;sourceID=14","4.2")</f>
        <v>4.2</v>
      </c>
      <c r="G3596" s="4" t="str">
        <f>HYPERLINK("http://141.218.60.56/~jnz1568/getInfo.php?workbook=14_04.xlsx&amp;sheet=U0&amp;row=3596&amp;col=7&amp;number=0.000707&amp;sourceID=14","0.000707")</f>
        <v>0.000707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HYPERLINK("http://141.218.60.56/~jnz1568/getInfo.php?workbook=14_04.xlsx&amp;sheet=U0&amp;row=3597&amp;col=6&amp;number=4.3&amp;sourceID=14","4.3")</f>
        <v>4.3</v>
      </c>
      <c r="G3597" s="4" t="str">
        <f>HYPERLINK("http://141.218.60.56/~jnz1568/getInfo.php?workbook=14_04.xlsx&amp;sheet=U0&amp;row=3597&amp;col=7&amp;number=0.000706&amp;sourceID=14","0.000706")</f>
        <v>0.000706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HYPERLINK("http://141.218.60.56/~jnz1568/getInfo.php?workbook=14_04.xlsx&amp;sheet=U0&amp;row=3598&amp;col=6&amp;number=4.4&amp;sourceID=14","4.4")</f>
        <v>4.4</v>
      </c>
      <c r="G3598" s="4" t="str">
        <f>HYPERLINK("http://141.218.60.56/~jnz1568/getInfo.php?workbook=14_04.xlsx&amp;sheet=U0&amp;row=3598&amp;col=7&amp;number=0.000705&amp;sourceID=14","0.000705")</f>
        <v>0.000705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HYPERLINK("http://141.218.60.56/~jnz1568/getInfo.php?workbook=14_04.xlsx&amp;sheet=U0&amp;row=3599&amp;col=6&amp;number=4.5&amp;sourceID=14","4.5")</f>
        <v>4.5</v>
      </c>
      <c r="G3599" s="4" t="str">
        <f>HYPERLINK("http://141.218.60.56/~jnz1568/getInfo.php?workbook=14_04.xlsx&amp;sheet=U0&amp;row=3599&amp;col=7&amp;number=0.000705&amp;sourceID=14","0.000705")</f>
        <v>0.000705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HYPERLINK("http://141.218.60.56/~jnz1568/getInfo.php?workbook=14_04.xlsx&amp;sheet=U0&amp;row=3600&amp;col=6&amp;number=4.6&amp;sourceID=14","4.6")</f>
        <v>4.6</v>
      </c>
      <c r="G3600" s="4" t="str">
        <f>HYPERLINK("http://141.218.60.56/~jnz1568/getInfo.php?workbook=14_04.xlsx&amp;sheet=U0&amp;row=3600&amp;col=7&amp;number=0.000704&amp;sourceID=14","0.000704")</f>
        <v>0.000704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HYPERLINK("http://141.218.60.56/~jnz1568/getInfo.php?workbook=14_04.xlsx&amp;sheet=U0&amp;row=3601&amp;col=6&amp;number=4.7&amp;sourceID=14","4.7")</f>
        <v>4.7</v>
      </c>
      <c r="G3601" s="4" t="str">
        <f>HYPERLINK("http://141.218.60.56/~jnz1568/getInfo.php?workbook=14_04.xlsx&amp;sheet=U0&amp;row=3601&amp;col=7&amp;number=0.000702&amp;sourceID=14","0.000702")</f>
        <v>0.000702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HYPERLINK("http://141.218.60.56/~jnz1568/getInfo.php?workbook=14_04.xlsx&amp;sheet=U0&amp;row=3602&amp;col=6&amp;number=4.8&amp;sourceID=14","4.8")</f>
        <v>4.8</v>
      </c>
      <c r="G3602" s="4" t="str">
        <f>HYPERLINK("http://141.218.60.56/~jnz1568/getInfo.php?workbook=14_04.xlsx&amp;sheet=U0&amp;row=3602&amp;col=7&amp;number=0.000701&amp;sourceID=14","0.000701")</f>
        <v>0.000701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HYPERLINK("http://141.218.60.56/~jnz1568/getInfo.php?workbook=14_04.xlsx&amp;sheet=U0&amp;row=3603&amp;col=6&amp;number=4.9&amp;sourceID=14","4.9")</f>
        <v>4.9</v>
      </c>
      <c r="G3603" s="4" t="str">
        <f>HYPERLINK("http://141.218.60.56/~jnz1568/getInfo.php?workbook=14_04.xlsx&amp;sheet=U0&amp;row=3603&amp;col=7&amp;number=0.000699&amp;sourceID=14","0.000699")</f>
        <v>0.000699</v>
      </c>
    </row>
    <row r="3604" spans="1:7">
      <c r="A3604" s="3">
        <v>14</v>
      </c>
      <c r="B3604" s="3">
        <v>4</v>
      </c>
      <c r="C3604" s="3">
        <v>2</v>
      </c>
      <c r="D3604" s="3">
        <v>64</v>
      </c>
      <c r="E3604" s="3">
        <v>1</v>
      </c>
      <c r="F3604" s="4" t="str">
        <f>HYPERLINK("http://141.218.60.56/~jnz1568/getInfo.php?workbook=14_04.xlsx&amp;sheet=U0&amp;row=3604&amp;col=6&amp;number=3&amp;sourceID=14","3")</f>
        <v>3</v>
      </c>
      <c r="G3604" s="4" t="str">
        <f>HYPERLINK("http://141.218.60.56/~jnz1568/getInfo.php?workbook=14_04.xlsx&amp;sheet=U0&amp;row=3604&amp;col=7&amp;number=1.04e-05&amp;sourceID=14","1.04e-05")</f>
        <v>1.04e-05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HYPERLINK("http://141.218.60.56/~jnz1568/getInfo.php?workbook=14_04.xlsx&amp;sheet=U0&amp;row=3605&amp;col=6&amp;number=3.1&amp;sourceID=14","3.1")</f>
        <v>3.1</v>
      </c>
      <c r="G3605" s="4" t="str">
        <f>HYPERLINK("http://141.218.60.56/~jnz1568/getInfo.php?workbook=14_04.xlsx&amp;sheet=U0&amp;row=3605&amp;col=7&amp;number=1.04e-05&amp;sourceID=14","1.04e-05")</f>
        <v>1.04e-05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HYPERLINK("http://141.218.60.56/~jnz1568/getInfo.php?workbook=14_04.xlsx&amp;sheet=U0&amp;row=3606&amp;col=6&amp;number=3.2&amp;sourceID=14","3.2")</f>
        <v>3.2</v>
      </c>
      <c r="G3606" s="4" t="str">
        <f>HYPERLINK("http://141.218.60.56/~jnz1568/getInfo.php?workbook=14_04.xlsx&amp;sheet=U0&amp;row=3606&amp;col=7&amp;number=1.04e-05&amp;sourceID=14","1.04e-05")</f>
        <v>1.04e-05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HYPERLINK("http://141.218.60.56/~jnz1568/getInfo.php?workbook=14_04.xlsx&amp;sheet=U0&amp;row=3607&amp;col=6&amp;number=3.3&amp;sourceID=14","3.3")</f>
        <v>3.3</v>
      </c>
      <c r="G3607" s="4" t="str">
        <f>HYPERLINK("http://141.218.60.56/~jnz1568/getInfo.php?workbook=14_04.xlsx&amp;sheet=U0&amp;row=3607&amp;col=7&amp;number=1.04e-05&amp;sourceID=14","1.04e-05")</f>
        <v>1.04e-05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HYPERLINK("http://141.218.60.56/~jnz1568/getInfo.php?workbook=14_04.xlsx&amp;sheet=U0&amp;row=3608&amp;col=6&amp;number=3.4&amp;sourceID=14","3.4")</f>
        <v>3.4</v>
      </c>
      <c r="G3608" s="4" t="str">
        <f>HYPERLINK("http://141.218.60.56/~jnz1568/getInfo.php?workbook=14_04.xlsx&amp;sheet=U0&amp;row=3608&amp;col=7&amp;number=1.04e-05&amp;sourceID=14","1.04e-05")</f>
        <v>1.04e-05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HYPERLINK("http://141.218.60.56/~jnz1568/getInfo.php?workbook=14_04.xlsx&amp;sheet=U0&amp;row=3609&amp;col=6&amp;number=3.5&amp;sourceID=14","3.5")</f>
        <v>3.5</v>
      </c>
      <c r="G3609" s="4" t="str">
        <f>HYPERLINK("http://141.218.60.56/~jnz1568/getInfo.php?workbook=14_04.xlsx&amp;sheet=U0&amp;row=3609&amp;col=7&amp;number=1.04e-05&amp;sourceID=14","1.04e-05")</f>
        <v>1.04e-05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HYPERLINK("http://141.218.60.56/~jnz1568/getInfo.php?workbook=14_04.xlsx&amp;sheet=U0&amp;row=3610&amp;col=6&amp;number=3.6&amp;sourceID=14","3.6")</f>
        <v>3.6</v>
      </c>
      <c r="G3610" s="4" t="str">
        <f>HYPERLINK("http://141.218.60.56/~jnz1568/getInfo.php?workbook=14_04.xlsx&amp;sheet=U0&amp;row=3610&amp;col=7&amp;number=1.04e-05&amp;sourceID=14","1.04e-05")</f>
        <v>1.04e-05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HYPERLINK("http://141.218.60.56/~jnz1568/getInfo.php?workbook=14_04.xlsx&amp;sheet=U0&amp;row=3611&amp;col=6&amp;number=3.7&amp;sourceID=14","3.7")</f>
        <v>3.7</v>
      </c>
      <c r="G3611" s="4" t="str">
        <f>HYPERLINK("http://141.218.60.56/~jnz1568/getInfo.php?workbook=14_04.xlsx&amp;sheet=U0&amp;row=3611&amp;col=7&amp;number=1.04e-05&amp;sourceID=14","1.04e-05")</f>
        <v>1.04e-05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HYPERLINK("http://141.218.60.56/~jnz1568/getInfo.php?workbook=14_04.xlsx&amp;sheet=U0&amp;row=3612&amp;col=6&amp;number=3.8&amp;sourceID=14","3.8")</f>
        <v>3.8</v>
      </c>
      <c r="G3612" s="4" t="str">
        <f>HYPERLINK("http://141.218.60.56/~jnz1568/getInfo.php?workbook=14_04.xlsx&amp;sheet=U0&amp;row=3612&amp;col=7&amp;number=1.04e-05&amp;sourceID=14","1.04e-05")</f>
        <v>1.04e-05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HYPERLINK("http://141.218.60.56/~jnz1568/getInfo.php?workbook=14_04.xlsx&amp;sheet=U0&amp;row=3613&amp;col=6&amp;number=3.9&amp;sourceID=14","3.9")</f>
        <v>3.9</v>
      </c>
      <c r="G3613" s="4" t="str">
        <f>HYPERLINK("http://141.218.60.56/~jnz1568/getInfo.php?workbook=14_04.xlsx&amp;sheet=U0&amp;row=3613&amp;col=7&amp;number=1.04e-05&amp;sourceID=14","1.04e-05")</f>
        <v>1.04e-05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HYPERLINK("http://141.218.60.56/~jnz1568/getInfo.php?workbook=14_04.xlsx&amp;sheet=U0&amp;row=3614&amp;col=6&amp;number=4&amp;sourceID=14","4")</f>
        <v>4</v>
      </c>
      <c r="G3614" s="4" t="str">
        <f>HYPERLINK("http://141.218.60.56/~jnz1568/getInfo.php?workbook=14_04.xlsx&amp;sheet=U0&amp;row=3614&amp;col=7&amp;number=1.04e-05&amp;sourceID=14","1.04e-05")</f>
        <v>1.04e-05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HYPERLINK("http://141.218.60.56/~jnz1568/getInfo.php?workbook=14_04.xlsx&amp;sheet=U0&amp;row=3615&amp;col=6&amp;number=4.1&amp;sourceID=14","4.1")</f>
        <v>4.1</v>
      </c>
      <c r="G3615" s="4" t="str">
        <f>HYPERLINK("http://141.218.60.56/~jnz1568/getInfo.php?workbook=14_04.xlsx&amp;sheet=U0&amp;row=3615&amp;col=7&amp;number=1.04e-05&amp;sourceID=14","1.04e-05")</f>
        <v>1.04e-05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HYPERLINK("http://141.218.60.56/~jnz1568/getInfo.php?workbook=14_04.xlsx&amp;sheet=U0&amp;row=3616&amp;col=6&amp;number=4.2&amp;sourceID=14","4.2")</f>
        <v>4.2</v>
      </c>
      <c r="G3616" s="4" t="str">
        <f>HYPERLINK("http://141.218.60.56/~jnz1568/getInfo.php?workbook=14_04.xlsx&amp;sheet=U0&amp;row=3616&amp;col=7&amp;number=1.04e-05&amp;sourceID=14","1.04e-05")</f>
        <v>1.04e-05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HYPERLINK("http://141.218.60.56/~jnz1568/getInfo.php?workbook=14_04.xlsx&amp;sheet=U0&amp;row=3617&amp;col=6&amp;number=4.3&amp;sourceID=14","4.3")</f>
        <v>4.3</v>
      </c>
      <c r="G3617" s="4" t="str">
        <f>HYPERLINK("http://141.218.60.56/~jnz1568/getInfo.php?workbook=14_04.xlsx&amp;sheet=U0&amp;row=3617&amp;col=7&amp;number=1.04e-05&amp;sourceID=14","1.04e-05")</f>
        <v>1.04e-05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HYPERLINK("http://141.218.60.56/~jnz1568/getInfo.php?workbook=14_04.xlsx&amp;sheet=U0&amp;row=3618&amp;col=6&amp;number=4.4&amp;sourceID=14","4.4")</f>
        <v>4.4</v>
      </c>
      <c r="G3618" s="4" t="str">
        <f>HYPERLINK("http://141.218.60.56/~jnz1568/getInfo.php?workbook=14_04.xlsx&amp;sheet=U0&amp;row=3618&amp;col=7&amp;number=1.04e-05&amp;sourceID=14","1.04e-05")</f>
        <v>1.04e-05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HYPERLINK("http://141.218.60.56/~jnz1568/getInfo.php?workbook=14_04.xlsx&amp;sheet=U0&amp;row=3619&amp;col=6&amp;number=4.5&amp;sourceID=14","4.5")</f>
        <v>4.5</v>
      </c>
      <c r="G3619" s="4" t="str">
        <f>HYPERLINK("http://141.218.60.56/~jnz1568/getInfo.php?workbook=14_04.xlsx&amp;sheet=U0&amp;row=3619&amp;col=7&amp;number=1.04e-05&amp;sourceID=14","1.04e-05")</f>
        <v>1.04e-05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HYPERLINK("http://141.218.60.56/~jnz1568/getInfo.php?workbook=14_04.xlsx&amp;sheet=U0&amp;row=3620&amp;col=6&amp;number=4.6&amp;sourceID=14","4.6")</f>
        <v>4.6</v>
      </c>
      <c r="G3620" s="4" t="str">
        <f>HYPERLINK("http://141.218.60.56/~jnz1568/getInfo.php?workbook=14_04.xlsx&amp;sheet=U0&amp;row=3620&amp;col=7&amp;number=1.04e-05&amp;sourceID=14","1.04e-05")</f>
        <v>1.04e-05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HYPERLINK("http://141.218.60.56/~jnz1568/getInfo.php?workbook=14_04.xlsx&amp;sheet=U0&amp;row=3621&amp;col=6&amp;number=4.7&amp;sourceID=14","4.7")</f>
        <v>4.7</v>
      </c>
      <c r="G3621" s="4" t="str">
        <f>HYPERLINK("http://141.218.60.56/~jnz1568/getInfo.php?workbook=14_04.xlsx&amp;sheet=U0&amp;row=3621&amp;col=7&amp;number=1.04e-05&amp;sourceID=14","1.04e-05")</f>
        <v>1.04e-05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HYPERLINK("http://141.218.60.56/~jnz1568/getInfo.php?workbook=14_04.xlsx&amp;sheet=U0&amp;row=3622&amp;col=6&amp;number=4.8&amp;sourceID=14","4.8")</f>
        <v>4.8</v>
      </c>
      <c r="G3622" s="4" t="str">
        <f>HYPERLINK("http://141.218.60.56/~jnz1568/getInfo.php?workbook=14_04.xlsx&amp;sheet=U0&amp;row=3622&amp;col=7&amp;number=1.04e-05&amp;sourceID=14","1.04e-05")</f>
        <v>1.04e-05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HYPERLINK("http://141.218.60.56/~jnz1568/getInfo.php?workbook=14_04.xlsx&amp;sheet=U0&amp;row=3623&amp;col=6&amp;number=4.9&amp;sourceID=14","4.9")</f>
        <v>4.9</v>
      </c>
      <c r="G3623" s="4" t="str">
        <f>HYPERLINK("http://141.218.60.56/~jnz1568/getInfo.php?workbook=14_04.xlsx&amp;sheet=U0&amp;row=3623&amp;col=7&amp;number=1.03e-05&amp;sourceID=14","1.03e-05")</f>
        <v>1.03e-05</v>
      </c>
    </row>
    <row r="3624" spans="1:7">
      <c r="A3624" s="3">
        <v>14</v>
      </c>
      <c r="B3624" s="3">
        <v>4</v>
      </c>
      <c r="C3624" s="3">
        <v>2</v>
      </c>
      <c r="D3624" s="3">
        <v>65</v>
      </c>
      <c r="E3624" s="3">
        <v>1</v>
      </c>
      <c r="F3624" s="4" t="str">
        <f>HYPERLINK("http://141.218.60.56/~jnz1568/getInfo.php?workbook=14_04.xlsx&amp;sheet=U0&amp;row=3624&amp;col=6&amp;number=3&amp;sourceID=14","3")</f>
        <v>3</v>
      </c>
      <c r="G3624" s="4" t="str">
        <f>HYPERLINK("http://141.218.60.56/~jnz1568/getInfo.php?workbook=14_04.xlsx&amp;sheet=U0&amp;row=3624&amp;col=7&amp;number=0.000418&amp;sourceID=14","0.000418")</f>
        <v>0.000418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HYPERLINK("http://141.218.60.56/~jnz1568/getInfo.php?workbook=14_04.xlsx&amp;sheet=U0&amp;row=3625&amp;col=6&amp;number=3.1&amp;sourceID=14","3.1")</f>
        <v>3.1</v>
      </c>
      <c r="G3625" s="4" t="str">
        <f>HYPERLINK("http://141.218.60.56/~jnz1568/getInfo.php?workbook=14_04.xlsx&amp;sheet=U0&amp;row=3625&amp;col=7&amp;number=0.000418&amp;sourceID=14","0.000418")</f>
        <v>0.000418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HYPERLINK("http://141.218.60.56/~jnz1568/getInfo.php?workbook=14_04.xlsx&amp;sheet=U0&amp;row=3626&amp;col=6&amp;number=3.2&amp;sourceID=14","3.2")</f>
        <v>3.2</v>
      </c>
      <c r="G3626" s="4" t="str">
        <f>HYPERLINK("http://141.218.60.56/~jnz1568/getInfo.php?workbook=14_04.xlsx&amp;sheet=U0&amp;row=3626&amp;col=7&amp;number=0.000418&amp;sourceID=14","0.000418")</f>
        <v>0.000418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HYPERLINK("http://141.218.60.56/~jnz1568/getInfo.php?workbook=14_04.xlsx&amp;sheet=U0&amp;row=3627&amp;col=6&amp;number=3.3&amp;sourceID=14","3.3")</f>
        <v>3.3</v>
      </c>
      <c r="G3627" s="4" t="str">
        <f>HYPERLINK("http://141.218.60.56/~jnz1568/getInfo.php?workbook=14_04.xlsx&amp;sheet=U0&amp;row=3627&amp;col=7&amp;number=0.000418&amp;sourceID=14","0.000418")</f>
        <v>0.000418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HYPERLINK("http://141.218.60.56/~jnz1568/getInfo.php?workbook=14_04.xlsx&amp;sheet=U0&amp;row=3628&amp;col=6&amp;number=3.4&amp;sourceID=14","3.4")</f>
        <v>3.4</v>
      </c>
      <c r="G3628" s="4" t="str">
        <f>HYPERLINK("http://141.218.60.56/~jnz1568/getInfo.php?workbook=14_04.xlsx&amp;sheet=U0&amp;row=3628&amp;col=7&amp;number=0.000418&amp;sourceID=14","0.000418")</f>
        <v>0.000418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HYPERLINK("http://141.218.60.56/~jnz1568/getInfo.php?workbook=14_04.xlsx&amp;sheet=U0&amp;row=3629&amp;col=6&amp;number=3.5&amp;sourceID=14","3.5")</f>
        <v>3.5</v>
      </c>
      <c r="G3629" s="4" t="str">
        <f>HYPERLINK("http://141.218.60.56/~jnz1568/getInfo.php?workbook=14_04.xlsx&amp;sheet=U0&amp;row=3629&amp;col=7&amp;number=0.000418&amp;sourceID=14","0.000418")</f>
        <v>0.000418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HYPERLINK("http://141.218.60.56/~jnz1568/getInfo.php?workbook=14_04.xlsx&amp;sheet=U0&amp;row=3630&amp;col=6&amp;number=3.6&amp;sourceID=14","3.6")</f>
        <v>3.6</v>
      </c>
      <c r="G3630" s="4" t="str">
        <f>HYPERLINK("http://141.218.60.56/~jnz1568/getInfo.php?workbook=14_04.xlsx&amp;sheet=U0&amp;row=3630&amp;col=7&amp;number=0.000418&amp;sourceID=14","0.000418")</f>
        <v>0.000418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HYPERLINK("http://141.218.60.56/~jnz1568/getInfo.php?workbook=14_04.xlsx&amp;sheet=U0&amp;row=3631&amp;col=6&amp;number=3.7&amp;sourceID=14","3.7")</f>
        <v>3.7</v>
      </c>
      <c r="G3631" s="4" t="str">
        <f>HYPERLINK("http://141.218.60.56/~jnz1568/getInfo.php?workbook=14_04.xlsx&amp;sheet=U0&amp;row=3631&amp;col=7&amp;number=0.000419&amp;sourceID=14","0.000419")</f>
        <v>0.000419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HYPERLINK("http://141.218.60.56/~jnz1568/getInfo.php?workbook=14_04.xlsx&amp;sheet=U0&amp;row=3632&amp;col=6&amp;number=3.8&amp;sourceID=14","3.8")</f>
        <v>3.8</v>
      </c>
      <c r="G3632" s="4" t="str">
        <f>HYPERLINK("http://141.218.60.56/~jnz1568/getInfo.php?workbook=14_04.xlsx&amp;sheet=U0&amp;row=3632&amp;col=7&amp;number=0.000419&amp;sourceID=14","0.000419")</f>
        <v>0.000419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HYPERLINK("http://141.218.60.56/~jnz1568/getInfo.php?workbook=14_04.xlsx&amp;sheet=U0&amp;row=3633&amp;col=6&amp;number=3.9&amp;sourceID=14","3.9")</f>
        <v>3.9</v>
      </c>
      <c r="G3633" s="4" t="str">
        <f>HYPERLINK("http://141.218.60.56/~jnz1568/getInfo.php?workbook=14_04.xlsx&amp;sheet=U0&amp;row=3633&amp;col=7&amp;number=0.000419&amp;sourceID=14","0.000419")</f>
        <v>0.000419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HYPERLINK("http://141.218.60.56/~jnz1568/getInfo.php?workbook=14_04.xlsx&amp;sheet=U0&amp;row=3634&amp;col=6&amp;number=4&amp;sourceID=14","4")</f>
        <v>4</v>
      </c>
      <c r="G3634" s="4" t="str">
        <f>HYPERLINK("http://141.218.60.56/~jnz1568/getInfo.php?workbook=14_04.xlsx&amp;sheet=U0&amp;row=3634&amp;col=7&amp;number=0.00042&amp;sourceID=14","0.00042")</f>
        <v>0.00042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HYPERLINK("http://141.218.60.56/~jnz1568/getInfo.php?workbook=14_04.xlsx&amp;sheet=U0&amp;row=3635&amp;col=6&amp;number=4.1&amp;sourceID=14","4.1")</f>
        <v>4.1</v>
      </c>
      <c r="G3635" s="4" t="str">
        <f>HYPERLINK("http://141.218.60.56/~jnz1568/getInfo.php?workbook=14_04.xlsx&amp;sheet=U0&amp;row=3635&amp;col=7&amp;number=0.00042&amp;sourceID=14","0.00042")</f>
        <v>0.00042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HYPERLINK("http://141.218.60.56/~jnz1568/getInfo.php?workbook=14_04.xlsx&amp;sheet=U0&amp;row=3636&amp;col=6&amp;number=4.2&amp;sourceID=14","4.2")</f>
        <v>4.2</v>
      </c>
      <c r="G3636" s="4" t="str">
        <f>HYPERLINK("http://141.218.60.56/~jnz1568/getInfo.php?workbook=14_04.xlsx&amp;sheet=U0&amp;row=3636&amp;col=7&amp;number=0.000421&amp;sourceID=14","0.000421")</f>
        <v>0.000421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HYPERLINK("http://141.218.60.56/~jnz1568/getInfo.php?workbook=14_04.xlsx&amp;sheet=U0&amp;row=3637&amp;col=6&amp;number=4.3&amp;sourceID=14","4.3")</f>
        <v>4.3</v>
      </c>
      <c r="G3637" s="4" t="str">
        <f>HYPERLINK("http://141.218.60.56/~jnz1568/getInfo.php?workbook=14_04.xlsx&amp;sheet=U0&amp;row=3637&amp;col=7&amp;number=0.000422&amp;sourceID=14","0.000422")</f>
        <v>0.000422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HYPERLINK("http://141.218.60.56/~jnz1568/getInfo.php?workbook=14_04.xlsx&amp;sheet=U0&amp;row=3638&amp;col=6&amp;number=4.4&amp;sourceID=14","4.4")</f>
        <v>4.4</v>
      </c>
      <c r="G3638" s="4" t="str">
        <f>HYPERLINK("http://141.218.60.56/~jnz1568/getInfo.php?workbook=14_04.xlsx&amp;sheet=U0&amp;row=3638&amp;col=7&amp;number=0.000423&amp;sourceID=14","0.000423")</f>
        <v>0.000423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HYPERLINK("http://141.218.60.56/~jnz1568/getInfo.php?workbook=14_04.xlsx&amp;sheet=U0&amp;row=3639&amp;col=6&amp;number=4.5&amp;sourceID=14","4.5")</f>
        <v>4.5</v>
      </c>
      <c r="G3639" s="4" t="str">
        <f>HYPERLINK("http://141.218.60.56/~jnz1568/getInfo.php?workbook=14_04.xlsx&amp;sheet=U0&amp;row=3639&amp;col=7&amp;number=0.000424&amp;sourceID=14","0.000424")</f>
        <v>0.000424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HYPERLINK("http://141.218.60.56/~jnz1568/getInfo.php?workbook=14_04.xlsx&amp;sheet=U0&amp;row=3640&amp;col=6&amp;number=4.6&amp;sourceID=14","4.6")</f>
        <v>4.6</v>
      </c>
      <c r="G3640" s="4" t="str">
        <f>HYPERLINK("http://141.218.60.56/~jnz1568/getInfo.php?workbook=14_04.xlsx&amp;sheet=U0&amp;row=3640&amp;col=7&amp;number=0.000426&amp;sourceID=14","0.000426")</f>
        <v>0.000426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HYPERLINK("http://141.218.60.56/~jnz1568/getInfo.php?workbook=14_04.xlsx&amp;sheet=U0&amp;row=3641&amp;col=6&amp;number=4.7&amp;sourceID=14","4.7")</f>
        <v>4.7</v>
      </c>
      <c r="G3641" s="4" t="str">
        <f>HYPERLINK("http://141.218.60.56/~jnz1568/getInfo.php?workbook=14_04.xlsx&amp;sheet=U0&amp;row=3641&amp;col=7&amp;number=0.000429&amp;sourceID=14","0.000429")</f>
        <v>0.000429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HYPERLINK("http://141.218.60.56/~jnz1568/getInfo.php?workbook=14_04.xlsx&amp;sheet=U0&amp;row=3642&amp;col=6&amp;number=4.8&amp;sourceID=14","4.8")</f>
        <v>4.8</v>
      </c>
      <c r="G3642" s="4" t="str">
        <f>HYPERLINK("http://141.218.60.56/~jnz1568/getInfo.php?workbook=14_04.xlsx&amp;sheet=U0&amp;row=3642&amp;col=7&amp;number=0.000431&amp;sourceID=14","0.000431")</f>
        <v>0.000431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HYPERLINK("http://141.218.60.56/~jnz1568/getInfo.php?workbook=14_04.xlsx&amp;sheet=U0&amp;row=3643&amp;col=6&amp;number=4.9&amp;sourceID=14","4.9")</f>
        <v>4.9</v>
      </c>
      <c r="G3643" s="4" t="str">
        <f>HYPERLINK("http://141.218.60.56/~jnz1568/getInfo.php?workbook=14_04.xlsx&amp;sheet=U0&amp;row=3643&amp;col=7&amp;number=0.000435&amp;sourceID=14","0.000435")</f>
        <v>0.000435</v>
      </c>
    </row>
    <row r="3644" spans="1:7">
      <c r="A3644" s="3">
        <v>14</v>
      </c>
      <c r="B3644" s="3">
        <v>4</v>
      </c>
      <c r="C3644" s="3">
        <v>2</v>
      </c>
      <c r="D3644" s="3">
        <v>66</v>
      </c>
      <c r="E3644" s="3">
        <v>1</v>
      </c>
      <c r="F3644" s="4" t="str">
        <f>HYPERLINK("http://141.218.60.56/~jnz1568/getInfo.php?workbook=14_04.xlsx&amp;sheet=U0&amp;row=3644&amp;col=6&amp;number=3&amp;sourceID=14","3")</f>
        <v>3</v>
      </c>
      <c r="G3644" s="4" t="str">
        <f>HYPERLINK("http://141.218.60.56/~jnz1568/getInfo.php?workbook=14_04.xlsx&amp;sheet=U0&amp;row=3644&amp;col=7&amp;number=0.0002&amp;sourceID=14","0.0002")</f>
        <v>0.0002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HYPERLINK("http://141.218.60.56/~jnz1568/getInfo.php?workbook=14_04.xlsx&amp;sheet=U0&amp;row=3645&amp;col=6&amp;number=3.1&amp;sourceID=14","3.1")</f>
        <v>3.1</v>
      </c>
      <c r="G3645" s="4" t="str">
        <f>HYPERLINK("http://141.218.60.56/~jnz1568/getInfo.php?workbook=14_04.xlsx&amp;sheet=U0&amp;row=3645&amp;col=7&amp;number=0.0002&amp;sourceID=14","0.0002")</f>
        <v>0.0002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HYPERLINK("http://141.218.60.56/~jnz1568/getInfo.php?workbook=14_04.xlsx&amp;sheet=U0&amp;row=3646&amp;col=6&amp;number=3.2&amp;sourceID=14","3.2")</f>
        <v>3.2</v>
      </c>
      <c r="G3646" s="4" t="str">
        <f>HYPERLINK("http://141.218.60.56/~jnz1568/getInfo.php?workbook=14_04.xlsx&amp;sheet=U0&amp;row=3646&amp;col=7&amp;number=0.0002&amp;sourceID=14","0.0002")</f>
        <v>0.0002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HYPERLINK("http://141.218.60.56/~jnz1568/getInfo.php?workbook=14_04.xlsx&amp;sheet=U0&amp;row=3647&amp;col=6&amp;number=3.3&amp;sourceID=14","3.3")</f>
        <v>3.3</v>
      </c>
      <c r="G3647" s="4" t="str">
        <f>HYPERLINK("http://141.218.60.56/~jnz1568/getInfo.php?workbook=14_04.xlsx&amp;sheet=U0&amp;row=3647&amp;col=7&amp;number=0.0002&amp;sourceID=14","0.0002")</f>
        <v>0.0002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HYPERLINK("http://141.218.60.56/~jnz1568/getInfo.php?workbook=14_04.xlsx&amp;sheet=U0&amp;row=3648&amp;col=6&amp;number=3.4&amp;sourceID=14","3.4")</f>
        <v>3.4</v>
      </c>
      <c r="G3648" s="4" t="str">
        <f>HYPERLINK("http://141.218.60.56/~jnz1568/getInfo.php?workbook=14_04.xlsx&amp;sheet=U0&amp;row=3648&amp;col=7&amp;number=0.0002&amp;sourceID=14","0.0002")</f>
        <v>0.0002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HYPERLINK("http://141.218.60.56/~jnz1568/getInfo.php?workbook=14_04.xlsx&amp;sheet=U0&amp;row=3649&amp;col=6&amp;number=3.5&amp;sourceID=14","3.5")</f>
        <v>3.5</v>
      </c>
      <c r="G3649" s="4" t="str">
        <f>HYPERLINK("http://141.218.60.56/~jnz1568/getInfo.php?workbook=14_04.xlsx&amp;sheet=U0&amp;row=3649&amp;col=7&amp;number=0.0002&amp;sourceID=14","0.0002")</f>
        <v>0.0002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HYPERLINK("http://141.218.60.56/~jnz1568/getInfo.php?workbook=14_04.xlsx&amp;sheet=U0&amp;row=3650&amp;col=6&amp;number=3.6&amp;sourceID=14","3.6")</f>
        <v>3.6</v>
      </c>
      <c r="G3650" s="4" t="str">
        <f>HYPERLINK("http://141.218.60.56/~jnz1568/getInfo.php?workbook=14_04.xlsx&amp;sheet=U0&amp;row=3650&amp;col=7&amp;number=0.0002&amp;sourceID=14","0.0002")</f>
        <v>0.0002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HYPERLINK("http://141.218.60.56/~jnz1568/getInfo.php?workbook=14_04.xlsx&amp;sheet=U0&amp;row=3651&amp;col=6&amp;number=3.7&amp;sourceID=14","3.7")</f>
        <v>3.7</v>
      </c>
      <c r="G3651" s="4" t="str">
        <f>HYPERLINK("http://141.218.60.56/~jnz1568/getInfo.php?workbook=14_04.xlsx&amp;sheet=U0&amp;row=3651&amp;col=7&amp;number=0.0002&amp;sourceID=14","0.0002")</f>
        <v>0.0002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HYPERLINK("http://141.218.60.56/~jnz1568/getInfo.php?workbook=14_04.xlsx&amp;sheet=U0&amp;row=3652&amp;col=6&amp;number=3.8&amp;sourceID=14","3.8")</f>
        <v>3.8</v>
      </c>
      <c r="G3652" s="4" t="str">
        <f>HYPERLINK("http://141.218.60.56/~jnz1568/getInfo.php?workbook=14_04.xlsx&amp;sheet=U0&amp;row=3652&amp;col=7&amp;number=0.0002&amp;sourceID=14","0.0002")</f>
        <v>0.0002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HYPERLINK("http://141.218.60.56/~jnz1568/getInfo.php?workbook=14_04.xlsx&amp;sheet=U0&amp;row=3653&amp;col=6&amp;number=3.9&amp;sourceID=14","3.9")</f>
        <v>3.9</v>
      </c>
      <c r="G3653" s="4" t="str">
        <f>HYPERLINK("http://141.218.60.56/~jnz1568/getInfo.php?workbook=14_04.xlsx&amp;sheet=U0&amp;row=3653&amp;col=7&amp;number=0.0002&amp;sourceID=14","0.0002")</f>
        <v>0.0002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HYPERLINK("http://141.218.60.56/~jnz1568/getInfo.php?workbook=14_04.xlsx&amp;sheet=U0&amp;row=3654&amp;col=6&amp;number=4&amp;sourceID=14","4")</f>
        <v>4</v>
      </c>
      <c r="G3654" s="4" t="str">
        <f>HYPERLINK("http://141.218.60.56/~jnz1568/getInfo.php?workbook=14_04.xlsx&amp;sheet=U0&amp;row=3654&amp;col=7&amp;number=0.0002&amp;sourceID=14","0.0002")</f>
        <v>0.0002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HYPERLINK("http://141.218.60.56/~jnz1568/getInfo.php?workbook=14_04.xlsx&amp;sheet=U0&amp;row=3655&amp;col=6&amp;number=4.1&amp;sourceID=14","4.1")</f>
        <v>4.1</v>
      </c>
      <c r="G3655" s="4" t="str">
        <f>HYPERLINK("http://141.218.60.56/~jnz1568/getInfo.php?workbook=14_04.xlsx&amp;sheet=U0&amp;row=3655&amp;col=7&amp;number=0.0002&amp;sourceID=14","0.0002")</f>
        <v>0.0002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HYPERLINK("http://141.218.60.56/~jnz1568/getInfo.php?workbook=14_04.xlsx&amp;sheet=U0&amp;row=3656&amp;col=6&amp;number=4.2&amp;sourceID=14","4.2")</f>
        <v>4.2</v>
      </c>
      <c r="G3656" s="4" t="str">
        <f>HYPERLINK("http://141.218.60.56/~jnz1568/getInfo.php?workbook=14_04.xlsx&amp;sheet=U0&amp;row=3656&amp;col=7&amp;number=0.0002&amp;sourceID=14","0.0002")</f>
        <v>0.0002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HYPERLINK("http://141.218.60.56/~jnz1568/getInfo.php?workbook=14_04.xlsx&amp;sheet=U0&amp;row=3657&amp;col=6&amp;number=4.3&amp;sourceID=14","4.3")</f>
        <v>4.3</v>
      </c>
      <c r="G3657" s="4" t="str">
        <f>HYPERLINK("http://141.218.60.56/~jnz1568/getInfo.php?workbook=14_04.xlsx&amp;sheet=U0&amp;row=3657&amp;col=7&amp;number=0.000199&amp;sourceID=14","0.000199")</f>
        <v>0.000199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HYPERLINK("http://141.218.60.56/~jnz1568/getInfo.php?workbook=14_04.xlsx&amp;sheet=U0&amp;row=3658&amp;col=6&amp;number=4.4&amp;sourceID=14","4.4")</f>
        <v>4.4</v>
      </c>
      <c r="G3658" s="4" t="str">
        <f>HYPERLINK("http://141.218.60.56/~jnz1568/getInfo.php?workbook=14_04.xlsx&amp;sheet=U0&amp;row=3658&amp;col=7&amp;number=0.000199&amp;sourceID=14","0.000199")</f>
        <v>0.000199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HYPERLINK("http://141.218.60.56/~jnz1568/getInfo.php?workbook=14_04.xlsx&amp;sheet=U0&amp;row=3659&amp;col=6&amp;number=4.5&amp;sourceID=14","4.5")</f>
        <v>4.5</v>
      </c>
      <c r="G3659" s="4" t="str">
        <f>HYPERLINK("http://141.218.60.56/~jnz1568/getInfo.php?workbook=14_04.xlsx&amp;sheet=U0&amp;row=3659&amp;col=7&amp;number=0.000199&amp;sourceID=14","0.000199")</f>
        <v>0.000199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HYPERLINK("http://141.218.60.56/~jnz1568/getInfo.php?workbook=14_04.xlsx&amp;sheet=U0&amp;row=3660&amp;col=6&amp;number=4.6&amp;sourceID=14","4.6")</f>
        <v>4.6</v>
      </c>
      <c r="G3660" s="4" t="str">
        <f>HYPERLINK("http://141.218.60.56/~jnz1568/getInfo.php?workbook=14_04.xlsx&amp;sheet=U0&amp;row=3660&amp;col=7&amp;number=0.000199&amp;sourceID=14","0.000199")</f>
        <v>0.000199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HYPERLINK("http://141.218.60.56/~jnz1568/getInfo.php?workbook=14_04.xlsx&amp;sheet=U0&amp;row=3661&amp;col=6&amp;number=4.7&amp;sourceID=14","4.7")</f>
        <v>4.7</v>
      </c>
      <c r="G3661" s="4" t="str">
        <f>HYPERLINK("http://141.218.60.56/~jnz1568/getInfo.php?workbook=14_04.xlsx&amp;sheet=U0&amp;row=3661&amp;col=7&amp;number=0.000198&amp;sourceID=14","0.000198")</f>
        <v>0.000198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HYPERLINK("http://141.218.60.56/~jnz1568/getInfo.php?workbook=14_04.xlsx&amp;sheet=U0&amp;row=3662&amp;col=6&amp;number=4.8&amp;sourceID=14","4.8")</f>
        <v>4.8</v>
      </c>
      <c r="G3662" s="4" t="str">
        <f>HYPERLINK("http://141.218.60.56/~jnz1568/getInfo.php?workbook=14_04.xlsx&amp;sheet=U0&amp;row=3662&amp;col=7&amp;number=0.000198&amp;sourceID=14","0.000198")</f>
        <v>0.000198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HYPERLINK("http://141.218.60.56/~jnz1568/getInfo.php?workbook=14_04.xlsx&amp;sheet=U0&amp;row=3663&amp;col=6&amp;number=4.9&amp;sourceID=14","4.9")</f>
        <v>4.9</v>
      </c>
      <c r="G3663" s="4" t="str">
        <f>HYPERLINK("http://141.218.60.56/~jnz1568/getInfo.php?workbook=14_04.xlsx&amp;sheet=U0&amp;row=3663&amp;col=7&amp;number=0.000197&amp;sourceID=14","0.000197")</f>
        <v>0.000197</v>
      </c>
    </row>
    <row r="3664" spans="1:7">
      <c r="A3664" s="3">
        <v>14</v>
      </c>
      <c r="B3664" s="3">
        <v>4</v>
      </c>
      <c r="C3664" s="3">
        <v>2</v>
      </c>
      <c r="D3664" s="3">
        <v>67</v>
      </c>
      <c r="E3664" s="3">
        <v>1</v>
      </c>
      <c r="F3664" s="4" t="str">
        <f>HYPERLINK("http://141.218.60.56/~jnz1568/getInfo.php?workbook=14_04.xlsx&amp;sheet=U0&amp;row=3664&amp;col=6&amp;number=3&amp;sourceID=14","3")</f>
        <v>3</v>
      </c>
      <c r="G3664" s="4" t="str">
        <f>HYPERLINK("http://141.218.60.56/~jnz1568/getInfo.php?workbook=14_04.xlsx&amp;sheet=U0&amp;row=3664&amp;col=7&amp;number=0.00012&amp;sourceID=14","0.00012")</f>
        <v>0.00012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HYPERLINK("http://141.218.60.56/~jnz1568/getInfo.php?workbook=14_04.xlsx&amp;sheet=U0&amp;row=3665&amp;col=6&amp;number=3.1&amp;sourceID=14","3.1")</f>
        <v>3.1</v>
      </c>
      <c r="G3665" s="4" t="str">
        <f>HYPERLINK("http://141.218.60.56/~jnz1568/getInfo.php?workbook=14_04.xlsx&amp;sheet=U0&amp;row=3665&amp;col=7&amp;number=0.00012&amp;sourceID=14","0.00012")</f>
        <v>0.00012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HYPERLINK("http://141.218.60.56/~jnz1568/getInfo.php?workbook=14_04.xlsx&amp;sheet=U0&amp;row=3666&amp;col=6&amp;number=3.2&amp;sourceID=14","3.2")</f>
        <v>3.2</v>
      </c>
      <c r="G3666" s="4" t="str">
        <f>HYPERLINK("http://141.218.60.56/~jnz1568/getInfo.php?workbook=14_04.xlsx&amp;sheet=U0&amp;row=3666&amp;col=7&amp;number=0.00012&amp;sourceID=14","0.00012")</f>
        <v>0.00012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HYPERLINK("http://141.218.60.56/~jnz1568/getInfo.php?workbook=14_04.xlsx&amp;sheet=U0&amp;row=3667&amp;col=6&amp;number=3.3&amp;sourceID=14","3.3")</f>
        <v>3.3</v>
      </c>
      <c r="G3667" s="4" t="str">
        <f>HYPERLINK("http://141.218.60.56/~jnz1568/getInfo.php?workbook=14_04.xlsx&amp;sheet=U0&amp;row=3667&amp;col=7&amp;number=0.00012&amp;sourceID=14","0.00012")</f>
        <v>0.00012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HYPERLINK("http://141.218.60.56/~jnz1568/getInfo.php?workbook=14_04.xlsx&amp;sheet=U0&amp;row=3668&amp;col=6&amp;number=3.4&amp;sourceID=14","3.4")</f>
        <v>3.4</v>
      </c>
      <c r="G3668" s="4" t="str">
        <f>HYPERLINK("http://141.218.60.56/~jnz1568/getInfo.php?workbook=14_04.xlsx&amp;sheet=U0&amp;row=3668&amp;col=7&amp;number=0.00012&amp;sourceID=14","0.00012")</f>
        <v>0.00012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HYPERLINK("http://141.218.60.56/~jnz1568/getInfo.php?workbook=14_04.xlsx&amp;sheet=U0&amp;row=3669&amp;col=6&amp;number=3.5&amp;sourceID=14","3.5")</f>
        <v>3.5</v>
      </c>
      <c r="G3669" s="4" t="str">
        <f>HYPERLINK("http://141.218.60.56/~jnz1568/getInfo.php?workbook=14_04.xlsx&amp;sheet=U0&amp;row=3669&amp;col=7&amp;number=0.00012&amp;sourceID=14","0.00012")</f>
        <v>0.00012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HYPERLINK("http://141.218.60.56/~jnz1568/getInfo.php?workbook=14_04.xlsx&amp;sheet=U0&amp;row=3670&amp;col=6&amp;number=3.6&amp;sourceID=14","3.6")</f>
        <v>3.6</v>
      </c>
      <c r="G3670" s="4" t="str">
        <f>HYPERLINK("http://141.218.60.56/~jnz1568/getInfo.php?workbook=14_04.xlsx&amp;sheet=U0&amp;row=3670&amp;col=7&amp;number=0.00012&amp;sourceID=14","0.00012")</f>
        <v>0.00012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HYPERLINK("http://141.218.60.56/~jnz1568/getInfo.php?workbook=14_04.xlsx&amp;sheet=U0&amp;row=3671&amp;col=6&amp;number=3.7&amp;sourceID=14","3.7")</f>
        <v>3.7</v>
      </c>
      <c r="G3671" s="4" t="str">
        <f>HYPERLINK("http://141.218.60.56/~jnz1568/getInfo.php?workbook=14_04.xlsx&amp;sheet=U0&amp;row=3671&amp;col=7&amp;number=0.00012&amp;sourceID=14","0.00012")</f>
        <v>0.00012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HYPERLINK("http://141.218.60.56/~jnz1568/getInfo.php?workbook=14_04.xlsx&amp;sheet=U0&amp;row=3672&amp;col=6&amp;number=3.8&amp;sourceID=14","3.8")</f>
        <v>3.8</v>
      </c>
      <c r="G3672" s="4" t="str">
        <f>HYPERLINK("http://141.218.60.56/~jnz1568/getInfo.php?workbook=14_04.xlsx&amp;sheet=U0&amp;row=3672&amp;col=7&amp;number=0.000121&amp;sourceID=14","0.000121")</f>
        <v>0.000121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HYPERLINK("http://141.218.60.56/~jnz1568/getInfo.php?workbook=14_04.xlsx&amp;sheet=U0&amp;row=3673&amp;col=6&amp;number=3.9&amp;sourceID=14","3.9")</f>
        <v>3.9</v>
      </c>
      <c r="G3673" s="4" t="str">
        <f>HYPERLINK("http://141.218.60.56/~jnz1568/getInfo.php?workbook=14_04.xlsx&amp;sheet=U0&amp;row=3673&amp;col=7&amp;number=0.000121&amp;sourceID=14","0.000121")</f>
        <v>0.000121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HYPERLINK("http://141.218.60.56/~jnz1568/getInfo.php?workbook=14_04.xlsx&amp;sheet=U0&amp;row=3674&amp;col=6&amp;number=4&amp;sourceID=14","4")</f>
        <v>4</v>
      </c>
      <c r="G3674" s="4" t="str">
        <f>HYPERLINK("http://141.218.60.56/~jnz1568/getInfo.php?workbook=14_04.xlsx&amp;sheet=U0&amp;row=3674&amp;col=7&amp;number=0.000121&amp;sourceID=14","0.000121")</f>
        <v>0.000121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HYPERLINK("http://141.218.60.56/~jnz1568/getInfo.php?workbook=14_04.xlsx&amp;sheet=U0&amp;row=3675&amp;col=6&amp;number=4.1&amp;sourceID=14","4.1")</f>
        <v>4.1</v>
      </c>
      <c r="G3675" s="4" t="str">
        <f>HYPERLINK("http://141.218.60.56/~jnz1568/getInfo.php?workbook=14_04.xlsx&amp;sheet=U0&amp;row=3675&amp;col=7&amp;number=0.000121&amp;sourceID=14","0.000121")</f>
        <v>0.000121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HYPERLINK("http://141.218.60.56/~jnz1568/getInfo.php?workbook=14_04.xlsx&amp;sheet=U0&amp;row=3676&amp;col=6&amp;number=4.2&amp;sourceID=14","4.2")</f>
        <v>4.2</v>
      </c>
      <c r="G3676" s="4" t="str">
        <f>HYPERLINK("http://141.218.60.56/~jnz1568/getInfo.php?workbook=14_04.xlsx&amp;sheet=U0&amp;row=3676&amp;col=7&amp;number=0.000121&amp;sourceID=14","0.000121")</f>
        <v>0.000121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HYPERLINK("http://141.218.60.56/~jnz1568/getInfo.php?workbook=14_04.xlsx&amp;sheet=U0&amp;row=3677&amp;col=6&amp;number=4.3&amp;sourceID=14","4.3")</f>
        <v>4.3</v>
      </c>
      <c r="G3677" s="4" t="str">
        <f>HYPERLINK("http://141.218.60.56/~jnz1568/getInfo.php?workbook=14_04.xlsx&amp;sheet=U0&amp;row=3677&amp;col=7&amp;number=0.000121&amp;sourceID=14","0.000121")</f>
        <v>0.000121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HYPERLINK("http://141.218.60.56/~jnz1568/getInfo.php?workbook=14_04.xlsx&amp;sheet=U0&amp;row=3678&amp;col=6&amp;number=4.4&amp;sourceID=14","4.4")</f>
        <v>4.4</v>
      </c>
      <c r="G3678" s="4" t="str">
        <f>HYPERLINK("http://141.218.60.56/~jnz1568/getInfo.php?workbook=14_04.xlsx&amp;sheet=U0&amp;row=3678&amp;col=7&amp;number=0.000122&amp;sourceID=14","0.000122")</f>
        <v>0.000122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HYPERLINK("http://141.218.60.56/~jnz1568/getInfo.php?workbook=14_04.xlsx&amp;sheet=U0&amp;row=3679&amp;col=6&amp;number=4.5&amp;sourceID=14","4.5")</f>
        <v>4.5</v>
      </c>
      <c r="G3679" s="4" t="str">
        <f>HYPERLINK("http://141.218.60.56/~jnz1568/getInfo.php?workbook=14_04.xlsx&amp;sheet=U0&amp;row=3679&amp;col=7&amp;number=0.000122&amp;sourceID=14","0.000122")</f>
        <v>0.000122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HYPERLINK("http://141.218.60.56/~jnz1568/getInfo.php?workbook=14_04.xlsx&amp;sheet=U0&amp;row=3680&amp;col=6&amp;number=4.6&amp;sourceID=14","4.6")</f>
        <v>4.6</v>
      </c>
      <c r="G3680" s="4" t="str">
        <f>HYPERLINK("http://141.218.60.56/~jnz1568/getInfo.php?workbook=14_04.xlsx&amp;sheet=U0&amp;row=3680&amp;col=7&amp;number=0.000122&amp;sourceID=14","0.000122")</f>
        <v>0.000122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HYPERLINK("http://141.218.60.56/~jnz1568/getInfo.php?workbook=14_04.xlsx&amp;sheet=U0&amp;row=3681&amp;col=6&amp;number=4.7&amp;sourceID=14","4.7")</f>
        <v>4.7</v>
      </c>
      <c r="G3681" s="4" t="str">
        <f>HYPERLINK("http://141.218.60.56/~jnz1568/getInfo.php?workbook=14_04.xlsx&amp;sheet=U0&amp;row=3681&amp;col=7&amp;number=0.000123&amp;sourceID=14","0.000123")</f>
        <v>0.000123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HYPERLINK("http://141.218.60.56/~jnz1568/getInfo.php?workbook=14_04.xlsx&amp;sheet=U0&amp;row=3682&amp;col=6&amp;number=4.8&amp;sourceID=14","4.8")</f>
        <v>4.8</v>
      </c>
      <c r="G3682" s="4" t="str">
        <f>HYPERLINK("http://141.218.60.56/~jnz1568/getInfo.php?workbook=14_04.xlsx&amp;sheet=U0&amp;row=3682&amp;col=7&amp;number=0.000124&amp;sourceID=14","0.000124")</f>
        <v>0.000124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HYPERLINK("http://141.218.60.56/~jnz1568/getInfo.php?workbook=14_04.xlsx&amp;sheet=U0&amp;row=3683&amp;col=6&amp;number=4.9&amp;sourceID=14","4.9")</f>
        <v>4.9</v>
      </c>
      <c r="G3683" s="4" t="str">
        <f>HYPERLINK("http://141.218.60.56/~jnz1568/getInfo.php?workbook=14_04.xlsx&amp;sheet=U0&amp;row=3683&amp;col=7&amp;number=0.000124&amp;sourceID=14","0.000124")</f>
        <v>0.000124</v>
      </c>
    </row>
    <row r="3684" spans="1:7">
      <c r="A3684" s="3">
        <v>14</v>
      </c>
      <c r="B3684" s="3">
        <v>4</v>
      </c>
      <c r="C3684" s="3">
        <v>2</v>
      </c>
      <c r="D3684" s="3">
        <v>68</v>
      </c>
      <c r="E3684" s="3">
        <v>1</v>
      </c>
      <c r="F3684" s="4" t="str">
        <f>HYPERLINK("http://141.218.60.56/~jnz1568/getInfo.php?workbook=14_04.xlsx&amp;sheet=U0&amp;row=3684&amp;col=6&amp;number=3&amp;sourceID=14","3")</f>
        <v>3</v>
      </c>
      <c r="G3684" s="4" t="str">
        <f>HYPERLINK("http://141.218.60.56/~jnz1568/getInfo.php?workbook=14_04.xlsx&amp;sheet=U0&amp;row=3684&amp;col=7&amp;number=0.000169&amp;sourceID=14","0.000169")</f>
        <v>0.000169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HYPERLINK("http://141.218.60.56/~jnz1568/getInfo.php?workbook=14_04.xlsx&amp;sheet=U0&amp;row=3685&amp;col=6&amp;number=3.1&amp;sourceID=14","3.1")</f>
        <v>3.1</v>
      </c>
      <c r="G3685" s="4" t="str">
        <f>HYPERLINK("http://141.218.60.56/~jnz1568/getInfo.php?workbook=14_04.xlsx&amp;sheet=U0&amp;row=3685&amp;col=7&amp;number=0.000169&amp;sourceID=14","0.000169")</f>
        <v>0.000169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HYPERLINK("http://141.218.60.56/~jnz1568/getInfo.php?workbook=14_04.xlsx&amp;sheet=U0&amp;row=3686&amp;col=6&amp;number=3.2&amp;sourceID=14","3.2")</f>
        <v>3.2</v>
      </c>
      <c r="G3686" s="4" t="str">
        <f>HYPERLINK("http://141.218.60.56/~jnz1568/getInfo.php?workbook=14_04.xlsx&amp;sheet=U0&amp;row=3686&amp;col=7&amp;number=0.000169&amp;sourceID=14","0.000169")</f>
        <v>0.000169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HYPERLINK("http://141.218.60.56/~jnz1568/getInfo.php?workbook=14_04.xlsx&amp;sheet=U0&amp;row=3687&amp;col=6&amp;number=3.3&amp;sourceID=14","3.3")</f>
        <v>3.3</v>
      </c>
      <c r="G3687" s="4" t="str">
        <f>HYPERLINK("http://141.218.60.56/~jnz1568/getInfo.php?workbook=14_04.xlsx&amp;sheet=U0&amp;row=3687&amp;col=7&amp;number=0.000169&amp;sourceID=14","0.000169")</f>
        <v>0.000169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HYPERLINK("http://141.218.60.56/~jnz1568/getInfo.php?workbook=14_04.xlsx&amp;sheet=U0&amp;row=3688&amp;col=6&amp;number=3.4&amp;sourceID=14","3.4")</f>
        <v>3.4</v>
      </c>
      <c r="G3688" s="4" t="str">
        <f>HYPERLINK("http://141.218.60.56/~jnz1568/getInfo.php?workbook=14_04.xlsx&amp;sheet=U0&amp;row=3688&amp;col=7&amp;number=0.000169&amp;sourceID=14","0.000169")</f>
        <v>0.000169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HYPERLINK("http://141.218.60.56/~jnz1568/getInfo.php?workbook=14_04.xlsx&amp;sheet=U0&amp;row=3689&amp;col=6&amp;number=3.5&amp;sourceID=14","3.5")</f>
        <v>3.5</v>
      </c>
      <c r="G3689" s="4" t="str">
        <f>HYPERLINK("http://141.218.60.56/~jnz1568/getInfo.php?workbook=14_04.xlsx&amp;sheet=U0&amp;row=3689&amp;col=7&amp;number=0.000169&amp;sourceID=14","0.000169")</f>
        <v>0.000169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HYPERLINK("http://141.218.60.56/~jnz1568/getInfo.php?workbook=14_04.xlsx&amp;sheet=U0&amp;row=3690&amp;col=6&amp;number=3.6&amp;sourceID=14","3.6")</f>
        <v>3.6</v>
      </c>
      <c r="G3690" s="4" t="str">
        <f>HYPERLINK("http://141.218.60.56/~jnz1568/getInfo.php?workbook=14_04.xlsx&amp;sheet=U0&amp;row=3690&amp;col=7&amp;number=0.000169&amp;sourceID=14","0.000169")</f>
        <v>0.000169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HYPERLINK("http://141.218.60.56/~jnz1568/getInfo.php?workbook=14_04.xlsx&amp;sheet=U0&amp;row=3691&amp;col=6&amp;number=3.7&amp;sourceID=14","3.7")</f>
        <v>3.7</v>
      </c>
      <c r="G3691" s="4" t="str">
        <f>HYPERLINK("http://141.218.60.56/~jnz1568/getInfo.php?workbook=14_04.xlsx&amp;sheet=U0&amp;row=3691&amp;col=7&amp;number=0.000169&amp;sourceID=14","0.000169")</f>
        <v>0.000169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HYPERLINK("http://141.218.60.56/~jnz1568/getInfo.php?workbook=14_04.xlsx&amp;sheet=U0&amp;row=3692&amp;col=6&amp;number=3.8&amp;sourceID=14","3.8")</f>
        <v>3.8</v>
      </c>
      <c r="G3692" s="4" t="str">
        <f>HYPERLINK("http://141.218.60.56/~jnz1568/getInfo.php?workbook=14_04.xlsx&amp;sheet=U0&amp;row=3692&amp;col=7&amp;number=0.000169&amp;sourceID=14","0.000169")</f>
        <v>0.000169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HYPERLINK("http://141.218.60.56/~jnz1568/getInfo.php?workbook=14_04.xlsx&amp;sheet=U0&amp;row=3693&amp;col=6&amp;number=3.9&amp;sourceID=14","3.9")</f>
        <v>3.9</v>
      </c>
      <c r="G3693" s="4" t="str">
        <f>HYPERLINK("http://141.218.60.56/~jnz1568/getInfo.php?workbook=14_04.xlsx&amp;sheet=U0&amp;row=3693&amp;col=7&amp;number=0.000169&amp;sourceID=14","0.000169")</f>
        <v>0.000169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HYPERLINK("http://141.218.60.56/~jnz1568/getInfo.php?workbook=14_04.xlsx&amp;sheet=U0&amp;row=3694&amp;col=6&amp;number=4&amp;sourceID=14","4")</f>
        <v>4</v>
      </c>
      <c r="G3694" s="4" t="str">
        <f>HYPERLINK("http://141.218.60.56/~jnz1568/getInfo.php?workbook=14_04.xlsx&amp;sheet=U0&amp;row=3694&amp;col=7&amp;number=0.000168&amp;sourceID=14","0.000168")</f>
        <v>0.000168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HYPERLINK("http://141.218.60.56/~jnz1568/getInfo.php?workbook=14_04.xlsx&amp;sheet=U0&amp;row=3695&amp;col=6&amp;number=4.1&amp;sourceID=14","4.1")</f>
        <v>4.1</v>
      </c>
      <c r="G3695" s="4" t="str">
        <f>HYPERLINK("http://141.218.60.56/~jnz1568/getInfo.php?workbook=14_04.xlsx&amp;sheet=U0&amp;row=3695&amp;col=7&amp;number=0.000168&amp;sourceID=14","0.000168")</f>
        <v>0.000168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HYPERLINK("http://141.218.60.56/~jnz1568/getInfo.php?workbook=14_04.xlsx&amp;sheet=U0&amp;row=3696&amp;col=6&amp;number=4.2&amp;sourceID=14","4.2")</f>
        <v>4.2</v>
      </c>
      <c r="G3696" s="4" t="str">
        <f>HYPERLINK("http://141.218.60.56/~jnz1568/getInfo.php?workbook=14_04.xlsx&amp;sheet=U0&amp;row=3696&amp;col=7&amp;number=0.000168&amp;sourceID=14","0.000168")</f>
        <v>0.000168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HYPERLINK("http://141.218.60.56/~jnz1568/getInfo.php?workbook=14_04.xlsx&amp;sheet=U0&amp;row=3697&amp;col=6&amp;number=4.3&amp;sourceID=14","4.3")</f>
        <v>4.3</v>
      </c>
      <c r="G3697" s="4" t="str">
        <f>HYPERLINK("http://141.218.60.56/~jnz1568/getInfo.php?workbook=14_04.xlsx&amp;sheet=U0&amp;row=3697&amp;col=7&amp;number=0.000168&amp;sourceID=14","0.000168")</f>
        <v>0.000168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HYPERLINK("http://141.218.60.56/~jnz1568/getInfo.php?workbook=14_04.xlsx&amp;sheet=U0&amp;row=3698&amp;col=6&amp;number=4.4&amp;sourceID=14","4.4")</f>
        <v>4.4</v>
      </c>
      <c r="G3698" s="4" t="str">
        <f>HYPERLINK("http://141.218.60.56/~jnz1568/getInfo.php?workbook=14_04.xlsx&amp;sheet=U0&amp;row=3698&amp;col=7&amp;number=0.000168&amp;sourceID=14","0.000168")</f>
        <v>0.000168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HYPERLINK("http://141.218.60.56/~jnz1568/getInfo.php?workbook=14_04.xlsx&amp;sheet=U0&amp;row=3699&amp;col=6&amp;number=4.5&amp;sourceID=14","4.5")</f>
        <v>4.5</v>
      </c>
      <c r="G3699" s="4" t="str">
        <f>HYPERLINK("http://141.218.60.56/~jnz1568/getInfo.php?workbook=14_04.xlsx&amp;sheet=U0&amp;row=3699&amp;col=7&amp;number=0.000168&amp;sourceID=14","0.000168")</f>
        <v>0.000168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HYPERLINK("http://141.218.60.56/~jnz1568/getInfo.php?workbook=14_04.xlsx&amp;sheet=U0&amp;row=3700&amp;col=6&amp;number=4.6&amp;sourceID=14","4.6")</f>
        <v>4.6</v>
      </c>
      <c r="G3700" s="4" t="str">
        <f>HYPERLINK("http://141.218.60.56/~jnz1568/getInfo.php?workbook=14_04.xlsx&amp;sheet=U0&amp;row=3700&amp;col=7&amp;number=0.000168&amp;sourceID=14","0.000168")</f>
        <v>0.000168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HYPERLINK("http://141.218.60.56/~jnz1568/getInfo.php?workbook=14_04.xlsx&amp;sheet=U0&amp;row=3701&amp;col=6&amp;number=4.7&amp;sourceID=14","4.7")</f>
        <v>4.7</v>
      </c>
      <c r="G3701" s="4" t="str">
        <f>HYPERLINK("http://141.218.60.56/~jnz1568/getInfo.php?workbook=14_04.xlsx&amp;sheet=U0&amp;row=3701&amp;col=7&amp;number=0.000167&amp;sourceID=14","0.000167")</f>
        <v>0.000167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HYPERLINK("http://141.218.60.56/~jnz1568/getInfo.php?workbook=14_04.xlsx&amp;sheet=U0&amp;row=3702&amp;col=6&amp;number=4.8&amp;sourceID=14","4.8")</f>
        <v>4.8</v>
      </c>
      <c r="G3702" s="4" t="str">
        <f>HYPERLINK("http://141.218.60.56/~jnz1568/getInfo.php?workbook=14_04.xlsx&amp;sheet=U0&amp;row=3702&amp;col=7&amp;number=0.000167&amp;sourceID=14","0.000167")</f>
        <v>0.000167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HYPERLINK("http://141.218.60.56/~jnz1568/getInfo.php?workbook=14_04.xlsx&amp;sheet=U0&amp;row=3703&amp;col=6&amp;number=4.9&amp;sourceID=14","4.9")</f>
        <v>4.9</v>
      </c>
      <c r="G3703" s="4" t="str">
        <f>HYPERLINK("http://141.218.60.56/~jnz1568/getInfo.php?workbook=14_04.xlsx&amp;sheet=U0&amp;row=3703&amp;col=7&amp;number=0.000166&amp;sourceID=14","0.000166")</f>
        <v>0.000166</v>
      </c>
    </row>
    <row r="3704" spans="1:7">
      <c r="A3704" s="3">
        <v>14</v>
      </c>
      <c r="B3704" s="3">
        <v>4</v>
      </c>
      <c r="C3704" s="3">
        <v>2</v>
      </c>
      <c r="D3704" s="3">
        <v>69</v>
      </c>
      <c r="E3704" s="3">
        <v>1</v>
      </c>
      <c r="F3704" s="4" t="str">
        <f>HYPERLINK("http://141.218.60.56/~jnz1568/getInfo.php?workbook=14_04.xlsx&amp;sheet=U0&amp;row=3704&amp;col=6&amp;number=3&amp;sourceID=14","3")</f>
        <v>3</v>
      </c>
      <c r="G3704" s="4" t="str">
        <f>HYPERLINK("http://141.218.60.56/~jnz1568/getInfo.php?workbook=14_04.xlsx&amp;sheet=U0&amp;row=3704&amp;col=7&amp;number=0.00234&amp;sourceID=14","0.00234")</f>
        <v>0.00234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HYPERLINK("http://141.218.60.56/~jnz1568/getInfo.php?workbook=14_04.xlsx&amp;sheet=U0&amp;row=3705&amp;col=6&amp;number=3.1&amp;sourceID=14","3.1")</f>
        <v>3.1</v>
      </c>
      <c r="G3705" s="4" t="str">
        <f>HYPERLINK("http://141.218.60.56/~jnz1568/getInfo.php?workbook=14_04.xlsx&amp;sheet=U0&amp;row=3705&amp;col=7&amp;number=0.00234&amp;sourceID=14","0.00234")</f>
        <v>0.00234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HYPERLINK("http://141.218.60.56/~jnz1568/getInfo.php?workbook=14_04.xlsx&amp;sheet=U0&amp;row=3706&amp;col=6&amp;number=3.2&amp;sourceID=14","3.2")</f>
        <v>3.2</v>
      </c>
      <c r="G3706" s="4" t="str">
        <f>HYPERLINK("http://141.218.60.56/~jnz1568/getInfo.php?workbook=14_04.xlsx&amp;sheet=U0&amp;row=3706&amp;col=7&amp;number=0.00234&amp;sourceID=14","0.00234")</f>
        <v>0.00234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HYPERLINK("http://141.218.60.56/~jnz1568/getInfo.php?workbook=14_04.xlsx&amp;sheet=U0&amp;row=3707&amp;col=6&amp;number=3.3&amp;sourceID=14","3.3")</f>
        <v>3.3</v>
      </c>
      <c r="G3707" s="4" t="str">
        <f>HYPERLINK("http://141.218.60.56/~jnz1568/getInfo.php?workbook=14_04.xlsx&amp;sheet=U0&amp;row=3707&amp;col=7&amp;number=0.00234&amp;sourceID=14","0.00234")</f>
        <v>0.00234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HYPERLINK("http://141.218.60.56/~jnz1568/getInfo.php?workbook=14_04.xlsx&amp;sheet=U0&amp;row=3708&amp;col=6&amp;number=3.4&amp;sourceID=14","3.4")</f>
        <v>3.4</v>
      </c>
      <c r="G3708" s="4" t="str">
        <f>HYPERLINK("http://141.218.60.56/~jnz1568/getInfo.php?workbook=14_04.xlsx&amp;sheet=U0&amp;row=3708&amp;col=7&amp;number=0.00234&amp;sourceID=14","0.00234")</f>
        <v>0.00234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HYPERLINK("http://141.218.60.56/~jnz1568/getInfo.php?workbook=14_04.xlsx&amp;sheet=U0&amp;row=3709&amp;col=6&amp;number=3.5&amp;sourceID=14","3.5")</f>
        <v>3.5</v>
      </c>
      <c r="G3709" s="4" t="str">
        <f>HYPERLINK("http://141.218.60.56/~jnz1568/getInfo.php?workbook=14_04.xlsx&amp;sheet=U0&amp;row=3709&amp;col=7&amp;number=0.00234&amp;sourceID=14","0.00234")</f>
        <v>0.00234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HYPERLINK("http://141.218.60.56/~jnz1568/getInfo.php?workbook=14_04.xlsx&amp;sheet=U0&amp;row=3710&amp;col=6&amp;number=3.6&amp;sourceID=14","3.6")</f>
        <v>3.6</v>
      </c>
      <c r="G3710" s="4" t="str">
        <f>HYPERLINK("http://141.218.60.56/~jnz1568/getInfo.php?workbook=14_04.xlsx&amp;sheet=U0&amp;row=3710&amp;col=7&amp;number=0.00234&amp;sourceID=14","0.00234")</f>
        <v>0.00234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HYPERLINK("http://141.218.60.56/~jnz1568/getInfo.php?workbook=14_04.xlsx&amp;sheet=U0&amp;row=3711&amp;col=6&amp;number=3.7&amp;sourceID=14","3.7")</f>
        <v>3.7</v>
      </c>
      <c r="G3711" s="4" t="str">
        <f>HYPERLINK("http://141.218.60.56/~jnz1568/getInfo.php?workbook=14_04.xlsx&amp;sheet=U0&amp;row=3711&amp;col=7&amp;number=0.00234&amp;sourceID=14","0.00234")</f>
        <v>0.00234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HYPERLINK("http://141.218.60.56/~jnz1568/getInfo.php?workbook=14_04.xlsx&amp;sheet=U0&amp;row=3712&amp;col=6&amp;number=3.8&amp;sourceID=14","3.8")</f>
        <v>3.8</v>
      </c>
      <c r="G3712" s="4" t="str">
        <f>HYPERLINK("http://141.218.60.56/~jnz1568/getInfo.php?workbook=14_04.xlsx&amp;sheet=U0&amp;row=3712&amp;col=7&amp;number=0.00234&amp;sourceID=14","0.00234")</f>
        <v>0.00234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HYPERLINK("http://141.218.60.56/~jnz1568/getInfo.php?workbook=14_04.xlsx&amp;sheet=U0&amp;row=3713&amp;col=6&amp;number=3.9&amp;sourceID=14","3.9")</f>
        <v>3.9</v>
      </c>
      <c r="G3713" s="4" t="str">
        <f>HYPERLINK("http://141.218.60.56/~jnz1568/getInfo.php?workbook=14_04.xlsx&amp;sheet=U0&amp;row=3713&amp;col=7&amp;number=0.00234&amp;sourceID=14","0.00234")</f>
        <v>0.00234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HYPERLINK("http://141.218.60.56/~jnz1568/getInfo.php?workbook=14_04.xlsx&amp;sheet=U0&amp;row=3714&amp;col=6&amp;number=4&amp;sourceID=14","4")</f>
        <v>4</v>
      </c>
      <c r="G3714" s="4" t="str">
        <f>HYPERLINK("http://141.218.60.56/~jnz1568/getInfo.php?workbook=14_04.xlsx&amp;sheet=U0&amp;row=3714&amp;col=7&amp;number=0.00234&amp;sourceID=14","0.00234")</f>
        <v>0.00234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HYPERLINK("http://141.218.60.56/~jnz1568/getInfo.php?workbook=14_04.xlsx&amp;sheet=U0&amp;row=3715&amp;col=6&amp;number=4.1&amp;sourceID=14","4.1")</f>
        <v>4.1</v>
      </c>
      <c r="G3715" s="4" t="str">
        <f>HYPERLINK("http://141.218.60.56/~jnz1568/getInfo.php?workbook=14_04.xlsx&amp;sheet=U0&amp;row=3715&amp;col=7&amp;number=0.00234&amp;sourceID=14","0.00234")</f>
        <v>0.00234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HYPERLINK("http://141.218.60.56/~jnz1568/getInfo.php?workbook=14_04.xlsx&amp;sheet=U0&amp;row=3716&amp;col=6&amp;number=4.2&amp;sourceID=14","4.2")</f>
        <v>4.2</v>
      </c>
      <c r="G3716" s="4" t="str">
        <f>HYPERLINK("http://141.218.60.56/~jnz1568/getInfo.php?workbook=14_04.xlsx&amp;sheet=U0&amp;row=3716&amp;col=7&amp;number=0.00234&amp;sourceID=14","0.00234")</f>
        <v>0.00234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HYPERLINK("http://141.218.60.56/~jnz1568/getInfo.php?workbook=14_04.xlsx&amp;sheet=U0&amp;row=3717&amp;col=6&amp;number=4.3&amp;sourceID=14","4.3")</f>
        <v>4.3</v>
      </c>
      <c r="G3717" s="4" t="str">
        <f>HYPERLINK("http://141.218.60.56/~jnz1568/getInfo.php?workbook=14_04.xlsx&amp;sheet=U0&amp;row=3717&amp;col=7&amp;number=0.00234&amp;sourceID=14","0.00234")</f>
        <v>0.00234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HYPERLINK("http://141.218.60.56/~jnz1568/getInfo.php?workbook=14_04.xlsx&amp;sheet=U0&amp;row=3718&amp;col=6&amp;number=4.4&amp;sourceID=14","4.4")</f>
        <v>4.4</v>
      </c>
      <c r="G3718" s="4" t="str">
        <f>HYPERLINK("http://141.218.60.56/~jnz1568/getInfo.php?workbook=14_04.xlsx&amp;sheet=U0&amp;row=3718&amp;col=7&amp;number=0.00234&amp;sourceID=14","0.00234")</f>
        <v>0.00234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HYPERLINK("http://141.218.60.56/~jnz1568/getInfo.php?workbook=14_04.xlsx&amp;sheet=U0&amp;row=3719&amp;col=6&amp;number=4.5&amp;sourceID=14","4.5")</f>
        <v>4.5</v>
      </c>
      <c r="G3719" s="4" t="str">
        <f>HYPERLINK("http://141.218.60.56/~jnz1568/getInfo.php?workbook=14_04.xlsx&amp;sheet=U0&amp;row=3719&amp;col=7&amp;number=0.00234&amp;sourceID=14","0.00234")</f>
        <v>0.00234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HYPERLINK("http://141.218.60.56/~jnz1568/getInfo.php?workbook=14_04.xlsx&amp;sheet=U0&amp;row=3720&amp;col=6&amp;number=4.6&amp;sourceID=14","4.6")</f>
        <v>4.6</v>
      </c>
      <c r="G3720" s="4" t="str">
        <f>HYPERLINK("http://141.218.60.56/~jnz1568/getInfo.php?workbook=14_04.xlsx&amp;sheet=U0&amp;row=3720&amp;col=7&amp;number=0.00235&amp;sourceID=14","0.00235")</f>
        <v>0.00235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HYPERLINK("http://141.218.60.56/~jnz1568/getInfo.php?workbook=14_04.xlsx&amp;sheet=U0&amp;row=3721&amp;col=6&amp;number=4.7&amp;sourceID=14","4.7")</f>
        <v>4.7</v>
      </c>
      <c r="G3721" s="4" t="str">
        <f>HYPERLINK("http://141.218.60.56/~jnz1568/getInfo.php?workbook=14_04.xlsx&amp;sheet=U0&amp;row=3721&amp;col=7&amp;number=0.00235&amp;sourceID=14","0.00235")</f>
        <v>0.00235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HYPERLINK("http://141.218.60.56/~jnz1568/getInfo.php?workbook=14_04.xlsx&amp;sheet=U0&amp;row=3722&amp;col=6&amp;number=4.8&amp;sourceID=14","4.8")</f>
        <v>4.8</v>
      </c>
      <c r="G3722" s="4" t="str">
        <f>HYPERLINK("http://141.218.60.56/~jnz1568/getInfo.php?workbook=14_04.xlsx&amp;sheet=U0&amp;row=3722&amp;col=7&amp;number=0.00235&amp;sourceID=14","0.00235")</f>
        <v>0.00235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HYPERLINK("http://141.218.60.56/~jnz1568/getInfo.php?workbook=14_04.xlsx&amp;sheet=U0&amp;row=3723&amp;col=6&amp;number=4.9&amp;sourceID=14","4.9")</f>
        <v>4.9</v>
      </c>
      <c r="G3723" s="4" t="str">
        <f>HYPERLINK("http://141.218.60.56/~jnz1568/getInfo.php?workbook=14_04.xlsx&amp;sheet=U0&amp;row=3723&amp;col=7&amp;number=0.00235&amp;sourceID=14","0.00235")</f>
        <v>0.00235</v>
      </c>
    </row>
    <row r="3724" spans="1:7">
      <c r="A3724" s="3">
        <v>14</v>
      </c>
      <c r="B3724" s="3">
        <v>4</v>
      </c>
      <c r="C3724" s="3">
        <v>2</v>
      </c>
      <c r="D3724" s="3">
        <v>70</v>
      </c>
      <c r="E3724" s="3">
        <v>1</v>
      </c>
      <c r="F3724" s="4" t="str">
        <f>HYPERLINK("http://141.218.60.56/~jnz1568/getInfo.php?workbook=14_04.xlsx&amp;sheet=U0&amp;row=3724&amp;col=6&amp;number=3&amp;sourceID=14","3")</f>
        <v>3</v>
      </c>
      <c r="G3724" s="4" t="str">
        <f>HYPERLINK("http://141.218.60.56/~jnz1568/getInfo.php?workbook=14_04.xlsx&amp;sheet=U0&amp;row=3724&amp;col=7&amp;number=0.00133&amp;sourceID=14","0.00133")</f>
        <v>0.00133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HYPERLINK("http://141.218.60.56/~jnz1568/getInfo.php?workbook=14_04.xlsx&amp;sheet=U0&amp;row=3725&amp;col=6&amp;number=3.1&amp;sourceID=14","3.1")</f>
        <v>3.1</v>
      </c>
      <c r="G3725" s="4" t="str">
        <f>HYPERLINK("http://141.218.60.56/~jnz1568/getInfo.php?workbook=14_04.xlsx&amp;sheet=U0&amp;row=3725&amp;col=7&amp;number=0.00133&amp;sourceID=14","0.00133")</f>
        <v>0.00133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HYPERLINK("http://141.218.60.56/~jnz1568/getInfo.php?workbook=14_04.xlsx&amp;sheet=U0&amp;row=3726&amp;col=6&amp;number=3.2&amp;sourceID=14","3.2")</f>
        <v>3.2</v>
      </c>
      <c r="G3726" s="4" t="str">
        <f>HYPERLINK("http://141.218.60.56/~jnz1568/getInfo.php?workbook=14_04.xlsx&amp;sheet=U0&amp;row=3726&amp;col=7&amp;number=0.00133&amp;sourceID=14","0.00133")</f>
        <v>0.00133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HYPERLINK("http://141.218.60.56/~jnz1568/getInfo.php?workbook=14_04.xlsx&amp;sheet=U0&amp;row=3727&amp;col=6&amp;number=3.3&amp;sourceID=14","3.3")</f>
        <v>3.3</v>
      </c>
      <c r="G3727" s="4" t="str">
        <f>HYPERLINK("http://141.218.60.56/~jnz1568/getInfo.php?workbook=14_04.xlsx&amp;sheet=U0&amp;row=3727&amp;col=7&amp;number=0.00133&amp;sourceID=14","0.00133")</f>
        <v>0.00133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HYPERLINK("http://141.218.60.56/~jnz1568/getInfo.php?workbook=14_04.xlsx&amp;sheet=U0&amp;row=3728&amp;col=6&amp;number=3.4&amp;sourceID=14","3.4")</f>
        <v>3.4</v>
      </c>
      <c r="G3728" s="4" t="str">
        <f>HYPERLINK("http://141.218.60.56/~jnz1568/getInfo.php?workbook=14_04.xlsx&amp;sheet=U0&amp;row=3728&amp;col=7&amp;number=0.00133&amp;sourceID=14","0.00133")</f>
        <v>0.00133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HYPERLINK("http://141.218.60.56/~jnz1568/getInfo.php?workbook=14_04.xlsx&amp;sheet=U0&amp;row=3729&amp;col=6&amp;number=3.5&amp;sourceID=14","3.5")</f>
        <v>3.5</v>
      </c>
      <c r="G3729" s="4" t="str">
        <f>HYPERLINK("http://141.218.60.56/~jnz1568/getInfo.php?workbook=14_04.xlsx&amp;sheet=U0&amp;row=3729&amp;col=7&amp;number=0.00133&amp;sourceID=14","0.00133")</f>
        <v>0.00133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HYPERLINK("http://141.218.60.56/~jnz1568/getInfo.php?workbook=14_04.xlsx&amp;sheet=U0&amp;row=3730&amp;col=6&amp;number=3.6&amp;sourceID=14","3.6")</f>
        <v>3.6</v>
      </c>
      <c r="G3730" s="4" t="str">
        <f>HYPERLINK("http://141.218.60.56/~jnz1568/getInfo.php?workbook=14_04.xlsx&amp;sheet=U0&amp;row=3730&amp;col=7&amp;number=0.00133&amp;sourceID=14","0.00133")</f>
        <v>0.00133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HYPERLINK("http://141.218.60.56/~jnz1568/getInfo.php?workbook=14_04.xlsx&amp;sheet=U0&amp;row=3731&amp;col=6&amp;number=3.7&amp;sourceID=14","3.7")</f>
        <v>3.7</v>
      </c>
      <c r="G3731" s="4" t="str">
        <f>HYPERLINK("http://141.218.60.56/~jnz1568/getInfo.php?workbook=14_04.xlsx&amp;sheet=U0&amp;row=3731&amp;col=7&amp;number=0.00133&amp;sourceID=14","0.00133")</f>
        <v>0.00133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HYPERLINK("http://141.218.60.56/~jnz1568/getInfo.php?workbook=14_04.xlsx&amp;sheet=U0&amp;row=3732&amp;col=6&amp;number=3.8&amp;sourceID=14","3.8")</f>
        <v>3.8</v>
      </c>
      <c r="G3732" s="4" t="str">
        <f>HYPERLINK("http://141.218.60.56/~jnz1568/getInfo.php?workbook=14_04.xlsx&amp;sheet=U0&amp;row=3732&amp;col=7&amp;number=0.00133&amp;sourceID=14","0.00133")</f>
        <v>0.00133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HYPERLINK("http://141.218.60.56/~jnz1568/getInfo.php?workbook=14_04.xlsx&amp;sheet=U0&amp;row=3733&amp;col=6&amp;number=3.9&amp;sourceID=14","3.9")</f>
        <v>3.9</v>
      </c>
      <c r="G3733" s="4" t="str">
        <f>HYPERLINK("http://141.218.60.56/~jnz1568/getInfo.php?workbook=14_04.xlsx&amp;sheet=U0&amp;row=3733&amp;col=7&amp;number=0.00133&amp;sourceID=14","0.00133")</f>
        <v>0.00133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HYPERLINK("http://141.218.60.56/~jnz1568/getInfo.php?workbook=14_04.xlsx&amp;sheet=U0&amp;row=3734&amp;col=6&amp;number=4&amp;sourceID=14","4")</f>
        <v>4</v>
      </c>
      <c r="G3734" s="4" t="str">
        <f>HYPERLINK("http://141.218.60.56/~jnz1568/getInfo.php?workbook=14_04.xlsx&amp;sheet=U0&amp;row=3734&amp;col=7&amp;number=0.00133&amp;sourceID=14","0.00133")</f>
        <v>0.00133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HYPERLINK("http://141.218.60.56/~jnz1568/getInfo.php?workbook=14_04.xlsx&amp;sheet=U0&amp;row=3735&amp;col=6&amp;number=4.1&amp;sourceID=14","4.1")</f>
        <v>4.1</v>
      </c>
      <c r="G3735" s="4" t="str">
        <f>HYPERLINK("http://141.218.60.56/~jnz1568/getInfo.php?workbook=14_04.xlsx&amp;sheet=U0&amp;row=3735&amp;col=7&amp;number=0.00133&amp;sourceID=14","0.00133")</f>
        <v>0.00133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HYPERLINK("http://141.218.60.56/~jnz1568/getInfo.php?workbook=14_04.xlsx&amp;sheet=U0&amp;row=3736&amp;col=6&amp;number=4.2&amp;sourceID=14","4.2")</f>
        <v>4.2</v>
      </c>
      <c r="G3736" s="4" t="str">
        <f>HYPERLINK("http://141.218.60.56/~jnz1568/getInfo.php?workbook=14_04.xlsx&amp;sheet=U0&amp;row=3736&amp;col=7&amp;number=0.00133&amp;sourceID=14","0.00133")</f>
        <v>0.00133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HYPERLINK("http://141.218.60.56/~jnz1568/getInfo.php?workbook=14_04.xlsx&amp;sheet=U0&amp;row=3737&amp;col=6&amp;number=4.3&amp;sourceID=14","4.3")</f>
        <v>4.3</v>
      </c>
      <c r="G3737" s="4" t="str">
        <f>HYPERLINK("http://141.218.60.56/~jnz1568/getInfo.php?workbook=14_04.xlsx&amp;sheet=U0&amp;row=3737&amp;col=7&amp;number=0.00133&amp;sourceID=14","0.00133")</f>
        <v>0.00133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HYPERLINK("http://141.218.60.56/~jnz1568/getInfo.php?workbook=14_04.xlsx&amp;sheet=U0&amp;row=3738&amp;col=6&amp;number=4.4&amp;sourceID=14","4.4")</f>
        <v>4.4</v>
      </c>
      <c r="G3738" s="4" t="str">
        <f>HYPERLINK("http://141.218.60.56/~jnz1568/getInfo.php?workbook=14_04.xlsx&amp;sheet=U0&amp;row=3738&amp;col=7&amp;number=0.00133&amp;sourceID=14","0.00133")</f>
        <v>0.00133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HYPERLINK("http://141.218.60.56/~jnz1568/getInfo.php?workbook=14_04.xlsx&amp;sheet=U0&amp;row=3739&amp;col=6&amp;number=4.5&amp;sourceID=14","4.5")</f>
        <v>4.5</v>
      </c>
      <c r="G3739" s="4" t="str">
        <f>HYPERLINK("http://141.218.60.56/~jnz1568/getInfo.php?workbook=14_04.xlsx&amp;sheet=U0&amp;row=3739&amp;col=7&amp;number=0.00133&amp;sourceID=14","0.00133")</f>
        <v>0.00133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HYPERLINK("http://141.218.60.56/~jnz1568/getInfo.php?workbook=14_04.xlsx&amp;sheet=U0&amp;row=3740&amp;col=6&amp;number=4.6&amp;sourceID=14","4.6")</f>
        <v>4.6</v>
      </c>
      <c r="G3740" s="4" t="str">
        <f>HYPERLINK("http://141.218.60.56/~jnz1568/getInfo.php?workbook=14_04.xlsx&amp;sheet=U0&amp;row=3740&amp;col=7&amp;number=0.00133&amp;sourceID=14","0.00133")</f>
        <v>0.00133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HYPERLINK("http://141.218.60.56/~jnz1568/getInfo.php?workbook=14_04.xlsx&amp;sheet=U0&amp;row=3741&amp;col=6&amp;number=4.7&amp;sourceID=14","4.7")</f>
        <v>4.7</v>
      </c>
      <c r="G3741" s="4" t="str">
        <f>HYPERLINK("http://141.218.60.56/~jnz1568/getInfo.php?workbook=14_04.xlsx&amp;sheet=U0&amp;row=3741&amp;col=7&amp;number=0.00132&amp;sourceID=14","0.00132")</f>
        <v>0.00132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HYPERLINK("http://141.218.60.56/~jnz1568/getInfo.php?workbook=14_04.xlsx&amp;sheet=U0&amp;row=3742&amp;col=6&amp;number=4.8&amp;sourceID=14","4.8")</f>
        <v>4.8</v>
      </c>
      <c r="G3742" s="4" t="str">
        <f>HYPERLINK("http://141.218.60.56/~jnz1568/getInfo.php?workbook=14_04.xlsx&amp;sheet=U0&amp;row=3742&amp;col=7&amp;number=0.00132&amp;sourceID=14","0.00132")</f>
        <v>0.00132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HYPERLINK("http://141.218.60.56/~jnz1568/getInfo.php?workbook=14_04.xlsx&amp;sheet=U0&amp;row=3743&amp;col=6&amp;number=4.9&amp;sourceID=14","4.9")</f>
        <v>4.9</v>
      </c>
      <c r="G3743" s="4" t="str">
        <f>HYPERLINK("http://141.218.60.56/~jnz1568/getInfo.php?workbook=14_04.xlsx&amp;sheet=U0&amp;row=3743&amp;col=7&amp;number=0.00132&amp;sourceID=14","0.00132")</f>
        <v>0.00132</v>
      </c>
    </row>
    <row r="3744" spans="1:7">
      <c r="A3744" s="3">
        <v>14</v>
      </c>
      <c r="B3744" s="3">
        <v>4</v>
      </c>
      <c r="C3744" s="3">
        <v>2</v>
      </c>
      <c r="D3744" s="3">
        <v>71</v>
      </c>
      <c r="E3744" s="3">
        <v>1</v>
      </c>
      <c r="F3744" s="4" t="str">
        <f>HYPERLINK("http://141.218.60.56/~jnz1568/getInfo.php?workbook=14_04.xlsx&amp;sheet=U0&amp;row=3744&amp;col=6&amp;number=3&amp;sourceID=14","3")</f>
        <v>3</v>
      </c>
      <c r="G3744" s="4" t="str">
        <f>HYPERLINK("http://141.218.60.56/~jnz1568/getInfo.php?workbook=14_04.xlsx&amp;sheet=U0&amp;row=3744&amp;col=7&amp;number=0.00206&amp;sourceID=14","0.00206")</f>
        <v>0.00206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HYPERLINK("http://141.218.60.56/~jnz1568/getInfo.php?workbook=14_04.xlsx&amp;sheet=U0&amp;row=3745&amp;col=6&amp;number=3.1&amp;sourceID=14","3.1")</f>
        <v>3.1</v>
      </c>
      <c r="G3745" s="4" t="str">
        <f>HYPERLINK("http://141.218.60.56/~jnz1568/getInfo.php?workbook=14_04.xlsx&amp;sheet=U0&amp;row=3745&amp;col=7&amp;number=0.00206&amp;sourceID=14","0.00206")</f>
        <v>0.00206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HYPERLINK("http://141.218.60.56/~jnz1568/getInfo.php?workbook=14_04.xlsx&amp;sheet=U0&amp;row=3746&amp;col=6&amp;number=3.2&amp;sourceID=14","3.2")</f>
        <v>3.2</v>
      </c>
      <c r="G3746" s="4" t="str">
        <f>HYPERLINK("http://141.218.60.56/~jnz1568/getInfo.php?workbook=14_04.xlsx&amp;sheet=U0&amp;row=3746&amp;col=7&amp;number=0.00206&amp;sourceID=14","0.00206")</f>
        <v>0.00206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HYPERLINK("http://141.218.60.56/~jnz1568/getInfo.php?workbook=14_04.xlsx&amp;sheet=U0&amp;row=3747&amp;col=6&amp;number=3.3&amp;sourceID=14","3.3")</f>
        <v>3.3</v>
      </c>
      <c r="G3747" s="4" t="str">
        <f>HYPERLINK("http://141.218.60.56/~jnz1568/getInfo.php?workbook=14_04.xlsx&amp;sheet=U0&amp;row=3747&amp;col=7&amp;number=0.00206&amp;sourceID=14","0.00206")</f>
        <v>0.00206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HYPERLINK("http://141.218.60.56/~jnz1568/getInfo.php?workbook=14_04.xlsx&amp;sheet=U0&amp;row=3748&amp;col=6&amp;number=3.4&amp;sourceID=14","3.4")</f>
        <v>3.4</v>
      </c>
      <c r="G3748" s="4" t="str">
        <f>HYPERLINK("http://141.218.60.56/~jnz1568/getInfo.php?workbook=14_04.xlsx&amp;sheet=U0&amp;row=3748&amp;col=7&amp;number=0.00206&amp;sourceID=14","0.00206")</f>
        <v>0.00206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HYPERLINK("http://141.218.60.56/~jnz1568/getInfo.php?workbook=14_04.xlsx&amp;sheet=U0&amp;row=3749&amp;col=6&amp;number=3.5&amp;sourceID=14","3.5")</f>
        <v>3.5</v>
      </c>
      <c r="G3749" s="4" t="str">
        <f>HYPERLINK("http://141.218.60.56/~jnz1568/getInfo.php?workbook=14_04.xlsx&amp;sheet=U0&amp;row=3749&amp;col=7&amp;number=0.00206&amp;sourceID=14","0.00206")</f>
        <v>0.00206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HYPERLINK("http://141.218.60.56/~jnz1568/getInfo.php?workbook=14_04.xlsx&amp;sheet=U0&amp;row=3750&amp;col=6&amp;number=3.6&amp;sourceID=14","3.6")</f>
        <v>3.6</v>
      </c>
      <c r="G3750" s="4" t="str">
        <f>HYPERLINK("http://141.218.60.56/~jnz1568/getInfo.php?workbook=14_04.xlsx&amp;sheet=U0&amp;row=3750&amp;col=7&amp;number=0.00206&amp;sourceID=14","0.00206")</f>
        <v>0.00206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HYPERLINK("http://141.218.60.56/~jnz1568/getInfo.php?workbook=14_04.xlsx&amp;sheet=U0&amp;row=3751&amp;col=6&amp;number=3.7&amp;sourceID=14","3.7")</f>
        <v>3.7</v>
      </c>
      <c r="G3751" s="4" t="str">
        <f>HYPERLINK("http://141.218.60.56/~jnz1568/getInfo.php?workbook=14_04.xlsx&amp;sheet=U0&amp;row=3751&amp;col=7&amp;number=0.00206&amp;sourceID=14","0.00206")</f>
        <v>0.00206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HYPERLINK("http://141.218.60.56/~jnz1568/getInfo.php?workbook=14_04.xlsx&amp;sheet=U0&amp;row=3752&amp;col=6&amp;number=3.8&amp;sourceID=14","3.8")</f>
        <v>3.8</v>
      </c>
      <c r="G3752" s="4" t="str">
        <f>HYPERLINK("http://141.218.60.56/~jnz1568/getInfo.php?workbook=14_04.xlsx&amp;sheet=U0&amp;row=3752&amp;col=7&amp;number=0.00206&amp;sourceID=14","0.00206")</f>
        <v>0.00206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HYPERLINK("http://141.218.60.56/~jnz1568/getInfo.php?workbook=14_04.xlsx&amp;sheet=U0&amp;row=3753&amp;col=6&amp;number=3.9&amp;sourceID=14","3.9")</f>
        <v>3.9</v>
      </c>
      <c r="G3753" s="4" t="str">
        <f>HYPERLINK("http://141.218.60.56/~jnz1568/getInfo.php?workbook=14_04.xlsx&amp;sheet=U0&amp;row=3753&amp;col=7&amp;number=0.00206&amp;sourceID=14","0.00206")</f>
        <v>0.00206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HYPERLINK("http://141.218.60.56/~jnz1568/getInfo.php?workbook=14_04.xlsx&amp;sheet=U0&amp;row=3754&amp;col=6&amp;number=4&amp;sourceID=14","4")</f>
        <v>4</v>
      </c>
      <c r="G3754" s="4" t="str">
        <f>HYPERLINK("http://141.218.60.56/~jnz1568/getInfo.php?workbook=14_04.xlsx&amp;sheet=U0&amp;row=3754&amp;col=7&amp;number=0.00206&amp;sourceID=14","0.00206")</f>
        <v>0.00206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HYPERLINK("http://141.218.60.56/~jnz1568/getInfo.php?workbook=14_04.xlsx&amp;sheet=U0&amp;row=3755&amp;col=6&amp;number=4.1&amp;sourceID=14","4.1")</f>
        <v>4.1</v>
      </c>
      <c r="G3755" s="4" t="str">
        <f>HYPERLINK("http://141.218.60.56/~jnz1568/getInfo.php?workbook=14_04.xlsx&amp;sheet=U0&amp;row=3755&amp;col=7&amp;number=0.00206&amp;sourceID=14","0.00206")</f>
        <v>0.00206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HYPERLINK("http://141.218.60.56/~jnz1568/getInfo.php?workbook=14_04.xlsx&amp;sheet=U0&amp;row=3756&amp;col=6&amp;number=4.2&amp;sourceID=14","4.2")</f>
        <v>4.2</v>
      </c>
      <c r="G3756" s="4" t="str">
        <f>HYPERLINK("http://141.218.60.56/~jnz1568/getInfo.php?workbook=14_04.xlsx&amp;sheet=U0&amp;row=3756&amp;col=7&amp;number=0.00206&amp;sourceID=14","0.00206")</f>
        <v>0.00206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HYPERLINK("http://141.218.60.56/~jnz1568/getInfo.php?workbook=14_04.xlsx&amp;sheet=U0&amp;row=3757&amp;col=6&amp;number=4.3&amp;sourceID=14","4.3")</f>
        <v>4.3</v>
      </c>
      <c r="G3757" s="4" t="str">
        <f>HYPERLINK("http://141.218.60.56/~jnz1568/getInfo.php?workbook=14_04.xlsx&amp;sheet=U0&amp;row=3757&amp;col=7&amp;number=0.00207&amp;sourceID=14","0.00207")</f>
        <v>0.00207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HYPERLINK("http://141.218.60.56/~jnz1568/getInfo.php?workbook=14_04.xlsx&amp;sheet=U0&amp;row=3758&amp;col=6&amp;number=4.4&amp;sourceID=14","4.4")</f>
        <v>4.4</v>
      </c>
      <c r="G3758" s="4" t="str">
        <f>HYPERLINK("http://141.218.60.56/~jnz1568/getInfo.php?workbook=14_04.xlsx&amp;sheet=U0&amp;row=3758&amp;col=7&amp;number=0.00207&amp;sourceID=14","0.00207")</f>
        <v>0.00207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HYPERLINK("http://141.218.60.56/~jnz1568/getInfo.php?workbook=14_04.xlsx&amp;sheet=U0&amp;row=3759&amp;col=6&amp;number=4.5&amp;sourceID=14","4.5")</f>
        <v>4.5</v>
      </c>
      <c r="G3759" s="4" t="str">
        <f>HYPERLINK("http://141.218.60.56/~jnz1568/getInfo.php?workbook=14_04.xlsx&amp;sheet=U0&amp;row=3759&amp;col=7&amp;number=0.00207&amp;sourceID=14","0.00207")</f>
        <v>0.00207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HYPERLINK("http://141.218.60.56/~jnz1568/getInfo.php?workbook=14_04.xlsx&amp;sheet=U0&amp;row=3760&amp;col=6&amp;number=4.6&amp;sourceID=14","4.6")</f>
        <v>4.6</v>
      </c>
      <c r="G3760" s="4" t="str">
        <f>HYPERLINK("http://141.218.60.56/~jnz1568/getInfo.php?workbook=14_04.xlsx&amp;sheet=U0&amp;row=3760&amp;col=7&amp;number=0.00207&amp;sourceID=14","0.00207")</f>
        <v>0.00207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HYPERLINK("http://141.218.60.56/~jnz1568/getInfo.php?workbook=14_04.xlsx&amp;sheet=U0&amp;row=3761&amp;col=6&amp;number=4.7&amp;sourceID=14","4.7")</f>
        <v>4.7</v>
      </c>
      <c r="G3761" s="4" t="str">
        <f>HYPERLINK("http://141.218.60.56/~jnz1568/getInfo.php?workbook=14_04.xlsx&amp;sheet=U0&amp;row=3761&amp;col=7&amp;number=0.00208&amp;sourceID=14","0.00208")</f>
        <v>0.00208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HYPERLINK("http://141.218.60.56/~jnz1568/getInfo.php?workbook=14_04.xlsx&amp;sheet=U0&amp;row=3762&amp;col=6&amp;number=4.8&amp;sourceID=14","4.8")</f>
        <v>4.8</v>
      </c>
      <c r="G3762" s="4" t="str">
        <f>HYPERLINK("http://141.218.60.56/~jnz1568/getInfo.php?workbook=14_04.xlsx&amp;sheet=U0&amp;row=3762&amp;col=7&amp;number=0.00208&amp;sourceID=14","0.00208")</f>
        <v>0.00208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HYPERLINK("http://141.218.60.56/~jnz1568/getInfo.php?workbook=14_04.xlsx&amp;sheet=U0&amp;row=3763&amp;col=6&amp;number=4.9&amp;sourceID=14","4.9")</f>
        <v>4.9</v>
      </c>
      <c r="G3763" s="4" t="str">
        <f>HYPERLINK("http://141.218.60.56/~jnz1568/getInfo.php?workbook=14_04.xlsx&amp;sheet=U0&amp;row=3763&amp;col=7&amp;number=0.00209&amp;sourceID=14","0.00209")</f>
        <v>0.00209</v>
      </c>
    </row>
    <row r="3764" spans="1:7">
      <c r="A3764" s="3">
        <v>14</v>
      </c>
      <c r="B3764" s="3">
        <v>4</v>
      </c>
      <c r="C3764" s="3">
        <v>2</v>
      </c>
      <c r="D3764" s="3">
        <v>72</v>
      </c>
      <c r="E3764" s="3">
        <v>1</v>
      </c>
      <c r="F3764" s="4" t="str">
        <f>HYPERLINK("http://141.218.60.56/~jnz1568/getInfo.php?workbook=14_04.xlsx&amp;sheet=U0&amp;row=3764&amp;col=6&amp;number=3&amp;sourceID=14","3")</f>
        <v>3</v>
      </c>
      <c r="G3764" s="4" t="str">
        <f>HYPERLINK("http://141.218.60.56/~jnz1568/getInfo.php?workbook=14_04.xlsx&amp;sheet=U0&amp;row=3764&amp;col=7&amp;number=0.000225&amp;sourceID=14","0.000225")</f>
        <v>0.000225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HYPERLINK("http://141.218.60.56/~jnz1568/getInfo.php?workbook=14_04.xlsx&amp;sheet=U0&amp;row=3765&amp;col=6&amp;number=3.1&amp;sourceID=14","3.1")</f>
        <v>3.1</v>
      </c>
      <c r="G3765" s="4" t="str">
        <f>HYPERLINK("http://141.218.60.56/~jnz1568/getInfo.php?workbook=14_04.xlsx&amp;sheet=U0&amp;row=3765&amp;col=7&amp;number=0.000225&amp;sourceID=14","0.000225")</f>
        <v>0.000225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HYPERLINK("http://141.218.60.56/~jnz1568/getInfo.php?workbook=14_04.xlsx&amp;sheet=U0&amp;row=3766&amp;col=6&amp;number=3.2&amp;sourceID=14","3.2")</f>
        <v>3.2</v>
      </c>
      <c r="G3766" s="4" t="str">
        <f>HYPERLINK("http://141.218.60.56/~jnz1568/getInfo.php?workbook=14_04.xlsx&amp;sheet=U0&amp;row=3766&amp;col=7&amp;number=0.000224&amp;sourceID=14","0.000224")</f>
        <v>0.000224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HYPERLINK("http://141.218.60.56/~jnz1568/getInfo.php?workbook=14_04.xlsx&amp;sheet=U0&amp;row=3767&amp;col=6&amp;number=3.3&amp;sourceID=14","3.3")</f>
        <v>3.3</v>
      </c>
      <c r="G3767" s="4" t="str">
        <f>HYPERLINK("http://141.218.60.56/~jnz1568/getInfo.php?workbook=14_04.xlsx&amp;sheet=U0&amp;row=3767&amp;col=7&amp;number=0.000224&amp;sourceID=14","0.000224")</f>
        <v>0.000224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HYPERLINK("http://141.218.60.56/~jnz1568/getInfo.php?workbook=14_04.xlsx&amp;sheet=U0&amp;row=3768&amp;col=6&amp;number=3.4&amp;sourceID=14","3.4")</f>
        <v>3.4</v>
      </c>
      <c r="G3768" s="4" t="str">
        <f>HYPERLINK("http://141.218.60.56/~jnz1568/getInfo.php?workbook=14_04.xlsx&amp;sheet=U0&amp;row=3768&amp;col=7&amp;number=0.000224&amp;sourceID=14","0.000224")</f>
        <v>0.000224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HYPERLINK("http://141.218.60.56/~jnz1568/getInfo.php?workbook=14_04.xlsx&amp;sheet=U0&amp;row=3769&amp;col=6&amp;number=3.5&amp;sourceID=14","3.5")</f>
        <v>3.5</v>
      </c>
      <c r="G3769" s="4" t="str">
        <f>HYPERLINK("http://141.218.60.56/~jnz1568/getInfo.php?workbook=14_04.xlsx&amp;sheet=U0&amp;row=3769&amp;col=7&amp;number=0.000224&amp;sourceID=14","0.000224")</f>
        <v>0.000224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HYPERLINK("http://141.218.60.56/~jnz1568/getInfo.php?workbook=14_04.xlsx&amp;sheet=U0&amp;row=3770&amp;col=6&amp;number=3.6&amp;sourceID=14","3.6")</f>
        <v>3.6</v>
      </c>
      <c r="G3770" s="4" t="str">
        <f>HYPERLINK("http://141.218.60.56/~jnz1568/getInfo.php?workbook=14_04.xlsx&amp;sheet=U0&amp;row=3770&amp;col=7&amp;number=0.000224&amp;sourceID=14","0.000224")</f>
        <v>0.000224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HYPERLINK("http://141.218.60.56/~jnz1568/getInfo.php?workbook=14_04.xlsx&amp;sheet=U0&amp;row=3771&amp;col=6&amp;number=3.7&amp;sourceID=14","3.7")</f>
        <v>3.7</v>
      </c>
      <c r="G3771" s="4" t="str">
        <f>HYPERLINK("http://141.218.60.56/~jnz1568/getInfo.php?workbook=14_04.xlsx&amp;sheet=U0&amp;row=3771&amp;col=7&amp;number=0.000224&amp;sourceID=14","0.000224")</f>
        <v>0.000224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HYPERLINK("http://141.218.60.56/~jnz1568/getInfo.php?workbook=14_04.xlsx&amp;sheet=U0&amp;row=3772&amp;col=6&amp;number=3.8&amp;sourceID=14","3.8")</f>
        <v>3.8</v>
      </c>
      <c r="G3772" s="4" t="str">
        <f>HYPERLINK("http://141.218.60.56/~jnz1568/getInfo.php?workbook=14_04.xlsx&amp;sheet=U0&amp;row=3772&amp;col=7&amp;number=0.000224&amp;sourceID=14","0.000224")</f>
        <v>0.000224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HYPERLINK("http://141.218.60.56/~jnz1568/getInfo.php?workbook=14_04.xlsx&amp;sheet=U0&amp;row=3773&amp;col=6&amp;number=3.9&amp;sourceID=14","3.9")</f>
        <v>3.9</v>
      </c>
      <c r="G3773" s="4" t="str">
        <f>HYPERLINK("http://141.218.60.56/~jnz1568/getInfo.php?workbook=14_04.xlsx&amp;sheet=U0&amp;row=3773&amp;col=7&amp;number=0.000224&amp;sourceID=14","0.000224")</f>
        <v>0.000224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HYPERLINK("http://141.218.60.56/~jnz1568/getInfo.php?workbook=14_04.xlsx&amp;sheet=U0&amp;row=3774&amp;col=6&amp;number=4&amp;sourceID=14","4")</f>
        <v>4</v>
      </c>
      <c r="G3774" s="4" t="str">
        <f>HYPERLINK("http://141.218.60.56/~jnz1568/getInfo.php?workbook=14_04.xlsx&amp;sheet=U0&amp;row=3774&amp;col=7&amp;number=0.000224&amp;sourceID=14","0.000224")</f>
        <v>0.000224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HYPERLINK("http://141.218.60.56/~jnz1568/getInfo.php?workbook=14_04.xlsx&amp;sheet=U0&amp;row=3775&amp;col=6&amp;number=4.1&amp;sourceID=14","4.1")</f>
        <v>4.1</v>
      </c>
      <c r="G3775" s="4" t="str">
        <f>HYPERLINK("http://141.218.60.56/~jnz1568/getInfo.php?workbook=14_04.xlsx&amp;sheet=U0&amp;row=3775&amp;col=7&amp;number=0.000224&amp;sourceID=14","0.000224")</f>
        <v>0.000224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HYPERLINK("http://141.218.60.56/~jnz1568/getInfo.php?workbook=14_04.xlsx&amp;sheet=U0&amp;row=3776&amp;col=6&amp;number=4.2&amp;sourceID=14","4.2")</f>
        <v>4.2</v>
      </c>
      <c r="G3776" s="4" t="str">
        <f>HYPERLINK("http://141.218.60.56/~jnz1568/getInfo.php?workbook=14_04.xlsx&amp;sheet=U0&amp;row=3776&amp;col=7&amp;number=0.000224&amp;sourceID=14","0.000224")</f>
        <v>0.000224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HYPERLINK("http://141.218.60.56/~jnz1568/getInfo.php?workbook=14_04.xlsx&amp;sheet=U0&amp;row=3777&amp;col=6&amp;number=4.3&amp;sourceID=14","4.3")</f>
        <v>4.3</v>
      </c>
      <c r="G3777" s="4" t="str">
        <f>HYPERLINK("http://141.218.60.56/~jnz1568/getInfo.php?workbook=14_04.xlsx&amp;sheet=U0&amp;row=3777&amp;col=7&amp;number=0.000223&amp;sourceID=14","0.000223")</f>
        <v>0.000223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HYPERLINK("http://141.218.60.56/~jnz1568/getInfo.php?workbook=14_04.xlsx&amp;sheet=U0&amp;row=3778&amp;col=6&amp;number=4.4&amp;sourceID=14","4.4")</f>
        <v>4.4</v>
      </c>
      <c r="G3778" s="4" t="str">
        <f>HYPERLINK("http://141.218.60.56/~jnz1568/getInfo.php?workbook=14_04.xlsx&amp;sheet=U0&amp;row=3778&amp;col=7&amp;number=0.000223&amp;sourceID=14","0.000223")</f>
        <v>0.000223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HYPERLINK("http://141.218.60.56/~jnz1568/getInfo.php?workbook=14_04.xlsx&amp;sheet=U0&amp;row=3779&amp;col=6&amp;number=4.5&amp;sourceID=14","4.5")</f>
        <v>4.5</v>
      </c>
      <c r="G3779" s="4" t="str">
        <f>HYPERLINK("http://141.218.60.56/~jnz1568/getInfo.php?workbook=14_04.xlsx&amp;sheet=U0&amp;row=3779&amp;col=7&amp;number=0.000222&amp;sourceID=14","0.000222")</f>
        <v>0.000222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HYPERLINK("http://141.218.60.56/~jnz1568/getInfo.php?workbook=14_04.xlsx&amp;sheet=U0&amp;row=3780&amp;col=6&amp;number=4.6&amp;sourceID=14","4.6")</f>
        <v>4.6</v>
      </c>
      <c r="G3780" s="4" t="str">
        <f>HYPERLINK("http://141.218.60.56/~jnz1568/getInfo.php?workbook=14_04.xlsx&amp;sheet=U0&amp;row=3780&amp;col=7&amp;number=0.000222&amp;sourceID=14","0.000222")</f>
        <v>0.000222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HYPERLINK("http://141.218.60.56/~jnz1568/getInfo.php?workbook=14_04.xlsx&amp;sheet=U0&amp;row=3781&amp;col=6&amp;number=4.7&amp;sourceID=14","4.7")</f>
        <v>4.7</v>
      </c>
      <c r="G3781" s="4" t="str">
        <f>HYPERLINK("http://141.218.60.56/~jnz1568/getInfo.php?workbook=14_04.xlsx&amp;sheet=U0&amp;row=3781&amp;col=7&amp;number=0.000221&amp;sourceID=14","0.000221")</f>
        <v>0.000221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HYPERLINK("http://141.218.60.56/~jnz1568/getInfo.php?workbook=14_04.xlsx&amp;sheet=U0&amp;row=3782&amp;col=6&amp;number=4.8&amp;sourceID=14","4.8")</f>
        <v>4.8</v>
      </c>
      <c r="G3782" s="4" t="str">
        <f>HYPERLINK("http://141.218.60.56/~jnz1568/getInfo.php?workbook=14_04.xlsx&amp;sheet=U0&amp;row=3782&amp;col=7&amp;number=0.00022&amp;sourceID=14","0.00022")</f>
        <v>0.00022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HYPERLINK("http://141.218.60.56/~jnz1568/getInfo.php?workbook=14_04.xlsx&amp;sheet=U0&amp;row=3783&amp;col=6&amp;number=4.9&amp;sourceID=14","4.9")</f>
        <v>4.9</v>
      </c>
      <c r="G3783" s="4" t="str">
        <f>HYPERLINK("http://141.218.60.56/~jnz1568/getInfo.php?workbook=14_04.xlsx&amp;sheet=U0&amp;row=3783&amp;col=7&amp;number=0.000219&amp;sourceID=14","0.000219")</f>
        <v>0.000219</v>
      </c>
    </row>
    <row r="3784" spans="1:7">
      <c r="A3784" s="3">
        <v>14</v>
      </c>
      <c r="B3784" s="3">
        <v>4</v>
      </c>
      <c r="C3784" s="3">
        <v>2</v>
      </c>
      <c r="D3784" s="3">
        <v>73</v>
      </c>
      <c r="E3784" s="3">
        <v>1</v>
      </c>
      <c r="F3784" s="4" t="str">
        <f>HYPERLINK("http://141.218.60.56/~jnz1568/getInfo.php?workbook=14_04.xlsx&amp;sheet=U0&amp;row=3784&amp;col=6&amp;number=3&amp;sourceID=14","3")</f>
        <v>3</v>
      </c>
      <c r="G3784" s="4" t="str">
        <f>HYPERLINK("http://141.218.60.56/~jnz1568/getInfo.php?workbook=14_04.xlsx&amp;sheet=U0&amp;row=3784&amp;col=7&amp;number=4.64e-06&amp;sourceID=14","4.64e-06")</f>
        <v>4.64e-06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HYPERLINK("http://141.218.60.56/~jnz1568/getInfo.php?workbook=14_04.xlsx&amp;sheet=U0&amp;row=3785&amp;col=6&amp;number=3.1&amp;sourceID=14","3.1")</f>
        <v>3.1</v>
      </c>
      <c r="G3785" s="4" t="str">
        <f>HYPERLINK("http://141.218.60.56/~jnz1568/getInfo.php?workbook=14_04.xlsx&amp;sheet=U0&amp;row=3785&amp;col=7&amp;number=4.64e-06&amp;sourceID=14","4.64e-06")</f>
        <v>4.64e-06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HYPERLINK("http://141.218.60.56/~jnz1568/getInfo.php?workbook=14_04.xlsx&amp;sheet=U0&amp;row=3786&amp;col=6&amp;number=3.2&amp;sourceID=14","3.2")</f>
        <v>3.2</v>
      </c>
      <c r="G3786" s="4" t="str">
        <f>HYPERLINK("http://141.218.60.56/~jnz1568/getInfo.php?workbook=14_04.xlsx&amp;sheet=U0&amp;row=3786&amp;col=7&amp;number=4.64e-06&amp;sourceID=14","4.64e-06")</f>
        <v>4.64e-06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HYPERLINK("http://141.218.60.56/~jnz1568/getInfo.php?workbook=14_04.xlsx&amp;sheet=U0&amp;row=3787&amp;col=6&amp;number=3.3&amp;sourceID=14","3.3")</f>
        <v>3.3</v>
      </c>
      <c r="G3787" s="4" t="str">
        <f>HYPERLINK("http://141.218.60.56/~jnz1568/getInfo.php?workbook=14_04.xlsx&amp;sheet=U0&amp;row=3787&amp;col=7&amp;number=4.64e-06&amp;sourceID=14","4.64e-06")</f>
        <v>4.64e-06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HYPERLINK("http://141.218.60.56/~jnz1568/getInfo.php?workbook=14_04.xlsx&amp;sheet=U0&amp;row=3788&amp;col=6&amp;number=3.4&amp;sourceID=14","3.4")</f>
        <v>3.4</v>
      </c>
      <c r="G3788" s="4" t="str">
        <f>HYPERLINK("http://141.218.60.56/~jnz1568/getInfo.php?workbook=14_04.xlsx&amp;sheet=U0&amp;row=3788&amp;col=7&amp;number=4.64e-06&amp;sourceID=14","4.64e-06")</f>
        <v>4.64e-06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HYPERLINK("http://141.218.60.56/~jnz1568/getInfo.php?workbook=14_04.xlsx&amp;sheet=U0&amp;row=3789&amp;col=6&amp;number=3.5&amp;sourceID=14","3.5")</f>
        <v>3.5</v>
      </c>
      <c r="G3789" s="4" t="str">
        <f>HYPERLINK("http://141.218.60.56/~jnz1568/getInfo.php?workbook=14_04.xlsx&amp;sheet=U0&amp;row=3789&amp;col=7&amp;number=4.64e-06&amp;sourceID=14","4.64e-06")</f>
        <v>4.64e-06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HYPERLINK("http://141.218.60.56/~jnz1568/getInfo.php?workbook=14_04.xlsx&amp;sheet=U0&amp;row=3790&amp;col=6&amp;number=3.6&amp;sourceID=14","3.6")</f>
        <v>3.6</v>
      </c>
      <c r="G3790" s="4" t="str">
        <f>HYPERLINK("http://141.218.60.56/~jnz1568/getInfo.php?workbook=14_04.xlsx&amp;sheet=U0&amp;row=3790&amp;col=7&amp;number=4.64e-06&amp;sourceID=14","4.64e-06")</f>
        <v>4.64e-06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HYPERLINK("http://141.218.60.56/~jnz1568/getInfo.php?workbook=14_04.xlsx&amp;sheet=U0&amp;row=3791&amp;col=6&amp;number=3.7&amp;sourceID=14","3.7")</f>
        <v>3.7</v>
      </c>
      <c r="G3791" s="4" t="str">
        <f>HYPERLINK("http://141.218.60.56/~jnz1568/getInfo.php?workbook=14_04.xlsx&amp;sheet=U0&amp;row=3791&amp;col=7&amp;number=4.64e-06&amp;sourceID=14","4.64e-06")</f>
        <v>4.64e-06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HYPERLINK("http://141.218.60.56/~jnz1568/getInfo.php?workbook=14_04.xlsx&amp;sheet=U0&amp;row=3792&amp;col=6&amp;number=3.8&amp;sourceID=14","3.8")</f>
        <v>3.8</v>
      </c>
      <c r="G3792" s="4" t="str">
        <f>HYPERLINK("http://141.218.60.56/~jnz1568/getInfo.php?workbook=14_04.xlsx&amp;sheet=U0&amp;row=3792&amp;col=7&amp;number=4.64e-06&amp;sourceID=14","4.64e-06")</f>
        <v>4.64e-06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HYPERLINK("http://141.218.60.56/~jnz1568/getInfo.php?workbook=14_04.xlsx&amp;sheet=U0&amp;row=3793&amp;col=6&amp;number=3.9&amp;sourceID=14","3.9")</f>
        <v>3.9</v>
      </c>
      <c r="G3793" s="4" t="str">
        <f>HYPERLINK("http://141.218.60.56/~jnz1568/getInfo.php?workbook=14_04.xlsx&amp;sheet=U0&amp;row=3793&amp;col=7&amp;number=4.64e-06&amp;sourceID=14","4.64e-06")</f>
        <v>4.64e-06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HYPERLINK("http://141.218.60.56/~jnz1568/getInfo.php?workbook=14_04.xlsx&amp;sheet=U0&amp;row=3794&amp;col=6&amp;number=4&amp;sourceID=14","4")</f>
        <v>4</v>
      </c>
      <c r="G3794" s="4" t="str">
        <f>HYPERLINK("http://141.218.60.56/~jnz1568/getInfo.php?workbook=14_04.xlsx&amp;sheet=U0&amp;row=3794&amp;col=7&amp;number=4.64e-06&amp;sourceID=14","4.64e-06")</f>
        <v>4.64e-06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HYPERLINK("http://141.218.60.56/~jnz1568/getInfo.php?workbook=14_04.xlsx&amp;sheet=U0&amp;row=3795&amp;col=6&amp;number=4.1&amp;sourceID=14","4.1")</f>
        <v>4.1</v>
      </c>
      <c r="G3795" s="4" t="str">
        <f>HYPERLINK("http://141.218.60.56/~jnz1568/getInfo.php?workbook=14_04.xlsx&amp;sheet=U0&amp;row=3795&amp;col=7&amp;number=4.63e-06&amp;sourceID=14","4.63e-06")</f>
        <v>4.63e-06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HYPERLINK("http://141.218.60.56/~jnz1568/getInfo.php?workbook=14_04.xlsx&amp;sheet=U0&amp;row=3796&amp;col=6&amp;number=4.2&amp;sourceID=14","4.2")</f>
        <v>4.2</v>
      </c>
      <c r="G3796" s="4" t="str">
        <f>HYPERLINK("http://141.218.60.56/~jnz1568/getInfo.php?workbook=14_04.xlsx&amp;sheet=U0&amp;row=3796&amp;col=7&amp;number=4.63e-06&amp;sourceID=14","4.63e-06")</f>
        <v>4.63e-06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HYPERLINK("http://141.218.60.56/~jnz1568/getInfo.php?workbook=14_04.xlsx&amp;sheet=U0&amp;row=3797&amp;col=6&amp;number=4.3&amp;sourceID=14","4.3")</f>
        <v>4.3</v>
      </c>
      <c r="G3797" s="4" t="str">
        <f>HYPERLINK("http://141.218.60.56/~jnz1568/getInfo.php?workbook=14_04.xlsx&amp;sheet=U0&amp;row=3797&amp;col=7&amp;number=4.63e-06&amp;sourceID=14","4.63e-06")</f>
        <v>4.63e-06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HYPERLINK("http://141.218.60.56/~jnz1568/getInfo.php?workbook=14_04.xlsx&amp;sheet=U0&amp;row=3798&amp;col=6&amp;number=4.4&amp;sourceID=14","4.4")</f>
        <v>4.4</v>
      </c>
      <c r="G3798" s="4" t="str">
        <f>HYPERLINK("http://141.218.60.56/~jnz1568/getInfo.php?workbook=14_04.xlsx&amp;sheet=U0&amp;row=3798&amp;col=7&amp;number=4.62e-06&amp;sourceID=14","4.62e-06")</f>
        <v>4.62e-06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HYPERLINK("http://141.218.60.56/~jnz1568/getInfo.php?workbook=14_04.xlsx&amp;sheet=U0&amp;row=3799&amp;col=6&amp;number=4.5&amp;sourceID=14","4.5")</f>
        <v>4.5</v>
      </c>
      <c r="G3799" s="4" t="str">
        <f>HYPERLINK("http://141.218.60.56/~jnz1568/getInfo.php?workbook=14_04.xlsx&amp;sheet=U0&amp;row=3799&amp;col=7&amp;number=4.62e-06&amp;sourceID=14","4.62e-06")</f>
        <v>4.62e-06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HYPERLINK("http://141.218.60.56/~jnz1568/getInfo.php?workbook=14_04.xlsx&amp;sheet=U0&amp;row=3800&amp;col=6&amp;number=4.6&amp;sourceID=14","4.6")</f>
        <v>4.6</v>
      </c>
      <c r="G3800" s="4" t="str">
        <f>HYPERLINK("http://141.218.60.56/~jnz1568/getInfo.php?workbook=14_04.xlsx&amp;sheet=U0&amp;row=3800&amp;col=7&amp;number=4.61e-06&amp;sourceID=14","4.61e-06")</f>
        <v>4.61e-06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HYPERLINK("http://141.218.60.56/~jnz1568/getInfo.php?workbook=14_04.xlsx&amp;sheet=U0&amp;row=3801&amp;col=6&amp;number=4.7&amp;sourceID=14","4.7")</f>
        <v>4.7</v>
      </c>
      <c r="G3801" s="4" t="str">
        <f>HYPERLINK("http://141.218.60.56/~jnz1568/getInfo.php?workbook=14_04.xlsx&amp;sheet=U0&amp;row=3801&amp;col=7&amp;number=4.61e-06&amp;sourceID=14","4.61e-06")</f>
        <v>4.61e-06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HYPERLINK("http://141.218.60.56/~jnz1568/getInfo.php?workbook=14_04.xlsx&amp;sheet=U0&amp;row=3802&amp;col=6&amp;number=4.8&amp;sourceID=14","4.8")</f>
        <v>4.8</v>
      </c>
      <c r="G3802" s="4" t="str">
        <f>HYPERLINK("http://141.218.60.56/~jnz1568/getInfo.php?workbook=14_04.xlsx&amp;sheet=U0&amp;row=3802&amp;col=7&amp;number=4.6e-06&amp;sourceID=14","4.6e-06")</f>
        <v>4.6e-06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HYPERLINK("http://141.218.60.56/~jnz1568/getInfo.php?workbook=14_04.xlsx&amp;sheet=U0&amp;row=3803&amp;col=6&amp;number=4.9&amp;sourceID=14","4.9")</f>
        <v>4.9</v>
      </c>
      <c r="G3803" s="4" t="str">
        <f>HYPERLINK("http://141.218.60.56/~jnz1568/getInfo.php?workbook=14_04.xlsx&amp;sheet=U0&amp;row=3803&amp;col=7&amp;number=4.59e-06&amp;sourceID=14","4.59e-06")</f>
        <v>4.59e-06</v>
      </c>
    </row>
    <row r="3804" spans="1:7">
      <c r="A3804" s="3">
        <v>14</v>
      </c>
      <c r="B3804" s="3">
        <v>4</v>
      </c>
      <c r="C3804" s="3">
        <v>2</v>
      </c>
      <c r="D3804" s="3">
        <v>74</v>
      </c>
      <c r="E3804" s="3">
        <v>1</v>
      </c>
      <c r="F3804" s="4" t="str">
        <f>HYPERLINK("http://141.218.60.56/~jnz1568/getInfo.php?workbook=14_04.xlsx&amp;sheet=U0&amp;row=3804&amp;col=6&amp;number=3&amp;sourceID=14","3")</f>
        <v>3</v>
      </c>
      <c r="G3804" s="4" t="str">
        <f>HYPERLINK("http://141.218.60.56/~jnz1568/getInfo.php?workbook=14_04.xlsx&amp;sheet=U0&amp;row=3804&amp;col=7&amp;number=0.000685&amp;sourceID=14","0.000685")</f>
        <v>0.000685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HYPERLINK("http://141.218.60.56/~jnz1568/getInfo.php?workbook=14_04.xlsx&amp;sheet=U0&amp;row=3805&amp;col=6&amp;number=3.1&amp;sourceID=14","3.1")</f>
        <v>3.1</v>
      </c>
      <c r="G3805" s="4" t="str">
        <f>HYPERLINK("http://141.218.60.56/~jnz1568/getInfo.php?workbook=14_04.xlsx&amp;sheet=U0&amp;row=3805&amp;col=7&amp;number=0.000685&amp;sourceID=14","0.000685")</f>
        <v>0.000685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HYPERLINK("http://141.218.60.56/~jnz1568/getInfo.php?workbook=14_04.xlsx&amp;sheet=U0&amp;row=3806&amp;col=6&amp;number=3.2&amp;sourceID=14","3.2")</f>
        <v>3.2</v>
      </c>
      <c r="G3806" s="4" t="str">
        <f>HYPERLINK("http://141.218.60.56/~jnz1568/getInfo.php?workbook=14_04.xlsx&amp;sheet=U0&amp;row=3806&amp;col=7&amp;number=0.000685&amp;sourceID=14","0.000685")</f>
        <v>0.000685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HYPERLINK("http://141.218.60.56/~jnz1568/getInfo.php?workbook=14_04.xlsx&amp;sheet=U0&amp;row=3807&amp;col=6&amp;number=3.3&amp;sourceID=14","3.3")</f>
        <v>3.3</v>
      </c>
      <c r="G3807" s="4" t="str">
        <f>HYPERLINK("http://141.218.60.56/~jnz1568/getInfo.php?workbook=14_04.xlsx&amp;sheet=U0&amp;row=3807&amp;col=7&amp;number=0.000685&amp;sourceID=14","0.000685")</f>
        <v>0.000685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HYPERLINK("http://141.218.60.56/~jnz1568/getInfo.php?workbook=14_04.xlsx&amp;sheet=U0&amp;row=3808&amp;col=6&amp;number=3.4&amp;sourceID=14","3.4")</f>
        <v>3.4</v>
      </c>
      <c r="G3808" s="4" t="str">
        <f>HYPERLINK("http://141.218.60.56/~jnz1568/getInfo.php?workbook=14_04.xlsx&amp;sheet=U0&amp;row=3808&amp;col=7&amp;number=0.000685&amp;sourceID=14","0.000685")</f>
        <v>0.000685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HYPERLINK("http://141.218.60.56/~jnz1568/getInfo.php?workbook=14_04.xlsx&amp;sheet=U0&amp;row=3809&amp;col=6&amp;number=3.5&amp;sourceID=14","3.5")</f>
        <v>3.5</v>
      </c>
      <c r="G3809" s="4" t="str">
        <f>HYPERLINK("http://141.218.60.56/~jnz1568/getInfo.php?workbook=14_04.xlsx&amp;sheet=U0&amp;row=3809&amp;col=7&amp;number=0.000685&amp;sourceID=14","0.000685")</f>
        <v>0.000685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HYPERLINK("http://141.218.60.56/~jnz1568/getInfo.php?workbook=14_04.xlsx&amp;sheet=U0&amp;row=3810&amp;col=6&amp;number=3.6&amp;sourceID=14","3.6")</f>
        <v>3.6</v>
      </c>
      <c r="G3810" s="4" t="str">
        <f>HYPERLINK("http://141.218.60.56/~jnz1568/getInfo.php?workbook=14_04.xlsx&amp;sheet=U0&amp;row=3810&amp;col=7&amp;number=0.000685&amp;sourceID=14","0.000685")</f>
        <v>0.000685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HYPERLINK("http://141.218.60.56/~jnz1568/getInfo.php?workbook=14_04.xlsx&amp;sheet=U0&amp;row=3811&amp;col=6&amp;number=3.7&amp;sourceID=14","3.7")</f>
        <v>3.7</v>
      </c>
      <c r="G3811" s="4" t="str">
        <f>HYPERLINK("http://141.218.60.56/~jnz1568/getInfo.php?workbook=14_04.xlsx&amp;sheet=U0&amp;row=3811&amp;col=7&amp;number=0.000684&amp;sourceID=14","0.000684")</f>
        <v>0.000684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HYPERLINK("http://141.218.60.56/~jnz1568/getInfo.php?workbook=14_04.xlsx&amp;sheet=U0&amp;row=3812&amp;col=6&amp;number=3.8&amp;sourceID=14","3.8")</f>
        <v>3.8</v>
      </c>
      <c r="G3812" s="4" t="str">
        <f>HYPERLINK("http://141.218.60.56/~jnz1568/getInfo.php?workbook=14_04.xlsx&amp;sheet=U0&amp;row=3812&amp;col=7&amp;number=0.000684&amp;sourceID=14","0.000684")</f>
        <v>0.000684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HYPERLINK("http://141.218.60.56/~jnz1568/getInfo.php?workbook=14_04.xlsx&amp;sheet=U0&amp;row=3813&amp;col=6&amp;number=3.9&amp;sourceID=14","3.9")</f>
        <v>3.9</v>
      </c>
      <c r="G3813" s="4" t="str">
        <f>HYPERLINK("http://141.218.60.56/~jnz1568/getInfo.php?workbook=14_04.xlsx&amp;sheet=U0&amp;row=3813&amp;col=7&amp;number=0.000684&amp;sourceID=14","0.000684")</f>
        <v>0.000684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HYPERLINK("http://141.218.60.56/~jnz1568/getInfo.php?workbook=14_04.xlsx&amp;sheet=U0&amp;row=3814&amp;col=6&amp;number=4&amp;sourceID=14","4")</f>
        <v>4</v>
      </c>
      <c r="G3814" s="4" t="str">
        <f>HYPERLINK("http://141.218.60.56/~jnz1568/getInfo.php?workbook=14_04.xlsx&amp;sheet=U0&amp;row=3814&amp;col=7&amp;number=0.000684&amp;sourceID=14","0.000684")</f>
        <v>0.000684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HYPERLINK("http://141.218.60.56/~jnz1568/getInfo.php?workbook=14_04.xlsx&amp;sheet=U0&amp;row=3815&amp;col=6&amp;number=4.1&amp;sourceID=14","4.1")</f>
        <v>4.1</v>
      </c>
      <c r="G3815" s="4" t="str">
        <f>HYPERLINK("http://141.218.60.56/~jnz1568/getInfo.php?workbook=14_04.xlsx&amp;sheet=U0&amp;row=3815&amp;col=7&amp;number=0.000684&amp;sourceID=14","0.000684")</f>
        <v>0.000684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HYPERLINK("http://141.218.60.56/~jnz1568/getInfo.php?workbook=14_04.xlsx&amp;sheet=U0&amp;row=3816&amp;col=6&amp;number=4.2&amp;sourceID=14","4.2")</f>
        <v>4.2</v>
      </c>
      <c r="G3816" s="4" t="str">
        <f>HYPERLINK("http://141.218.60.56/~jnz1568/getInfo.php?workbook=14_04.xlsx&amp;sheet=U0&amp;row=3816&amp;col=7&amp;number=0.000683&amp;sourceID=14","0.000683")</f>
        <v>0.000683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HYPERLINK("http://141.218.60.56/~jnz1568/getInfo.php?workbook=14_04.xlsx&amp;sheet=U0&amp;row=3817&amp;col=6&amp;number=4.3&amp;sourceID=14","4.3")</f>
        <v>4.3</v>
      </c>
      <c r="G3817" s="4" t="str">
        <f>HYPERLINK("http://141.218.60.56/~jnz1568/getInfo.php?workbook=14_04.xlsx&amp;sheet=U0&amp;row=3817&amp;col=7&amp;number=0.000683&amp;sourceID=14","0.000683")</f>
        <v>0.000683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HYPERLINK("http://141.218.60.56/~jnz1568/getInfo.php?workbook=14_04.xlsx&amp;sheet=U0&amp;row=3818&amp;col=6&amp;number=4.4&amp;sourceID=14","4.4")</f>
        <v>4.4</v>
      </c>
      <c r="G3818" s="4" t="str">
        <f>HYPERLINK("http://141.218.60.56/~jnz1568/getInfo.php?workbook=14_04.xlsx&amp;sheet=U0&amp;row=3818&amp;col=7&amp;number=0.000682&amp;sourceID=14","0.000682")</f>
        <v>0.000682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HYPERLINK("http://141.218.60.56/~jnz1568/getInfo.php?workbook=14_04.xlsx&amp;sheet=U0&amp;row=3819&amp;col=6&amp;number=4.5&amp;sourceID=14","4.5")</f>
        <v>4.5</v>
      </c>
      <c r="G3819" s="4" t="str">
        <f>HYPERLINK("http://141.218.60.56/~jnz1568/getInfo.php?workbook=14_04.xlsx&amp;sheet=U0&amp;row=3819&amp;col=7&amp;number=0.000681&amp;sourceID=14","0.000681")</f>
        <v>0.000681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HYPERLINK("http://141.218.60.56/~jnz1568/getInfo.php?workbook=14_04.xlsx&amp;sheet=U0&amp;row=3820&amp;col=6&amp;number=4.6&amp;sourceID=14","4.6")</f>
        <v>4.6</v>
      </c>
      <c r="G3820" s="4" t="str">
        <f>HYPERLINK("http://141.218.60.56/~jnz1568/getInfo.php?workbook=14_04.xlsx&amp;sheet=U0&amp;row=3820&amp;col=7&amp;number=0.00068&amp;sourceID=14","0.00068")</f>
        <v>0.00068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HYPERLINK("http://141.218.60.56/~jnz1568/getInfo.php?workbook=14_04.xlsx&amp;sheet=U0&amp;row=3821&amp;col=6&amp;number=4.7&amp;sourceID=14","4.7")</f>
        <v>4.7</v>
      </c>
      <c r="G3821" s="4" t="str">
        <f>HYPERLINK("http://141.218.60.56/~jnz1568/getInfo.php?workbook=14_04.xlsx&amp;sheet=U0&amp;row=3821&amp;col=7&amp;number=0.000679&amp;sourceID=14","0.000679")</f>
        <v>0.000679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HYPERLINK("http://141.218.60.56/~jnz1568/getInfo.php?workbook=14_04.xlsx&amp;sheet=U0&amp;row=3822&amp;col=6&amp;number=4.8&amp;sourceID=14","4.8")</f>
        <v>4.8</v>
      </c>
      <c r="G3822" s="4" t="str">
        <f>HYPERLINK("http://141.218.60.56/~jnz1568/getInfo.php?workbook=14_04.xlsx&amp;sheet=U0&amp;row=3822&amp;col=7&amp;number=0.000678&amp;sourceID=14","0.000678")</f>
        <v>0.000678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HYPERLINK("http://141.218.60.56/~jnz1568/getInfo.php?workbook=14_04.xlsx&amp;sheet=U0&amp;row=3823&amp;col=6&amp;number=4.9&amp;sourceID=14","4.9")</f>
        <v>4.9</v>
      </c>
      <c r="G3823" s="4" t="str">
        <f>HYPERLINK("http://141.218.60.56/~jnz1568/getInfo.php?workbook=14_04.xlsx&amp;sheet=U0&amp;row=3823&amp;col=7&amp;number=0.000676&amp;sourceID=14","0.000676")</f>
        <v>0.000676</v>
      </c>
    </row>
    <row r="3824" spans="1:7">
      <c r="A3824" s="3">
        <v>14</v>
      </c>
      <c r="B3824" s="3">
        <v>4</v>
      </c>
      <c r="C3824" s="3">
        <v>2</v>
      </c>
      <c r="D3824" s="3">
        <v>75</v>
      </c>
      <c r="E3824" s="3">
        <v>1</v>
      </c>
      <c r="F3824" s="4" t="str">
        <f>HYPERLINK("http://141.218.60.56/~jnz1568/getInfo.php?workbook=14_04.xlsx&amp;sheet=U0&amp;row=3824&amp;col=6&amp;number=3&amp;sourceID=14","3")</f>
        <v>3</v>
      </c>
      <c r="G3824" s="4" t="str">
        <f>HYPERLINK("http://141.218.60.56/~jnz1568/getInfo.php?workbook=14_04.xlsx&amp;sheet=U0&amp;row=3824&amp;col=7&amp;number=0.00112&amp;sourceID=14","0.00112")</f>
        <v>0.00112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HYPERLINK("http://141.218.60.56/~jnz1568/getInfo.php?workbook=14_04.xlsx&amp;sheet=U0&amp;row=3825&amp;col=6&amp;number=3.1&amp;sourceID=14","3.1")</f>
        <v>3.1</v>
      </c>
      <c r="G3825" s="4" t="str">
        <f>HYPERLINK("http://141.218.60.56/~jnz1568/getInfo.php?workbook=14_04.xlsx&amp;sheet=U0&amp;row=3825&amp;col=7&amp;number=0.00112&amp;sourceID=14","0.00112")</f>
        <v>0.00112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HYPERLINK("http://141.218.60.56/~jnz1568/getInfo.php?workbook=14_04.xlsx&amp;sheet=U0&amp;row=3826&amp;col=6&amp;number=3.2&amp;sourceID=14","3.2")</f>
        <v>3.2</v>
      </c>
      <c r="G3826" s="4" t="str">
        <f>HYPERLINK("http://141.218.60.56/~jnz1568/getInfo.php?workbook=14_04.xlsx&amp;sheet=U0&amp;row=3826&amp;col=7&amp;number=0.00112&amp;sourceID=14","0.00112")</f>
        <v>0.00112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HYPERLINK("http://141.218.60.56/~jnz1568/getInfo.php?workbook=14_04.xlsx&amp;sheet=U0&amp;row=3827&amp;col=6&amp;number=3.3&amp;sourceID=14","3.3")</f>
        <v>3.3</v>
      </c>
      <c r="G3827" s="4" t="str">
        <f>HYPERLINK("http://141.218.60.56/~jnz1568/getInfo.php?workbook=14_04.xlsx&amp;sheet=U0&amp;row=3827&amp;col=7&amp;number=0.00112&amp;sourceID=14","0.00112")</f>
        <v>0.00112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HYPERLINK("http://141.218.60.56/~jnz1568/getInfo.php?workbook=14_04.xlsx&amp;sheet=U0&amp;row=3828&amp;col=6&amp;number=3.4&amp;sourceID=14","3.4")</f>
        <v>3.4</v>
      </c>
      <c r="G3828" s="4" t="str">
        <f>HYPERLINK("http://141.218.60.56/~jnz1568/getInfo.php?workbook=14_04.xlsx&amp;sheet=U0&amp;row=3828&amp;col=7&amp;number=0.00112&amp;sourceID=14","0.00112")</f>
        <v>0.00112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HYPERLINK("http://141.218.60.56/~jnz1568/getInfo.php?workbook=14_04.xlsx&amp;sheet=U0&amp;row=3829&amp;col=6&amp;number=3.5&amp;sourceID=14","3.5")</f>
        <v>3.5</v>
      </c>
      <c r="G3829" s="4" t="str">
        <f>HYPERLINK("http://141.218.60.56/~jnz1568/getInfo.php?workbook=14_04.xlsx&amp;sheet=U0&amp;row=3829&amp;col=7&amp;number=0.00112&amp;sourceID=14","0.00112")</f>
        <v>0.00112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HYPERLINK("http://141.218.60.56/~jnz1568/getInfo.php?workbook=14_04.xlsx&amp;sheet=U0&amp;row=3830&amp;col=6&amp;number=3.6&amp;sourceID=14","3.6")</f>
        <v>3.6</v>
      </c>
      <c r="G3830" s="4" t="str">
        <f>HYPERLINK("http://141.218.60.56/~jnz1568/getInfo.php?workbook=14_04.xlsx&amp;sheet=U0&amp;row=3830&amp;col=7&amp;number=0.00112&amp;sourceID=14","0.00112")</f>
        <v>0.00112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HYPERLINK("http://141.218.60.56/~jnz1568/getInfo.php?workbook=14_04.xlsx&amp;sheet=U0&amp;row=3831&amp;col=6&amp;number=3.7&amp;sourceID=14","3.7")</f>
        <v>3.7</v>
      </c>
      <c r="G3831" s="4" t="str">
        <f>HYPERLINK("http://141.218.60.56/~jnz1568/getInfo.php?workbook=14_04.xlsx&amp;sheet=U0&amp;row=3831&amp;col=7&amp;number=0.00112&amp;sourceID=14","0.00112")</f>
        <v>0.00112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HYPERLINK("http://141.218.60.56/~jnz1568/getInfo.php?workbook=14_04.xlsx&amp;sheet=U0&amp;row=3832&amp;col=6&amp;number=3.8&amp;sourceID=14","3.8")</f>
        <v>3.8</v>
      </c>
      <c r="G3832" s="4" t="str">
        <f>HYPERLINK("http://141.218.60.56/~jnz1568/getInfo.php?workbook=14_04.xlsx&amp;sheet=U0&amp;row=3832&amp;col=7&amp;number=0.00112&amp;sourceID=14","0.00112")</f>
        <v>0.00112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HYPERLINK("http://141.218.60.56/~jnz1568/getInfo.php?workbook=14_04.xlsx&amp;sheet=U0&amp;row=3833&amp;col=6&amp;number=3.9&amp;sourceID=14","3.9")</f>
        <v>3.9</v>
      </c>
      <c r="G3833" s="4" t="str">
        <f>HYPERLINK("http://141.218.60.56/~jnz1568/getInfo.php?workbook=14_04.xlsx&amp;sheet=U0&amp;row=3833&amp;col=7&amp;number=0.00112&amp;sourceID=14","0.00112")</f>
        <v>0.00112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HYPERLINK("http://141.218.60.56/~jnz1568/getInfo.php?workbook=14_04.xlsx&amp;sheet=U0&amp;row=3834&amp;col=6&amp;number=4&amp;sourceID=14","4")</f>
        <v>4</v>
      </c>
      <c r="G3834" s="4" t="str">
        <f>HYPERLINK("http://141.218.60.56/~jnz1568/getInfo.php?workbook=14_04.xlsx&amp;sheet=U0&amp;row=3834&amp;col=7&amp;number=0.00112&amp;sourceID=14","0.00112")</f>
        <v>0.00112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HYPERLINK("http://141.218.60.56/~jnz1568/getInfo.php?workbook=14_04.xlsx&amp;sheet=U0&amp;row=3835&amp;col=6&amp;number=4.1&amp;sourceID=14","4.1")</f>
        <v>4.1</v>
      </c>
      <c r="G3835" s="4" t="str">
        <f>HYPERLINK("http://141.218.60.56/~jnz1568/getInfo.php?workbook=14_04.xlsx&amp;sheet=U0&amp;row=3835&amp;col=7&amp;number=0.00112&amp;sourceID=14","0.00112")</f>
        <v>0.00112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HYPERLINK("http://141.218.60.56/~jnz1568/getInfo.php?workbook=14_04.xlsx&amp;sheet=U0&amp;row=3836&amp;col=6&amp;number=4.2&amp;sourceID=14","4.2")</f>
        <v>4.2</v>
      </c>
      <c r="G3836" s="4" t="str">
        <f>HYPERLINK("http://141.218.60.56/~jnz1568/getInfo.php?workbook=14_04.xlsx&amp;sheet=U0&amp;row=3836&amp;col=7&amp;number=0.00113&amp;sourceID=14","0.00113")</f>
        <v>0.00113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HYPERLINK("http://141.218.60.56/~jnz1568/getInfo.php?workbook=14_04.xlsx&amp;sheet=U0&amp;row=3837&amp;col=6&amp;number=4.3&amp;sourceID=14","4.3")</f>
        <v>4.3</v>
      </c>
      <c r="G3837" s="4" t="str">
        <f>HYPERLINK("http://141.218.60.56/~jnz1568/getInfo.php?workbook=14_04.xlsx&amp;sheet=U0&amp;row=3837&amp;col=7&amp;number=0.00113&amp;sourceID=14","0.00113")</f>
        <v>0.00113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HYPERLINK("http://141.218.60.56/~jnz1568/getInfo.php?workbook=14_04.xlsx&amp;sheet=U0&amp;row=3838&amp;col=6&amp;number=4.4&amp;sourceID=14","4.4")</f>
        <v>4.4</v>
      </c>
      <c r="G3838" s="4" t="str">
        <f>HYPERLINK("http://141.218.60.56/~jnz1568/getInfo.php?workbook=14_04.xlsx&amp;sheet=U0&amp;row=3838&amp;col=7&amp;number=0.00113&amp;sourceID=14","0.00113")</f>
        <v>0.00113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HYPERLINK("http://141.218.60.56/~jnz1568/getInfo.php?workbook=14_04.xlsx&amp;sheet=U0&amp;row=3839&amp;col=6&amp;number=4.5&amp;sourceID=14","4.5")</f>
        <v>4.5</v>
      </c>
      <c r="G3839" s="4" t="str">
        <f>HYPERLINK("http://141.218.60.56/~jnz1568/getInfo.php?workbook=14_04.xlsx&amp;sheet=U0&amp;row=3839&amp;col=7&amp;number=0.00113&amp;sourceID=14","0.00113")</f>
        <v>0.00113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HYPERLINK("http://141.218.60.56/~jnz1568/getInfo.php?workbook=14_04.xlsx&amp;sheet=U0&amp;row=3840&amp;col=6&amp;number=4.6&amp;sourceID=14","4.6")</f>
        <v>4.6</v>
      </c>
      <c r="G3840" s="4" t="str">
        <f>HYPERLINK("http://141.218.60.56/~jnz1568/getInfo.php?workbook=14_04.xlsx&amp;sheet=U0&amp;row=3840&amp;col=7&amp;number=0.00113&amp;sourceID=14","0.00113")</f>
        <v>0.00113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HYPERLINK("http://141.218.60.56/~jnz1568/getInfo.php?workbook=14_04.xlsx&amp;sheet=U0&amp;row=3841&amp;col=6&amp;number=4.7&amp;sourceID=14","4.7")</f>
        <v>4.7</v>
      </c>
      <c r="G3841" s="4" t="str">
        <f>HYPERLINK("http://141.218.60.56/~jnz1568/getInfo.php?workbook=14_04.xlsx&amp;sheet=U0&amp;row=3841&amp;col=7&amp;number=0.00113&amp;sourceID=14","0.00113")</f>
        <v>0.00113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HYPERLINK("http://141.218.60.56/~jnz1568/getInfo.php?workbook=14_04.xlsx&amp;sheet=U0&amp;row=3842&amp;col=6&amp;number=4.8&amp;sourceID=14","4.8")</f>
        <v>4.8</v>
      </c>
      <c r="G3842" s="4" t="str">
        <f>HYPERLINK("http://141.218.60.56/~jnz1568/getInfo.php?workbook=14_04.xlsx&amp;sheet=U0&amp;row=3842&amp;col=7&amp;number=0.00113&amp;sourceID=14","0.00113")</f>
        <v>0.00113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HYPERLINK("http://141.218.60.56/~jnz1568/getInfo.php?workbook=14_04.xlsx&amp;sheet=U0&amp;row=3843&amp;col=6&amp;number=4.9&amp;sourceID=14","4.9")</f>
        <v>4.9</v>
      </c>
      <c r="G3843" s="4" t="str">
        <f>HYPERLINK("http://141.218.60.56/~jnz1568/getInfo.php?workbook=14_04.xlsx&amp;sheet=U0&amp;row=3843&amp;col=7&amp;number=0.00114&amp;sourceID=14","0.00114")</f>
        <v>0.00114</v>
      </c>
    </row>
    <row r="3844" spans="1:7">
      <c r="A3844" s="3">
        <v>14</v>
      </c>
      <c r="B3844" s="3">
        <v>4</v>
      </c>
      <c r="C3844" s="3">
        <v>2</v>
      </c>
      <c r="D3844" s="3">
        <v>76</v>
      </c>
      <c r="E3844" s="3">
        <v>1</v>
      </c>
      <c r="F3844" s="4" t="str">
        <f>HYPERLINK("http://141.218.60.56/~jnz1568/getInfo.php?workbook=14_04.xlsx&amp;sheet=U0&amp;row=3844&amp;col=6&amp;number=3&amp;sourceID=14","3")</f>
        <v>3</v>
      </c>
      <c r="G3844" s="4" t="str">
        <f>HYPERLINK("http://141.218.60.56/~jnz1568/getInfo.php?workbook=14_04.xlsx&amp;sheet=U0&amp;row=3844&amp;col=7&amp;number=0.00022&amp;sourceID=14","0.00022")</f>
        <v>0.00022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HYPERLINK("http://141.218.60.56/~jnz1568/getInfo.php?workbook=14_04.xlsx&amp;sheet=U0&amp;row=3845&amp;col=6&amp;number=3.1&amp;sourceID=14","3.1")</f>
        <v>3.1</v>
      </c>
      <c r="G3845" s="4" t="str">
        <f>HYPERLINK("http://141.218.60.56/~jnz1568/getInfo.php?workbook=14_04.xlsx&amp;sheet=U0&amp;row=3845&amp;col=7&amp;number=0.00022&amp;sourceID=14","0.00022")</f>
        <v>0.00022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HYPERLINK("http://141.218.60.56/~jnz1568/getInfo.php?workbook=14_04.xlsx&amp;sheet=U0&amp;row=3846&amp;col=6&amp;number=3.2&amp;sourceID=14","3.2")</f>
        <v>3.2</v>
      </c>
      <c r="G3846" s="4" t="str">
        <f>HYPERLINK("http://141.218.60.56/~jnz1568/getInfo.php?workbook=14_04.xlsx&amp;sheet=U0&amp;row=3846&amp;col=7&amp;number=0.00022&amp;sourceID=14","0.00022")</f>
        <v>0.00022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HYPERLINK("http://141.218.60.56/~jnz1568/getInfo.php?workbook=14_04.xlsx&amp;sheet=U0&amp;row=3847&amp;col=6&amp;number=3.3&amp;sourceID=14","3.3")</f>
        <v>3.3</v>
      </c>
      <c r="G3847" s="4" t="str">
        <f>HYPERLINK("http://141.218.60.56/~jnz1568/getInfo.php?workbook=14_04.xlsx&amp;sheet=U0&amp;row=3847&amp;col=7&amp;number=0.00022&amp;sourceID=14","0.00022")</f>
        <v>0.00022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HYPERLINK("http://141.218.60.56/~jnz1568/getInfo.php?workbook=14_04.xlsx&amp;sheet=U0&amp;row=3848&amp;col=6&amp;number=3.4&amp;sourceID=14","3.4")</f>
        <v>3.4</v>
      </c>
      <c r="G3848" s="4" t="str">
        <f>HYPERLINK("http://141.218.60.56/~jnz1568/getInfo.php?workbook=14_04.xlsx&amp;sheet=U0&amp;row=3848&amp;col=7&amp;number=0.00022&amp;sourceID=14","0.00022")</f>
        <v>0.00022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HYPERLINK("http://141.218.60.56/~jnz1568/getInfo.php?workbook=14_04.xlsx&amp;sheet=U0&amp;row=3849&amp;col=6&amp;number=3.5&amp;sourceID=14","3.5")</f>
        <v>3.5</v>
      </c>
      <c r="G3849" s="4" t="str">
        <f>HYPERLINK("http://141.218.60.56/~jnz1568/getInfo.php?workbook=14_04.xlsx&amp;sheet=U0&amp;row=3849&amp;col=7&amp;number=0.00022&amp;sourceID=14","0.00022")</f>
        <v>0.00022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HYPERLINK("http://141.218.60.56/~jnz1568/getInfo.php?workbook=14_04.xlsx&amp;sheet=U0&amp;row=3850&amp;col=6&amp;number=3.6&amp;sourceID=14","3.6")</f>
        <v>3.6</v>
      </c>
      <c r="G3850" s="4" t="str">
        <f>HYPERLINK("http://141.218.60.56/~jnz1568/getInfo.php?workbook=14_04.xlsx&amp;sheet=U0&amp;row=3850&amp;col=7&amp;number=0.00022&amp;sourceID=14","0.00022")</f>
        <v>0.00022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HYPERLINK("http://141.218.60.56/~jnz1568/getInfo.php?workbook=14_04.xlsx&amp;sheet=U0&amp;row=3851&amp;col=6&amp;number=3.7&amp;sourceID=14","3.7")</f>
        <v>3.7</v>
      </c>
      <c r="G3851" s="4" t="str">
        <f>HYPERLINK("http://141.218.60.56/~jnz1568/getInfo.php?workbook=14_04.xlsx&amp;sheet=U0&amp;row=3851&amp;col=7&amp;number=0.00022&amp;sourceID=14","0.00022")</f>
        <v>0.00022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HYPERLINK("http://141.218.60.56/~jnz1568/getInfo.php?workbook=14_04.xlsx&amp;sheet=U0&amp;row=3852&amp;col=6&amp;number=3.8&amp;sourceID=14","3.8")</f>
        <v>3.8</v>
      </c>
      <c r="G3852" s="4" t="str">
        <f>HYPERLINK("http://141.218.60.56/~jnz1568/getInfo.php?workbook=14_04.xlsx&amp;sheet=U0&amp;row=3852&amp;col=7&amp;number=0.00022&amp;sourceID=14","0.00022")</f>
        <v>0.00022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HYPERLINK("http://141.218.60.56/~jnz1568/getInfo.php?workbook=14_04.xlsx&amp;sheet=U0&amp;row=3853&amp;col=6&amp;number=3.9&amp;sourceID=14","3.9")</f>
        <v>3.9</v>
      </c>
      <c r="G3853" s="4" t="str">
        <f>HYPERLINK("http://141.218.60.56/~jnz1568/getInfo.php?workbook=14_04.xlsx&amp;sheet=U0&amp;row=3853&amp;col=7&amp;number=0.00022&amp;sourceID=14","0.00022")</f>
        <v>0.00022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HYPERLINK("http://141.218.60.56/~jnz1568/getInfo.php?workbook=14_04.xlsx&amp;sheet=U0&amp;row=3854&amp;col=6&amp;number=4&amp;sourceID=14","4")</f>
        <v>4</v>
      </c>
      <c r="G3854" s="4" t="str">
        <f>HYPERLINK("http://141.218.60.56/~jnz1568/getInfo.php?workbook=14_04.xlsx&amp;sheet=U0&amp;row=3854&amp;col=7&amp;number=0.00022&amp;sourceID=14","0.00022")</f>
        <v>0.00022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HYPERLINK("http://141.218.60.56/~jnz1568/getInfo.php?workbook=14_04.xlsx&amp;sheet=U0&amp;row=3855&amp;col=6&amp;number=4.1&amp;sourceID=14","4.1")</f>
        <v>4.1</v>
      </c>
      <c r="G3855" s="4" t="str">
        <f>HYPERLINK("http://141.218.60.56/~jnz1568/getInfo.php?workbook=14_04.xlsx&amp;sheet=U0&amp;row=3855&amp;col=7&amp;number=0.00022&amp;sourceID=14","0.00022")</f>
        <v>0.00022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HYPERLINK("http://141.218.60.56/~jnz1568/getInfo.php?workbook=14_04.xlsx&amp;sheet=U0&amp;row=3856&amp;col=6&amp;number=4.2&amp;sourceID=14","4.2")</f>
        <v>4.2</v>
      </c>
      <c r="G3856" s="4" t="str">
        <f>HYPERLINK("http://141.218.60.56/~jnz1568/getInfo.php?workbook=14_04.xlsx&amp;sheet=U0&amp;row=3856&amp;col=7&amp;number=0.000219&amp;sourceID=14","0.000219")</f>
        <v>0.000219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HYPERLINK("http://141.218.60.56/~jnz1568/getInfo.php?workbook=14_04.xlsx&amp;sheet=U0&amp;row=3857&amp;col=6&amp;number=4.3&amp;sourceID=14","4.3")</f>
        <v>4.3</v>
      </c>
      <c r="G3857" s="4" t="str">
        <f>HYPERLINK("http://141.218.60.56/~jnz1568/getInfo.php?workbook=14_04.xlsx&amp;sheet=U0&amp;row=3857&amp;col=7&amp;number=0.000219&amp;sourceID=14","0.000219")</f>
        <v>0.000219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HYPERLINK("http://141.218.60.56/~jnz1568/getInfo.php?workbook=14_04.xlsx&amp;sheet=U0&amp;row=3858&amp;col=6&amp;number=4.4&amp;sourceID=14","4.4")</f>
        <v>4.4</v>
      </c>
      <c r="G3858" s="4" t="str">
        <f>HYPERLINK("http://141.218.60.56/~jnz1568/getInfo.php?workbook=14_04.xlsx&amp;sheet=U0&amp;row=3858&amp;col=7&amp;number=0.000219&amp;sourceID=14","0.000219")</f>
        <v>0.000219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HYPERLINK("http://141.218.60.56/~jnz1568/getInfo.php?workbook=14_04.xlsx&amp;sheet=U0&amp;row=3859&amp;col=6&amp;number=4.5&amp;sourceID=14","4.5")</f>
        <v>4.5</v>
      </c>
      <c r="G3859" s="4" t="str">
        <f>HYPERLINK("http://141.218.60.56/~jnz1568/getInfo.php?workbook=14_04.xlsx&amp;sheet=U0&amp;row=3859&amp;col=7&amp;number=0.000219&amp;sourceID=14","0.000219")</f>
        <v>0.000219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HYPERLINK("http://141.218.60.56/~jnz1568/getInfo.php?workbook=14_04.xlsx&amp;sheet=U0&amp;row=3860&amp;col=6&amp;number=4.6&amp;sourceID=14","4.6")</f>
        <v>4.6</v>
      </c>
      <c r="G3860" s="4" t="str">
        <f>HYPERLINK("http://141.218.60.56/~jnz1568/getInfo.php?workbook=14_04.xlsx&amp;sheet=U0&amp;row=3860&amp;col=7&amp;number=0.000218&amp;sourceID=14","0.000218")</f>
        <v>0.000218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HYPERLINK("http://141.218.60.56/~jnz1568/getInfo.php?workbook=14_04.xlsx&amp;sheet=U0&amp;row=3861&amp;col=6&amp;number=4.7&amp;sourceID=14","4.7")</f>
        <v>4.7</v>
      </c>
      <c r="G3861" s="4" t="str">
        <f>HYPERLINK("http://141.218.60.56/~jnz1568/getInfo.php?workbook=14_04.xlsx&amp;sheet=U0&amp;row=3861&amp;col=7&amp;number=0.000218&amp;sourceID=14","0.000218")</f>
        <v>0.000218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HYPERLINK("http://141.218.60.56/~jnz1568/getInfo.php?workbook=14_04.xlsx&amp;sheet=U0&amp;row=3862&amp;col=6&amp;number=4.8&amp;sourceID=14","4.8")</f>
        <v>4.8</v>
      </c>
      <c r="G3862" s="4" t="str">
        <f>HYPERLINK("http://141.218.60.56/~jnz1568/getInfo.php?workbook=14_04.xlsx&amp;sheet=U0&amp;row=3862&amp;col=7&amp;number=0.000218&amp;sourceID=14","0.000218")</f>
        <v>0.000218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HYPERLINK("http://141.218.60.56/~jnz1568/getInfo.php?workbook=14_04.xlsx&amp;sheet=U0&amp;row=3863&amp;col=6&amp;number=4.9&amp;sourceID=14","4.9")</f>
        <v>4.9</v>
      </c>
      <c r="G3863" s="4" t="str">
        <f>HYPERLINK("http://141.218.60.56/~jnz1568/getInfo.php?workbook=14_04.xlsx&amp;sheet=U0&amp;row=3863&amp;col=7&amp;number=0.000217&amp;sourceID=14","0.000217")</f>
        <v>0.000217</v>
      </c>
    </row>
    <row r="3864" spans="1:7">
      <c r="A3864" s="3">
        <v>14</v>
      </c>
      <c r="B3864" s="3">
        <v>4</v>
      </c>
      <c r="C3864" s="3">
        <v>2</v>
      </c>
      <c r="D3864" s="3">
        <v>77</v>
      </c>
      <c r="E3864" s="3">
        <v>1</v>
      </c>
      <c r="F3864" s="4" t="str">
        <f>HYPERLINK("http://141.218.60.56/~jnz1568/getInfo.php?workbook=14_04.xlsx&amp;sheet=U0&amp;row=3864&amp;col=6&amp;number=3&amp;sourceID=14","3")</f>
        <v>3</v>
      </c>
      <c r="G3864" s="4" t="str">
        <f>HYPERLINK("http://141.218.60.56/~jnz1568/getInfo.php?workbook=14_04.xlsx&amp;sheet=U0&amp;row=3864&amp;col=7&amp;number=9.24e-05&amp;sourceID=14","9.24e-05")</f>
        <v>9.24e-05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HYPERLINK("http://141.218.60.56/~jnz1568/getInfo.php?workbook=14_04.xlsx&amp;sheet=U0&amp;row=3865&amp;col=6&amp;number=3.1&amp;sourceID=14","3.1")</f>
        <v>3.1</v>
      </c>
      <c r="G3865" s="4" t="str">
        <f>HYPERLINK("http://141.218.60.56/~jnz1568/getInfo.php?workbook=14_04.xlsx&amp;sheet=U0&amp;row=3865&amp;col=7&amp;number=9.24e-05&amp;sourceID=14","9.24e-05")</f>
        <v>9.24e-05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HYPERLINK("http://141.218.60.56/~jnz1568/getInfo.php?workbook=14_04.xlsx&amp;sheet=U0&amp;row=3866&amp;col=6&amp;number=3.2&amp;sourceID=14","3.2")</f>
        <v>3.2</v>
      </c>
      <c r="G3866" s="4" t="str">
        <f>HYPERLINK("http://141.218.60.56/~jnz1568/getInfo.php?workbook=14_04.xlsx&amp;sheet=U0&amp;row=3866&amp;col=7&amp;number=9.24e-05&amp;sourceID=14","9.24e-05")</f>
        <v>9.24e-05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HYPERLINK("http://141.218.60.56/~jnz1568/getInfo.php?workbook=14_04.xlsx&amp;sheet=U0&amp;row=3867&amp;col=6&amp;number=3.3&amp;sourceID=14","3.3")</f>
        <v>3.3</v>
      </c>
      <c r="G3867" s="4" t="str">
        <f>HYPERLINK("http://141.218.60.56/~jnz1568/getInfo.php?workbook=14_04.xlsx&amp;sheet=U0&amp;row=3867&amp;col=7&amp;number=9.24e-05&amp;sourceID=14","9.24e-05")</f>
        <v>9.24e-05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HYPERLINK("http://141.218.60.56/~jnz1568/getInfo.php?workbook=14_04.xlsx&amp;sheet=U0&amp;row=3868&amp;col=6&amp;number=3.4&amp;sourceID=14","3.4")</f>
        <v>3.4</v>
      </c>
      <c r="G3868" s="4" t="str">
        <f>HYPERLINK("http://141.218.60.56/~jnz1568/getInfo.php?workbook=14_04.xlsx&amp;sheet=U0&amp;row=3868&amp;col=7&amp;number=9.24e-05&amp;sourceID=14","9.24e-05")</f>
        <v>9.24e-05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HYPERLINK("http://141.218.60.56/~jnz1568/getInfo.php?workbook=14_04.xlsx&amp;sheet=U0&amp;row=3869&amp;col=6&amp;number=3.5&amp;sourceID=14","3.5")</f>
        <v>3.5</v>
      </c>
      <c r="G3869" s="4" t="str">
        <f>HYPERLINK("http://141.218.60.56/~jnz1568/getInfo.php?workbook=14_04.xlsx&amp;sheet=U0&amp;row=3869&amp;col=7&amp;number=9.24e-05&amp;sourceID=14","9.24e-05")</f>
        <v>9.24e-05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HYPERLINK("http://141.218.60.56/~jnz1568/getInfo.php?workbook=14_04.xlsx&amp;sheet=U0&amp;row=3870&amp;col=6&amp;number=3.6&amp;sourceID=14","3.6")</f>
        <v>3.6</v>
      </c>
      <c r="G3870" s="4" t="str">
        <f>HYPERLINK("http://141.218.60.56/~jnz1568/getInfo.php?workbook=14_04.xlsx&amp;sheet=U0&amp;row=3870&amp;col=7&amp;number=9.24e-05&amp;sourceID=14","9.24e-05")</f>
        <v>9.24e-05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HYPERLINK("http://141.218.60.56/~jnz1568/getInfo.php?workbook=14_04.xlsx&amp;sheet=U0&amp;row=3871&amp;col=6&amp;number=3.7&amp;sourceID=14","3.7")</f>
        <v>3.7</v>
      </c>
      <c r="G3871" s="4" t="str">
        <f>HYPERLINK("http://141.218.60.56/~jnz1568/getInfo.php?workbook=14_04.xlsx&amp;sheet=U0&amp;row=3871&amp;col=7&amp;number=9.24e-05&amp;sourceID=14","9.24e-05")</f>
        <v>9.24e-05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HYPERLINK("http://141.218.60.56/~jnz1568/getInfo.php?workbook=14_04.xlsx&amp;sheet=U0&amp;row=3872&amp;col=6&amp;number=3.8&amp;sourceID=14","3.8")</f>
        <v>3.8</v>
      </c>
      <c r="G3872" s="4" t="str">
        <f>HYPERLINK("http://141.218.60.56/~jnz1568/getInfo.php?workbook=14_04.xlsx&amp;sheet=U0&amp;row=3872&amp;col=7&amp;number=9.24e-05&amp;sourceID=14","9.24e-05")</f>
        <v>9.24e-05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HYPERLINK("http://141.218.60.56/~jnz1568/getInfo.php?workbook=14_04.xlsx&amp;sheet=U0&amp;row=3873&amp;col=6&amp;number=3.9&amp;sourceID=14","3.9")</f>
        <v>3.9</v>
      </c>
      <c r="G3873" s="4" t="str">
        <f>HYPERLINK("http://141.218.60.56/~jnz1568/getInfo.php?workbook=14_04.xlsx&amp;sheet=U0&amp;row=3873&amp;col=7&amp;number=9.24e-05&amp;sourceID=14","9.24e-05")</f>
        <v>9.24e-05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HYPERLINK("http://141.218.60.56/~jnz1568/getInfo.php?workbook=14_04.xlsx&amp;sheet=U0&amp;row=3874&amp;col=6&amp;number=4&amp;sourceID=14","4")</f>
        <v>4</v>
      </c>
      <c r="G3874" s="4" t="str">
        <f>HYPERLINK("http://141.218.60.56/~jnz1568/getInfo.php?workbook=14_04.xlsx&amp;sheet=U0&amp;row=3874&amp;col=7&amp;number=9.24e-05&amp;sourceID=14","9.24e-05")</f>
        <v>9.24e-05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HYPERLINK("http://141.218.60.56/~jnz1568/getInfo.php?workbook=14_04.xlsx&amp;sheet=U0&amp;row=3875&amp;col=6&amp;number=4.1&amp;sourceID=14","4.1")</f>
        <v>4.1</v>
      </c>
      <c r="G3875" s="4" t="str">
        <f>HYPERLINK("http://141.218.60.56/~jnz1568/getInfo.php?workbook=14_04.xlsx&amp;sheet=U0&amp;row=3875&amp;col=7&amp;number=9.24e-05&amp;sourceID=14","9.24e-05")</f>
        <v>9.24e-05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HYPERLINK("http://141.218.60.56/~jnz1568/getInfo.php?workbook=14_04.xlsx&amp;sheet=U0&amp;row=3876&amp;col=6&amp;number=4.2&amp;sourceID=14","4.2")</f>
        <v>4.2</v>
      </c>
      <c r="G3876" s="4" t="str">
        <f>HYPERLINK("http://141.218.60.56/~jnz1568/getInfo.php?workbook=14_04.xlsx&amp;sheet=U0&amp;row=3876&amp;col=7&amp;number=9.24e-05&amp;sourceID=14","9.24e-05")</f>
        <v>9.24e-05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HYPERLINK("http://141.218.60.56/~jnz1568/getInfo.php?workbook=14_04.xlsx&amp;sheet=U0&amp;row=3877&amp;col=6&amp;number=4.3&amp;sourceID=14","4.3")</f>
        <v>4.3</v>
      </c>
      <c r="G3877" s="4" t="str">
        <f>HYPERLINK("http://141.218.60.56/~jnz1568/getInfo.php?workbook=14_04.xlsx&amp;sheet=U0&amp;row=3877&amp;col=7&amp;number=9.24e-05&amp;sourceID=14","9.24e-05")</f>
        <v>9.24e-05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HYPERLINK("http://141.218.60.56/~jnz1568/getInfo.php?workbook=14_04.xlsx&amp;sheet=U0&amp;row=3878&amp;col=6&amp;number=4.4&amp;sourceID=14","4.4")</f>
        <v>4.4</v>
      </c>
      <c r="G3878" s="4" t="str">
        <f>HYPERLINK("http://141.218.60.56/~jnz1568/getInfo.php?workbook=14_04.xlsx&amp;sheet=U0&amp;row=3878&amp;col=7&amp;number=9.24e-05&amp;sourceID=14","9.24e-05")</f>
        <v>9.24e-05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HYPERLINK("http://141.218.60.56/~jnz1568/getInfo.php?workbook=14_04.xlsx&amp;sheet=U0&amp;row=3879&amp;col=6&amp;number=4.5&amp;sourceID=14","4.5")</f>
        <v>4.5</v>
      </c>
      <c r="G3879" s="4" t="str">
        <f>HYPERLINK("http://141.218.60.56/~jnz1568/getInfo.php?workbook=14_04.xlsx&amp;sheet=U0&amp;row=3879&amp;col=7&amp;number=9.24e-05&amp;sourceID=14","9.24e-05")</f>
        <v>9.24e-05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HYPERLINK("http://141.218.60.56/~jnz1568/getInfo.php?workbook=14_04.xlsx&amp;sheet=U0&amp;row=3880&amp;col=6&amp;number=4.6&amp;sourceID=14","4.6")</f>
        <v>4.6</v>
      </c>
      <c r="G3880" s="4" t="str">
        <f>HYPERLINK("http://141.218.60.56/~jnz1568/getInfo.php?workbook=14_04.xlsx&amp;sheet=U0&amp;row=3880&amp;col=7&amp;number=9.24e-05&amp;sourceID=14","9.24e-05")</f>
        <v>9.24e-05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HYPERLINK("http://141.218.60.56/~jnz1568/getInfo.php?workbook=14_04.xlsx&amp;sheet=U0&amp;row=3881&amp;col=6&amp;number=4.7&amp;sourceID=14","4.7")</f>
        <v>4.7</v>
      </c>
      <c r="G3881" s="4" t="str">
        <f>HYPERLINK("http://141.218.60.56/~jnz1568/getInfo.php?workbook=14_04.xlsx&amp;sheet=U0&amp;row=3881&amp;col=7&amp;number=9.23e-05&amp;sourceID=14","9.23e-05")</f>
        <v>9.23e-05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HYPERLINK("http://141.218.60.56/~jnz1568/getInfo.php?workbook=14_04.xlsx&amp;sheet=U0&amp;row=3882&amp;col=6&amp;number=4.8&amp;sourceID=14","4.8")</f>
        <v>4.8</v>
      </c>
      <c r="G3882" s="4" t="str">
        <f>HYPERLINK("http://141.218.60.56/~jnz1568/getInfo.php?workbook=14_04.xlsx&amp;sheet=U0&amp;row=3882&amp;col=7&amp;number=9.23e-05&amp;sourceID=14","9.23e-05")</f>
        <v>9.23e-05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HYPERLINK("http://141.218.60.56/~jnz1568/getInfo.php?workbook=14_04.xlsx&amp;sheet=U0&amp;row=3883&amp;col=6&amp;number=4.9&amp;sourceID=14","4.9")</f>
        <v>4.9</v>
      </c>
      <c r="G3883" s="4" t="str">
        <f>HYPERLINK("http://141.218.60.56/~jnz1568/getInfo.php?workbook=14_04.xlsx&amp;sheet=U0&amp;row=3883&amp;col=7&amp;number=9.23e-05&amp;sourceID=14","9.23e-05")</f>
        <v>9.23e-05</v>
      </c>
    </row>
    <row r="3884" spans="1:7">
      <c r="A3884" s="3">
        <v>14</v>
      </c>
      <c r="B3884" s="3">
        <v>4</v>
      </c>
      <c r="C3884" s="3">
        <v>2</v>
      </c>
      <c r="D3884" s="3">
        <v>78</v>
      </c>
      <c r="E3884" s="3">
        <v>1</v>
      </c>
      <c r="F3884" s="4" t="str">
        <f>HYPERLINK("http://141.218.60.56/~jnz1568/getInfo.php?workbook=14_04.xlsx&amp;sheet=U0&amp;row=3884&amp;col=6&amp;number=3&amp;sourceID=14","3")</f>
        <v>3</v>
      </c>
      <c r="G3884" s="4" t="str">
        <f>HYPERLINK("http://141.218.60.56/~jnz1568/getInfo.php?workbook=14_04.xlsx&amp;sheet=U0&amp;row=3884&amp;col=7&amp;number=2.46e-05&amp;sourceID=14","2.46e-05")</f>
        <v>2.46e-05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HYPERLINK("http://141.218.60.56/~jnz1568/getInfo.php?workbook=14_04.xlsx&amp;sheet=U0&amp;row=3885&amp;col=6&amp;number=3.1&amp;sourceID=14","3.1")</f>
        <v>3.1</v>
      </c>
      <c r="G3885" s="4" t="str">
        <f>HYPERLINK("http://141.218.60.56/~jnz1568/getInfo.php?workbook=14_04.xlsx&amp;sheet=U0&amp;row=3885&amp;col=7&amp;number=2.46e-05&amp;sourceID=14","2.46e-05")</f>
        <v>2.46e-05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HYPERLINK("http://141.218.60.56/~jnz1568/getInfo.php?workbook=14_04.xlsx&amp;sheet=U0&amp;row=3886&amp;col=6&amp;number=3.2&amp;sourceID=14","3.2")</f>
        <v>3.2</v>
      </c>
      <c r="G3886" s="4" t="str">
        <f>HYPERLINK("http://141.218.60.56/~jnz1568/getInfo.php?workbook=14_04.xlsx&amp;sheet=U0&amp;row=3886&amp;col=7&amp;number=2.46e-05&amp;sourceID=14","2.46e-05")</f>
        <v>2.46e-05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HYPERLINK("http://141.218.60.56/~jnz1568/getInfo.php?workbook=14_04.xlsx&amp;sheet=U0&amp;row=3887&amp;col=6&amp;number=3.3&amp;sourceID=14","3.3")</f>
        <v>3.3</v>
      </c>
      <c r="G3887" s="4" t="str">
        <f>HYPERLINK("http://141.218.60.56/~jnz1568/getInfo.php?workbook=14_04.xlsx&amp;sheet=U0&amp;row=3887&amp;col=7&amp;number=2.46e-05&amp;sourceID=14","2.46e-05")</f>
        <v>2.46e-05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HYPERLINK("http://141.218.60.56/~jnz1568/getInfo.php?workbook=14_04.xlsx&amp;sheet=U0&amp;row=3888&amp;col=6&amp;number=3.4&amp;sourceID=14","3.4")</f>
        <v>3.4</v>
      </c>
      <c r="G3888" s="4" t="str">
        <f>HYPERLINK("http://141.218.60.56/~jnz1568/getInfo.php?workbook=14_04.xlsx&amp;sheet=U0&amp;row=3888&amp;col=7&amp;number=2.46e-05&amp;sourceID=14","2.46e-05")</f>
        <v>2.46e-05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HYPERLINK("http://141.218.60.56/~jnz1568/getInfo.php?workbook=14_04.xlsx&amp;sheet=U0&amp;row=3889&amp;col=6&amp;number=3.5&amp;sourceID=14","3.5")</f>
        <v>3.5</v>
      </c>
      <c r="G3889" s="4" t="str">
        <f>HYPERLINK("http://141.218.60.56/~jnz1568/getInfo.php?workbook=14_04.xlsx&amp;sheet=U0&amp;row=3889&amp;col=7&amp;number=2.46e-05&amp;sourceID=14","2.46e-05")</f>
        <v>2.46e-05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HYPERLINK("http://141.218.60.56/~jnz1568/getInfo.php?workbook=14_04.xlsx&amp;sheet=U0&amp;row=3890&amp;col=6&amp;number=3.6&amp;sourceID=14","3.6")</f>
        <v>3.6</v>
      </c>
      <c r="G3890" s="4" t="str">
        <f>HYPERLINK("http://141.218.60.56/~jnz1568/getInfo.php?workbook=14_04.xlsx&amp;sheet=U0&amp;row=3890&amp;col=7&amp;number=2.46e-05&amp;sourceID=14","2.46e-05")</f>
        <v>2.46e-05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HYPERLINK("http://141.218.60.56/~jnz1568/getInfo.php?workbook=14_04.xlsx&amp;sheet=U0&amp;row=3891&amp;col=6&amp;number=3.7&amp;sourceID=14","3.7")</f>
        <v>3.7</v>
      </c>
      <c r="G3891" s="4" t="str">
        <f>HYPERLINK("http://141.218.60.56/~jnz1568/getInfo.php?workbook=14_04.xlsx&amp;sheet=U0&amp;row=3891&amp;col=7&amp;number=2.46e-05&amp;sourceID=14","2.46e-05")</f>
        <v>2.46e-05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HYPERLINK("http://141.218.60.56/~jnz1568/getInfo.php?workbook=14_04.xlsx&amp;sheet=U0&amp;row=3892&amp;col=6&amp;number=3.8&amp;sourceID=14","3.8")</f>
        <v>3.8</v>
      </c>
      <c r="G3892" s="4" t="str">
        <f>HYPERLINK("http://141.218.60.56/~jnz1568/getInfo.php?workbook=14_04.xlsx&amp;sheet=U0&amp;row=3892&amp;col=7&amp;number=2.46e-05&amp;sourceID=14","2.46e-05")</f>
        <v>2.46e-05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HYPERLINK("http://141.218.60.56/~jnz1568/getInfo.php?workbook=14_04.xlsx&amp;sheet=U0&amp;row=3893&amp;col=6&amp;number=3.9&amp;sourceID=14","3.9")</f>
        <v>3.9</v>
      </c>
      <c r="G3893" s="4" t="str">
        <f>HYPERLINK("http://141.218.60.56/~jnz1568/getInfo.php?workbook=14_04.xlsx&amp;sheet=U0&amp;row=3893&amp;col=7&amp;number=2.46e-05&amp;sourceID=14","2.46e-05")</f>
        <v>2.46e-05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HYPERLINK("http://141.218.60.56/~jnz1568/getInfo.php?workbook=14_04.xlsx&amp;sheet=U0&amp;row=3894&amp;col=6&amp;number=4&amp;sourceID=14","4")</f>
        <v>4</v>
      </c>
      <c r="G3894" s="4" t="str">
        <f>HYPERLINK("http://141.218.60.56/~jnz1568/getInfo.php?workbook=14_04.xlsx&amp;sheet=U0&amp;row=3894&amp;col=7&amp;number=2.46e-05&amp;sourceID=14","2.46e-05")</f>
        <v>2.46e-05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HYPERLINK("http://141.218.60.56/~jnz1568/getInfo.php?workbook=14_04.xlsx&amp;sheet=U0&amp;row=3895&amp;col=6&amp;number=4.1&amp;sourceID=14","4.1")</f>
        <v>4.1</v>
      </c>
      <c r="G3895" s="4" t="str">
        <f>HYPERLINK("http://141.218.60.56/~jnz1568/getInfo.php?workbook=14_04.xlsx&amp;sheet=U0&amp;row=3895&amp;col=7&amp;number=2.46e-05&amp;sourceID=14","2.46e-05")</f>
        <v>2.46e-05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HYPERLINK("http://141.218.60.56/~jnz1568/getInfo.php?workbook=14_04.xlsx&amp;sheet=U0&amp;row=3896&amp;col=6&amp;number=4.2&amp;sourceID=14","4.2")</f>
        <v>4.2</v>
      </c>
      <c r="G3896" s="4" t="str">
        <f>HYPERLINK("http://141.218.60.56/~jnz1568/getInfo.php?workbook=14_04.xlsx&amp;sheet=U0&amp;row=3896&amp;col=7&amp;number=2.46e-05&amp;sourceID=14","2.46e-05")</f>
        <v>2.46e-05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HYPERLINK("http://141.218.60.56/~jnz1568/getInfo.php?workbook=14_04.xlsx&amp;sheet=U0&amp;row=3897&amp;col=6&amp;number=4.3&amp;sourceID=14","4.3")</f>
        <v>4.3</v>
      </c>
      <c r="G3897" s="4" t="str">
        <f>HYPERLINK("http://141.218.60.56/~jnz1568/getInfo.php?workbook=14_04.xlsx&amp;sheet=U0&amp;row=3897&amp;col=7&amp;number=2.46e-05&amp;sourceID=14","2.46e-05")</f>
        <v>2.46e-05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HYPERLINK("http://141.218.60.56/~jnz1568/getInfo.php?workbook=14_04.xlsx&amp;sheet=U0&amp;row=3898&amp;col=6&amp;number=4.4&amp;sourceID=14","4.4")</f>
        <v>4.4</v>
      </c>
      <c r="G3898" s="4" t="str">
        <f>HYPERLINK("http://141.218.60.56/~jnz1568/getInfo.php?workbook=14_04.xlsx&amp;sheet=U0&amp;row=3898&amp;col=7&amp;number=2.46e-05&amp;sourceID=14","2.46e-05")</f>
        <v>2.46e-05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HYPERLINK("http://141.218.60.56/~jnz1568/getInfo.php?workbook=14_04.xlsx&amp;sheet=U0&amp;row=3899&amp;col=6&amp;number=4.5&amp;sourceID=14","4.5")</f>
        <v>4.5</v>
      </c>
      <c r="G3899" s="4" t="str">
        <f>HYPERLINK("http://141.218.60.56/~jnz1568/getInfo.php?workbook=14_04.xlsx&amp;sheet=U0&amp;row=3899&amp;col=7&amp;number=2.46e-05&amp;sourceID=14","2.46e-05")</f>
        <v>2.46e-05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HYPERLINK("http://141.218.60.56/~jnz1568/getInfo.php?workbook=14_04.xlsx&amp;sheet=U0&amp;row=3900&amp;col=6&amp;number=4.6&amp;sourceID=14","4.6")</f>
        <v>4.6</v>
      </c>
      <c r="G3900" s="4" t="str">
        <f>HYPERLINK("http://141.218.60.56/~jnz1568/getInfo.php?workbook=14_04.xlsx&amp;sheet=U0&amp;row=3900&amp;col=7&amp;number=2.45e-05&amp;sourceID=14","2.45e-05")</f>
        <v>2.45e-05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HYPERLINK("http://141.218.60.56/~jnz1568/getInfo.php?workbook=14_04.xlsx&amp;sheet=U0&amp;row=3901&amp;col=6&amp;number=4.7&amp;sourceID=14","4.7")</f>
        <v>4.7</v>
      </c>
      <c r="G3901" s="4" t="str">
        <f>HYPERLINK("http://141.218.60.56/~jnz1568/getInfo.php?workbook=14_04.xlsx&amp;sheet=U0&amp;row=3901&amp;col=7&amp;number=2.45e-05&amp;sourceID=14","2.45e-05")</f>
        <v>2.45e-05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HYPERLINK("http://141.218.60.56/~jnz1568/getInfo.php?workbook=14_04.xlsx&amp;sheet=U0&amp;row=3902&amp;col=6&amp;number=4.8&amp;sourceID=14","4.8")</f>
        <v>4.8</v>
      </c>
      <c r="G3902" s="4" t="str">
        <f>HYPERLINK("http://141.218.60.56/~jnz1568/getInfo.php?workbook=14_04.xlsx&amp;sheet=U0&amp;row=3902&amp;col=7&amp;number=2.45e-05&amp;sourceID=14","2.45e-05")</f>
        <v>2.45e-05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HYPERLINK("http://141.218.60.56/~jnz1568/getInfo.php?workbook=14_04.xlsx&amp;sheet=U0&amp;row=3903&amp;col=6&amp;number=4.9&amp;sourceID=14","4.9")</f>
        <v>4.9</v>
      </c>
      <c r="G3903" s="4" t="str">
        <f>HYPERLINK("http://141.218.60.56/~jnz1568/getInfo.php?workbook=14_04.xlsx&amp;sheet=U0&amp;row=3903&amp;col=7&amp;number=2.44e-05&amp;sourceID=14","2.44e-05")</f>
        <v>2.44e-05</v>
      </c>
    </row>
    <row r="3904" spans="1:7">
      <c r="A3904" s="3">
        <v>14</v>
      </c>
      <c r="B3904" s="3">
        <v>4</v>
      </c>
      <c r="C3904" s="3">
        <v>2</v>
      </c>
      <c r="D3904" s="3">
        <v>79</v>
      </c>
      <c r="E3904" s="3">
        <v>1</v>
      </c>
      <c r="F3904" s="4" t="str">
        <f>HYPERLINK("http://141.218.60.56/~jnz1568/getInfo.php?workbook=14_04.xlsx&amp;sheet=U0&amp;row=3904&amp;col=6&amp;number=3&amp;sourceID=14","3")</f>
        <v>3</v>
      </c>
      <c r="G3904" s="4" t="str">
        <f>HYPERLINK("http://141.218.60.56/~jnz1568/getInfo.php?workbook=14_04.xlsx&amp;sheet=U0&amp;row=3904&amp;col=7&amp;number=5.47e-05&amp;sourceID=14","5.47e-05")</f>
        <v>5.47e-05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HYPERLINK("http://141.218.60.56/~jnz1568/getInfo.php?workbook=14_04.xlsx&amp;sheet=U0&amp;row=3905&amp;col=6&amp;number=3.1&amp;sourceID=14","3.1")</f>
        <v>3.1</v>
      </c>
      <c r="G3905" s="4" t="str">
        <f>HYPERLINK("http://141.218.60.56/~jnz1568/getInfo.php?workbook=14_04.xlsx&amp;sheet=U0&amp;row=3905&amp;col=7&amp;number=5.47e-05&amp;sourceID=14","5.47e-05")</f>
        <v>5.47e-05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HYPERLINK("http://141.218.60.56/~jnz1568/getInfo.php?workbook=14_04.xlsx&amp;sheet=U0&amp;row=3906&amp;col=6&amp;number=3.2&amp;sourceID=14","3.2")</f>
        <v>3.2</v>
      </c>
      <c r="G3906" s="4" t="str">
        <f>HYPERLINK("http://141.218.60.56/~jnz1568/getInfo.php?workbook=14_04.xlsx&amp;sheet=U0&amp;row=3906&amp;col=7&amp;number=5.47e-05&amp;sourceID=14","5.47e-05")</f>
        <v>5.47e-05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HYPERLINK("http://141.218.60.56/~jnz1568/getInfo.php?workbook=14_04.xlsx&amp;sheet=U0&amp;row=3907&amp;col=6&amp;number=3.3&amp;sourceID=14","3.3")</f>
        <v>3.3</v>
      </c>
      <c r="G3907" s="4" t="str">
        <f>HYPERLINK("http://141.218.60.56/~jnz1568/getInfo.php?workbook=14_04.xlsx&amp;sheet=U0&amp;row=3907&amp;col=7&amp;number=5.47e-05&amp;sourceID=14","5.47e-05")</f>
        <v>5.47e-05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HYPERLINK("http://141.218.60.56/~jnz1568/getInfo.php?workbook=14_04.xlsx&amp;sheet=U0&amp;row=3908&amp;col=6&amp;number=3.4&amp;sourceID=14","3.4")</f>
        <v>3.4</v>
      </c>
      <c r="G3908" s="4" t="str">
        <f>HYPERLINK("http://141.218.60.56/~jnz1568/getInfo.php?workbook=14_04.xlsx&amp;sheet=U0&amp;row=3908&amp;col=7&amp;number=5.47e-05&amp;sourceID=14","5.47e-05")</f>
        <v>5.47e-05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HYPERLINK("http://141.218.60.56/~jnz1568/getInfo.php?workbook=14_04.xlsx&amp;sheet=U0&amp;row=3909&amp;col=6&amp;number=3.5&amp;sourceID=14","3.5")</f>
        <v>3.5</v>
      </c>
      <c r="G3909" s="4" t="str">
        <f>HYPERLINK("http://141.218.60.56/~jnz1568/getInfo.php?workbook=14_04.xlsx&amp;sheet=U0&amp;row=3909&amp;col=7&amp;number=5.47e-05&amp;sourceID=14","5.47e-05")</f>
        <v>5.47e-05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HYPERLINK("http://141.218.60.56/~jnz1568/getInfo.php?workbook=14_04.xlsx&amp;sheet=U0&amp;row=3910&amp;col=6&amp;number=3.6&amp;sourceID=14","3.6")</f>
        <v>3.6</v>
      </c>
      <c r="G3910" s="4" t="str">
        <f>HYPERLINK("http://141.218.60.56/~jnz1568/getInfo.php?workbook=14_04.xlsx&amp;sheet=U0&amp;row=3910&amp;col=7&amp;number=5.47e-05&amp;sourceID=14","5.47e-05")</f>
        <v>5.47e-05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HYPERLINK("http://141.218.60.56/~jnz1568/getInfo.php?workbook=14_04.xlsx&amp;sheet=U0&amp;row=3911&amp;col=6&amp;number=3.7&amp;sourceID=14","3.7")</f>
        <v>3.7</v>
      </c>
      <c r="G3911" s="4" t="str">
        <f>HYPERLINK("http://141.218.60.56/~jnz1568/getInfo.php?workbook=14_04.xlsx&amp;sheet=U0&amp;row=3911&amp;col=7&amp;number=5.47e-05&amp;sourceID=14","5.47e-05")</f>
        <v>5.47e-05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HYPERLINK("http://141.218.60.56/~jnz1568/getInfo.php?workbook=14_04.xlsx&amp;sheet=U0&amp;row=3912&amp;col=6&amp;number=3.8&amp;sourceID=14","3.8")</f>
        <v>3.8</v>
      </c>
      <c r="G3912" s="4" t="str">
        <f>HYPERLINK("http://141.218.60.56/~jnz1568/getInfo.php?workbook=14_04.xlsx&amp;sheet=U0&amp;row=3912&amp;col=7&amp;number=5.47e-05&amp;sourceID=14","5.47e-05")</f>
        <v>5.47e-05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HYPERLINK("http://141.218.60.56/~jnz1568/getInfo.php?workbook=14_04.xlsx&amp;sheet=U0&amp;row=3913&amp;col=6&amp;number=3.9&amp;sourceID=14","3.9")</f>
        <v>3.9</v>
      </c>
      <c r="G3913" s="4" t="str">
        <f>HYPERLINK("http://141.218.60.56/~jnz1568/getInfo.php?workbook=14_04.xlsx&amp;sheet=U0&amp;row=3913&amp;col=7&amp;number=5.47e-05&amp;sourceID=14","5.47e-05")</f>
        <v>5.47e-05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HYPERLINK("http://141.218.60.56/~jnz1568/getInfo.php?workbook=14_04.xlsx&amp;sheet=U0&amp;row=3914&amp;col=6&amp;number=4&amp;sourceID=14","4")</f>
        <v>4</v>
      </c>
      <c r="G3914" s="4" t="str">
        <f>HYPERLINK("http://141.218.60.56/~jnz1568/getInfo.php?workbook=14_04.xlsx&amp;sheet=U0&amp;row=3914&amp;col=7&amp;number=5.47e-05&amp;sourceID=14","5.47e-05")</f>
        <v>5.47e-05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HYPERLINK("http://141.218.60.56/~jnz1568/getInfo.php?workbook=14_04.xlsx&amp;sheet=U0&amp;row=3915&amp;col=6&amp;number=4.1&amp;sourceID=14","4.1")</f>
        <v>4.1</v>
      </c>
      <c r="G3915" s="4" t="str">
        <f>HYPERLINK("http://141.218.60.56/~jnz1568/getInfo.php?workbook=14_04.xlsx&amp;sheet=U0&amp;row=3915&amp;col=7&amp;number=5.47e-05&amp;sourceID=14","5.47e-05")</f>
        <v>5.47e-05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HYPERLINK("http://141.218.60.56/~jnz1568/getInfo.php?workbook=14_04.xlsx&amp;sheet=U0&amp;row=3916&amp;col=6&amp;number=4.2&amp;sourceID=14","4.2")</f>
        <v>4.2</v>
      </c>
      <c r="G3916" s="4" t="str">
        <f>HYPERLINK("http://141.218.60.56/~jnz1568/getInfo.php?workbook=14_04.xlsx&amp;sheet=U0&amp;row=3916&amp;col=7&amp;number=5.47e-05&amp;sourceID=14","5.47e-05")</f>
        <v>5.47e-05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HYPERLINK("http://141.218.60.56/~jnz1568/getInfo.php?workbook=14_04.xlsx&amp;sheet=U0&amp;row=3917&amp;col=6&amp;number=4.3&amp;sourceID=14","4.3")</f>
        <v>4.3</v>
      </c>
      <c r="G3917" s="4" t="str">
        <f>HYPERLINK("http://141.218.60.56/~jnz1568/getInfo.php?workbook=14_04.xlsx&amp;sheet=U0&amp;row=3917&amp;col=7&amp;number=5.47e-05&amp;sourceID=14","5.47e-05")</f>
        <v>5.47e-05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HYPERLINK("http://141.218.60.56/~jnz1568/getInfo.php?workbook=14_04.xlsx&amp;sheet=U0&amp;row=3918&amp;col=6&amp;number=4.4&amp;sourceID=14","4.4")</f>
        <v>4.4</v>
      </c>
      <c r="G3918" s="4" t="str">
        <f>HYPERLINK("http://141.218.60.56/~jnz1568/getInfo.php?workbook=14_04.xlsx&amp;sheet=U0&amp;row=3918&amp;col=7&amp;number=5.48e-05&amp;sourceID=14","5.48e-05")</f>
        <v>5.48e-05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HYPERLINK("http://141.218.60.56/~jnz1568/getInfo.php?workbook=14_04.xlsx&amp;sheet=U0&amp;row=3919&amp;col=6&amp;number=4.5&amp;sourceID=14","4.5")</f>
        <v>4.5</v>
      </c>
      <c r="G3919" s="4" t="str">
        <f>HYPERLINK("http://141.218.60.56/~jnz1568/getInfo.php?workbook=14_04.xlsx&amp;sheet=U0&amp;row=3919&amp;col=7&amp;number=5.48e-05&amp;sourceID=14","5.48e-05")</f>
        <v>5.48e-05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HYPERLINK("http://141.218.60.56/~jnz1568/getInfo.php?workbook=14_04.xlsx&amp;sheet=U0&amp;row=3920&amp;col=6&amp;number=4.6&amp;sourceID=14","4.6")</f>
        <v>4.6</v>
      </c>
      <c r="G3920" s="4" t="str">
        <f>HYPERLINK("http://141.218.60.56/~jnz1568/getInfo.php?workbook=14_04.xlsx&amp;sheet=U0&amp;row=3920&amp;col=7&amp;number=5.48e-05&amp;sourceID=14","5.48e-05")</f>
        <v>5.48e-05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HYPERLINK("http://141.218.60.56/~jnz1568/getInfo.php?workbook=14_04.xlsx&amp;sheet=U0&amp;row=3921&amp;col=6&amp;number=4.7&amp;sourceID=14","4.7")</f>
        <v>4.7</v>
      </c>
      <c r="G3921" s="4" t="str">
        <f>HYPERLINK("http://141.218.60.56/~jnz1568/getInfo.php?workbook=14_04.xlsx&amp;sheet=U0&amp;row=3921&amp;col=7&amp;number=5.49e-05&amp;sourceID=14","5.49e-05")</f>
        <v>5.49e-05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HYPERLINK("http://141.218.60.56/~jnz1568/getInfo.php?workbook=14_04.xlsx&amp;sheet=U0&amp;row=3922&amp;col=6&amp;number=4.8&amp;sourceID=14","4.8")</f>
        <v>4.8</v>
      </c>
      <c r="G3922" s="4" t="str">
        <f>HYPERLINK("http://141.218.60.56/~jnz1568/getInfo.php?workbook=14_04.xlsx&amp;sheet=U0&amp;row=3922&amp;col=7&amp;number=5.49e-05&amp;sourceID=14","5.49e-05")</f>
        <v>5.49e-05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HYPERLINK("http://141.218.60.56/~jnz1568/getInfo.php?workbook=14_04.xlsx&amp;sheet=U0&amp;row=3923&amp;col=6&amp;number=4.9&amp;sourceID=14","4.9")</f>
        <v>4.9</v>
      </c>
      <c r="G3923" s="4" t="str">
        <f>HYPERLINK("http://141.218.60.56/~jnz1568/getInfo.php?workbook=14_04.xlsx&amp;sheet=U0&amp;row=3923&amp;col=7&amp;number=5.5e-05&amp;sourceID=14","5.5e-05")</f>
        <v>5.5e-05</v>
      </c>
    </row>
    <row r="3924" spans="1:7">
      <c r="A3924" s="3">
        <v>14</v>
      </c>
      <c r="B3924" s="3">
        <v>4</v>
      </c>
      <c r="C3924" s="3">
        <v>2</v>
      </c>
      <c r="D3924" s="3">
        <v>80</v>
      </c>
      <c r="E3924" s="3">
        <v>1</v>
      </c>
      <c r="F3924" s="4" t="str">
        <f>HYPERLINK("http://141.218.60.56/~jnz1568/getInfo.php?workbook=14_04.xlsx&amp;sheet=U0&amp;row=3924&amp;col=6&amp;number=3&amp;sourceID=14","3")</f>
        <v>3</v>
      </c>
      <c r="G3924" s="4" t="str">
        <f>HYPERLINK("http://141.218.60.56/~jnz1568/getInfo.php?workbook=14_04.xlsx&amp;sheet=U0&amp;row=3924&amp;col=7&amp;number=6.35e-05&amp;sourceID=14","6.35e-05")</f>
        <v>6.35e-05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HYPERLINK("http://141.218.60.56/~jnz1568/getInfo.php?workbook=14_04.xlsx&amp;sheet=U0&amp;row=3925&amp;col=6&amp;number=3.1&amp;sourceID=14","3.1")</f>
        <v>3.1</v>
      </c>
      <c r="G3925" s="4" t="str">
        <f>HYPERLINK("http://141.218.60.56/~jnz1568/getInfo.php?workbook=14_04.xlsx&amp;sheet=U0&amp;row=3925&amp;col=7&amp;number=6.35e-05&amp;sourceID=14","6.35e-05")</f>
        <v>6.35e-05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HYPERLINK("http://141.218.60.56/~jnz1568/getInfo.php?workbook=14_04.xlsx&amp;sheet=U0&amp;row=3926&amp;col=6&amp;number=3.2&amp;sourceID=14","3.2")</f>
        <v>3.2</v>
      </c>
      <c r="G3926" s="4" t="str">
        <f>HYPERLINK("http://141.218.60.56/~jnz1568/getInfo.php?workbook=14_04.xlsx&amp;sheet=U0&amp;row=3926&amp;col=7&amp;number=6.35e-05&amp;sourceID=14","6.35e-05")</f>
        <v>6.35e-05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HYPERLINK("http://141.218.60.56/~jnz1568/getInfo.php?workbook=14_04.xlsx&amp;sheet=U0&amp;row=3927&amp;col=6&amp;number=3.3&amp;sourceID=14","3.3")</f>
        <v>3.3</v>
      </c>
      <c r="G3927" s="4" t="str">
        <f>HYPERLINK("http://141.218.60.56/~jnz1568/getInfo.php?workbook=14_04.xlsx&amp;sheet=U0&amp;row=3927&amp;col=7&amp;number=6.35e-05&amp;sourceID=14","6.35e-05")</f>
        <v>6.35e-05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HYPERLINK("http://141.218.60.56/~jnz1568/getInfo.php?workbook=14_04.xlsx&amp;sheet=U0&amp;row=3928&amp;col=6&amp;number=3.4&amp;sourceID=14","3.4")</f>
        <v>3.4</v>
      </c>
      <c r="G3928" s="4" t="str">
        <f>HYPERLINK("http://141.218.60.56/~jnz1568/getInfo.php?workbook=14_04.xlsx&amp;sheet=U0&amp;row=3928&amp;col=7&amp;number=6.35e-05&amp;sourceID=14","6.35e-05")</f>
        <v>6.35e-05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HYPERLINK("http://141.218.60.56/~jnz1568/getInfo.php?workbook=14_04.xlsx&amp;sheet=U0&amp;row=3929&amp;col=6&amp;number=3.5&amp;sourceID=14","3.5")</f>
        <v>3.5</v>
      </c>
      <c r="G3929" s="4" t="str">
        <f>HYPERLINK("http://141.218.60.56/~jnz1568/getInfo.php?workbook=14_04.xlsx&amp;sheet=U0&amp;row=3929&amp;col=7&amp;number=6.35e-05&amp;sourceID=14","6.35e-05")</f>
        <v>6.35e-05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HYPERLINK("http://141.218.60.56/~jnz1568/getInfo.php?workbook=14_04.xlsx&amp;sheet=U0&amp;row=3930&amp;col=6&amp;number=3.6&amp;sourceID=14","3.6")</f>
        <v>3.6</v>
      </c>
      <c r="G3930" s="4" t="str">
        <f>HYPERLINK("http://141.218.60.56/~jnz1568/getInfo.php?workbook=14_04.xlsx&amp;sheet=U0&amp;row=3930&amp;col=7&amp;number=6.34e-05&amp;sourceID=14","6.34e-05")</f>
        <v>6.34e-05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HYPERLINK("http://141.218.60.56/~jnz1568/getInfo.php?workbook=14_04.xlsx&amp;sheet=U0&amp;row=3931&amp;col=6&amp;number=3.7&amp;sourceID=14","3.7")</f>
        <v>3.7</v>
      </c>
      <c r="G3931" s="4" t="str">
        <f>HYPERLINK("http://141.218.60.56/~jnz1568/getInfo.php?workbook=14_04.xlsx&amp;sheet=U0&amp;row=3931&amp;col=7&amp;number=6.34e-05&amp;sourceID=14","6.34e-05")</f>
        <v>6.34e-05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HYPERLINK("http://141.218.60.56/~jnz1568/getInfo.php?workbook=14_04.xlsx&amp;sheet=U0&amp;row=3932&amp;col=6&amp;number=3.8&amp;sourceID=14","3.8")</f>
        <v>3.8</v>
      </c>
      <c r="G3932" s="4" t="str">
        <f>HYPERLINK("http://141.218.60.56/~jnz1568/getInfo.php?workbook=14_04.xlsx&amp;sheet=U0&amp;row=3932&amp;col=7&amp;number=6.34e-05&amp;sourceID=14","6.34e-05")</f>
        <v>6.34e-05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HYPERLINK("http://141.218.60.56/~jnz1568/getInfo.php?workbook=14_04.xlsx&amp;sheet=U0&amp;row=3933&amp;col=6&amp;number=3.9&amp;sourceID=14","3.9")</f>
        <v>3.9</v>
      </c>
      <c r="G3933" s="4" t="str">
        <f>HYPERLINK("http://141.218.60.56/~jnz1568/getInfo.php?workbook=14_04.xlsx&amp;sheet=U0&amp;row=3933&amp;col=7&amp;number=6.34e-05&amp;sourceID=14","6.34e-05")</f>
        <v>6.34e-05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HYPERLINK("http://141.218.60.56/~jnz1568/getInfo.php?workbook=14_04.xlsx&amp;sheet=U0&amp;row=3934&amp;col=6&amp;number=4&amp;sourceID=14","4")</f>
        <v>4</v>
      </c>
      <c r="G3934" s="4" t="str">
        <f>HYPERLINK("http://141.218.60.56/~jnz1568/getInfo.php?workbook=14_04.xlsx&amp;sheet=U0&amp;row=3934&amp;col=7&amp;number=6.33e-05&amp;sourceID=14","6.33e-05")</f>
        <v>6.33e-05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HYPERLINK("http://141.218.60.56/~jnz1568/getInfo.php?workbook=14_04.xlsx&amp;sheet=U0&amp;row=3935&amp;col=6&amp;number=4.1&amp;sourceID=14","4.1")</f>
        <v>4.1</v>
      </c>
      <c r="G3935" s="4" t="str">
        <f>HYPERLINK("http://141.218.60.56/~jnz1568/getInfo.php?workbook=14_04.xlsx&amp;sheet=U0&amp;row=3935&amp;col=7&amp;number=6.33e-05&amp;sourceID=14","6.33e-05")</f>
        <v>6.33e-05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HYPERLINK("http://141.218.60.56/~jnz1568/getInfo.php?workbook=14_04.xlsx&amp;sheet=U0&amp;row=3936&amp;col=6&amp;number=4.2&amp;sourceID=14","4.2")</f>
        <v>4.2</v>
      </c>
      <c r="G3936" s="4" t="str">
        <f>HYPERLINK("http://141.218.60.56/~jnz1568/getInfo.php?workbook=14_04.xlsx&amp;sheet=U0&amp;row=3936&amp;col=7&amp;number=6.32e-05&amp;sourceID=14","6.32e-05")</f>
        <v>6.32e-05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HYPERLINK("http://141.218.60.56/~jnz1568/getInfo.php?workbook=14_04.xlsx&amp;sheet=U0&amp;row=3937&amp;col=6&amp;number=4.3&amp;sourceID=14","4.3")</f>
        <v>4.3</v>
      </c>
      <c r="G3937" s="4" t="str">
        <f>HYPERLINK("http://141.218.60.56/~jnz1568/getInfo.php?workbook=14_04.xlsx&amp;sheet=U0&amp;row=3937&amp;col=7&amp;number=6.31e-05&amp;sourceID=14","6.31e-05")</f>
        <v>6.31e-05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HYPERLINK("http://141.218.60.56/~jnz1568/getInfo.php?workbook=14_04.xlsx&amp;sheet=U0&amp;row=3938&amp;col=6&amp;number=4.4&amp;sourceID=14","4.4")</f>
        <v>4.4</v>
      </c>
      <c r="G3938" s="4" t="str">
        <f>HYPERLINK("http://141.218.60.56/~jnz1568/getInfo.php?workbook=14_04.xlsx&amp;sheet=U0&amp;row=3938&amp;col=7&amp;number=6.3e-05&amp;sourceID=14","6.3e-05")</f>
        <v>6.3e-05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HYPERLINK("http://141.218.60.56/~jnz1568/getInfo.php?workbook=14_04.xlsx&amp;sheet=U0&amp;row=3939&amp;col=6&amp;number=4.5&amp;sourceID=14","4.5")</f>
        <v>4.5</v>
      </c>
      <c r="G3939" s="4" t="str">
        <f>HYPERLINK("http://141.218.60.56/~jnz1568/getInfo.php?workbook=14_04.xlsx&amp;sheet=U0&amp;row=3939&amp;col=7&amp;number=6.29e-05&amp;sourceID=14","6.29e-05")</f>
        <v>6.29e-05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HYPERLINK("http://141.218.60.56/~jnz1568/getInfo.php?workbook=14_04.xlsx&amp;sheet=U0&amp;row=3940&amp;col=6&amp;number=4.6&amp;sourceID=14","4.6")</f>
        <v>4.6</v>
      </c>
      <c r="G3940" s="4" t="str">
        <f>HYPERLINK("http://141.218.60.56/~jnz1568/getInfo.php?workbook=14_04.xlsx&amp;sheet=U0&amp;row=3940&amp;col=7&amp;number=6.27e-05&amp;sourceID=14","6.27e-05")</f>
        <v>6.27e-05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HYPERLINK("http://141.218.60.56/~jnz1568/getInfo.php?workbook=14_04.xlsx&amp;sheet=U0&amp;row=3941&amp;col=6&amp;number=4.7&amp;sourceID=14","4.7")</f>
        <v>4.7</v>
      </c>
      <c r="G3941" s="4" t="str">
        <f>HYPERLINK("http://141.218.60.56/~jnz1568/getInfo.php?workbook=14_04.xlsx&amp;sheet=U0&amp;row=3941&amp;col=7&amp;number=6.25e-05&amp;sourceID=14","6.25e-05")</f>
        <v>6.25e-05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HYPERLINK("http://141.218.60.56/~jnz1568/getInfo.php?workbook=14_04.xlsx&amp;sheet=U0&amp;row=3942&amp;col=6&amp;number=4.8&amp;sourceID=14","4.8")</f>
        <v>4.8</v>
      </c>
      <c r="G3942" s="4" t="str">
        <f>HYPERLINK("http://141.218.60.56/~jnz1568/getInfo.php?workbook=14_04.xlsx&amp;sheet=U0&amp;row=3942&amp;col=7&amp;number=6.23e-05&amp;sourceID=14","6.23e-05")</f>
        <v>6.23e-05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HYPERLINK("http://141.218.60.56/~jnz1568/getInfo.php?workbook=14_04.xlsx&amp;sheet=U0&amp;row=3943&amp;col=6&amp;number=4.9&amp;sourceID=14","4.9")</f>
        <v>4.9</v>
      </c>
      <c r="G3943" s="4" t="str">
        <f>HYPERLINK("http://141.218.60.56/~jnz1568/getInfo.php?workbook=14_04.xlsx&amp;sheet=U0&amp;row=3943&amp;col=7&amp;number=6.2e-05&amp;sourceID=14","6.2e-05")</f>
        <v>6.2e-05</v>
      </c>
    </row>
    <row r="3944" spans="1:7">
      <c r="A3944" s="3">
        <v>14</v>
      </c>
      <c r="B3944" s="3">
        <v>4</v>
      </c>
      <c r="C3944" s="3">
        <v>2</v>
      </c>
      <c r="D3944" s="3">
        <v>81</v>
      </c>
      <c r="E3944" s="3">
        <v>1</v>
      </c>
      <c r="F3944" s="4" t="str">
        <f>HYPERLINK("http://141.218.60.56/~jnz1568/getInfo.php?workbook=14_04.xlsx&amp;sheet=U0&amp;row=3944&amp;col=6&amp;number=3&amp;sourceID=14","3")</f>
        <v>3</v>
      </c>
      <c r="G3944" s="4" t="str">
        <f>HYPERLINK("http://141.218.60.56/~jnz1568/getInfo.php?workbook=14_04.xlsx&amp;sheet=U0&amp;row=3944&amp;col=7&amp;number=0.000517&amp;sourceID=14","0.000517")</f>
        <v>0.000517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HYPERLINK("http://141.218.60.56/~jnz1568/getInfo.php?workbook=14_04.xlsx&amp;sheet=U0&amp;row=3945&amp;col=6&amp;number=3.1&amp;sourceID=14","3.1")</f>
        <v>3.1</v>
      </c>
      <c r="G3945" s="4" t="str">
        <f>HYPERLINK("http://141.218.60.56/~jnz1568/getInfo.php?workbook=14_04.xlsx&amp;sheet=U0&amp;row=3945&amp;col=7&amp;number=0.000517&amp;sourceID=14","0.000517")</f>
        <v>0.000517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HYPERLINK("http://141.218.60.56/~jnz1568/getInfo.php?workbook=14_04.xlsx&amp;sheet=U0&amp;row=3946&amp;col=6&amp;number=3.2&amp;sourceID=14","3.2")</f>
        <v>3.2</v>
      </c>
      <c r="G3946" s="4" t="str">
        <f>HYPERLINK("http://141.218.60.56/~jnz1568/getInfo.php?workbook=14_04.xlsx&amp;sheet=U0&amp;row=3946&amp;col=7&amp;number=0.000517&amp;sourceID=14","0.000517")</f>
        <v>0.000517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HYPERLINK("http://141.218.60.56/~jnz1568/getInfo.php?workbook=14_04.xlsx&amp;sheet=U0&amp;row=3947&amp;col=6&amp;number=3.3&amp;sourceID=14","3.3")</f>
        <v>3.3</v>
      </c>
      <c r="G3947" s="4" t="str">
        <f>HYPERLINK("http://141.218.60.56/~jnz1568/getInfo.php?workbook=14_04.xlsx&amp;sheet=U0&amp;row=3947&amp;col=7&amp;number=0.000517&amp;sourceID=14","0.000517")</f>
        <v>0.000517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HYPERLINK("http://141.218.60.56/~jnz1568/getInfo.php?workbook=14_04.xlsx&amp;sheet=U0&amp;row=3948&amp;col=6&amp;number=3.4&amp;sourceID=14","3.4")</f>
        <v>3.4</v>
      </c>
      <c r="G3948" s="4" t="str">
        <f>HYPERLINK("http://141.218.60.56/~jnz1568/getInfo.php?workbook=14_04.xlsx&amp;sheet=U0&amp;row=3948&amp;col=7&amp;number=0.000517&amp;sourceID=14","0.000517")</f>
        <v>0.000517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HYPERLINK("http://141.218.60.56/~jnz1568/getInfo.php?workbook=14_04.xlsx&amp;sheet=U0&amp;row=3949&amp;col=6&amp;number=3.5&amp;sourceID=14","3.5")</f>
        <v>3.5</v>
      </c>
      <c r="G3949" s="4" t="str">
        <f>HYPERLINK("http://141.218.60.56/~jnz1568/getInfo.php?workbook=14_04.xlsx&amp;sheet=U0&amp;row=3949&amp;col=7&amp;number=0.000517&amp;sourceID=14","0.000517")</f>
        <v>0.000517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HYPERLINK("http://141.218.60.56/~jnz1568/getInfo.php?workbook=14_04.xlsx&amp;sheet=U0&amp;row=3950&amp;col=6&amp;number=3.6&amp;sourceID=14","3.6")</f>
        <v>3.6</v>
      </c>
      <c r="G3950" s="4" t="str">
        <f>HYPERLINK("http://141.218.60.56/~jnz1568/getInfo.php?workbook=14_04.xlsx&amp;sheet=U0&amp;row=3950&amp;col=7&amp;number=0.000517&amp;sourceID=14","0.000517")</f>
        <v>0.000517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HYPERLINK("http://141.218.60.56/~jnz1568/getInfo.php?workbook=14_04.xlsx&amp;sheet=U0&amp;row=3951&amp;col=6&amp;number=3.7&amp;sourceID=14","3.7")</f>
        <v>3.7</v>
      </c>
      <c r="G3951" s="4" t="str">
        <f>HYPERLINK("http://141.218.60.56/~jnz1568/getInfo.php?workbook=14_04.xlsx&amp;sheet=U0&amp;row=3951&amp;col=7&amp;number=0.000517&amp;sourceID=14","0.000517")</f>
        <v>0.000517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HYPERLINK("http://141.218.60.56/~jnz1568/getInfo.php?workbook=14_04.xlsx&amp;sheet=U0&amp;row=3952&amp;col=6&amp;number=3.8&amp;sourceID=14","3.8")</f>
        <v>3.8</v>
      </c>
      <c r="G3952" s="4" t="str">
        <f>HYPERLINK("http://141.218.60.56/~jnz1568/getInfo.php?workbook=14_04.xlsx&amp;sheet=U0&amp;row=3952&amp;col=7&amp;number=0.000517&amp;sourceID=14","0.000517")</f>
        <v>0.000517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HYPERLINK("http://141.218.60.56/~jnz1568/getInfo.php?workbook=14_04.xlsx&amp;sheet=U0&amp;row=3953&amp;col=6&amp;number=3.9&amp;sourceID=14","3.9")</f>
        <v>3.9</v>
      </c>
      <c r="G3953" s="4" t="str">
        <f>HYPERLINK("http://141.218.60.56/~jnz1568/getInfo.php?workbook=14_04.xlsx&amp;sheet=U0&amp;row=3953&amp;col=7&amp;number=0.000516&amp;sourceID=14","0.000516")</f>
        <v>0.000516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HYPERLINK("http://141.218.60.56/~jnz1568/getInfo.php?workbook=14_04.xlsx&amp;sheet=U0&amp;row=3954&amp;col=6&amp;number=4&amp;sourceID=14","4")</f>
        <v>4</v>
      </c>
      <c r="G3954" s="4" t="str">
        <f>HYPERLINK("http://141.218.60.56/~jnz1568/getInfo.php?workbook=14_04.xlsx&amp;sheet=U0&amp;row=3954&amp;col=7&amp;number=0.000516&amp;sourceID=14","0.000516")</f>
        <v>0.000516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HYPERLINK("http://141.218.60.56/~jnz1568/getInfo.php?workbook=14_04.xlsx&amp;sheet=U0&amp;row=3955&amp;col=6&amp;number=4.1&amp;sourceID=14","4.1")</f>
        <v>4.1</v>
      </c>
      <c r="G3955" s="4" t="str">
        <f>HYPERLINK("http://141.218.60.56/~jnz1568/getInfo.php?workbook=14_04.xlsx&amp;sheet=U0&amp;row=3955&amp;col=7&amp;number=0.000516&amp;sourceID=14","0.000516")</f>
        <v>0.000516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HYPERLINK("http://141.218.60.56/~jnz1568/getInfo.php?workbook=14_04.xlsx&amp;sheet=U0&amp;row=3956&amp;col=6&amp;number=4.2&amp;sourceID=14","4.2")</f>
        <v>4.2</v>
      </c>
      <c r="G3956" s="4" t="str">
        <f>HYPERLINK("http://141.218.60.56/~jnz1568/getInfo.php?workbook=14_04.xlsx&amp;sheet=U0&amp;row=3956&amp;col=7&amp;number=0.000515&amp;sourceID=14","0.000515")</f>
        <v>0.000515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HYPERLINK("http://141.218.60.56/~jnz1568/getInfo.php?workbook=14_04.xlsx&amp;sheet=U0&amp;row=3957&amp;col=6&amp;number=4.3&amp;sourceID=14","4.3")</f>
        <v>4.3</v>
      </c>
      <c r="G3957" s="4" t="str">
        <f>HYPERLINK("http://141.218.60.56/~jnz1568/getInfo.php?workbook=14_04.xlsx&amp;sheet=U0&amp;row=3957&amp;col=7&amp;number=0.000515&amp;sourceID=14","0.000515")</f>
        <v>0.000515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HYPERLINK("http://141.218.60.56/~jnz1568/getInfo.php?workbook=14_04.xlsx&amp;sheet=U0&amp;row=3958&amp;col=6&amp;number=4.4&amp;sourceID=14","4.4")</f>
        <v>4.4</v>
      </c>
      <c r="G3958" s="4" t="str">
        <f>HYPERLINK("http://141.218.60.56/~jnz1568/getInfo.php?workbook=14_04.xlsx&amp;sheet=U0&amp;row=3958&amp;col=7&amp;number=0.000514&amp;sourceID=14","0.000514")</f>
        <v>0.000514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HYPERLINK("http://141.218.60.56/~jnz1568/getInfo.php?workbook=14_04.xlsx&amp;sheet=U0&amp;row=3959&amp;col=6&amp;number=4.5&amp;sourceID=14","4.5")</f>
        <v>4.5</v>
      </c>
      <c r="G3959" s="4" t="str">
        <f>HYPERLINK("http://141.218.60.56/~jnz1568/getInfo.php?workbook=14_04.xlsx&amp;sheet=U0&amp;row=3959&amp;col=7&amp;number=0.000513&amp;sourceID=14","0.000513")</f>
        <v>0.000513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HYPERLINK("http://141.218.60.56/~jnz1568/getInfo.php?workbook=14_04.xlsx&amp;sheet=U0&amp;row=3960&amp;col=6&amp;number=4.6&amp;sourceID=14","4.6")</f>
        <v>4.6</v>
      </c>
      <c r="G3960" s="4" t="str">
        <f>HYPERLINK("http://141.218.60.56/~jnz1568/getInfo.php?workbook=14_04.xlsx&amp;sheet=U0&amp;row=3960&amp;col=7&amp;number=0.000512&amp;sourceID=14","0.000512")</f>
        <v>0.000512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HYPERLINK("http://141.218.60.56/~jnz1568/getInfo.php?workbook=14_04.xlsx&amp;sheet=U0&amp;row=3961&amp;col=6&amp;number=4.7&amp;sourceID=14","4.7")</f>
        <v>4.7</v>
      </c>
      <c r="G3961" s="4" t="str">
        <f>HYPERLINK("http://141.218.60.56/~jnz1568/getInfo.php?workbook=14_04.xlsx&amp;sheet=U0&amp;row=3961&amp;col=7&amp;number=0.00051&amp;sourceID=14","0.00051")</f>
        <v>0.00051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HYPERLINK("http://141.218.60.56/~jnz1568/getInfo.php?workbook=14_04.xlsx&amp;sheet=U0&amp;row=3962&amp;col=6&amp;number=4.8&amp;sourceID=14","4.8")</f>
        <v>4.8</v>
      </c>
      <c r="G3962" s="4" t="str">
        <f>HYPERLINK("http://141.218.60.56/~jnz1568/getInfo.php?workbook=14_04.xlsx&amp;sheet=U0&amp;row=3962&amp;col=7&amp;number=0.000509&amp;sourceID=14","0.000509")</f>
        <v>0.000509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HYPERLINK("http://141.218.60.56/~jnz1568/getInfo.php?workbook=14_04.xlsx&amp;sheet=U0&amp;row=3963&amp;col=6&amp;number=4.9&amp;sourceID=14","4.9")</f>
        <v>4.9</v>
      </c>
      <c r="G3963" s="4" t="str">
        <f>HYPERLINK("http://141.218.60.56/~jnz1568/getInfo.php?workbook=14_04.xlsx&amp;sheet=U0&amp;row=3963&amp;col=7&amp;number=0.000506&amp;sourceID=14","0.000506")</f>
        <v>0.000506</v>
      </c>
    </row>
    <row r="3964" spans="1:7">
      <c r="A3964" s="3">
        <v>14</v>
      </c>
      <c r="B3964" s="3">
        <v>4</v>
      </c>
      <c r="C3964" s="3">
        <v>2</v>
      </c>
      <c r="D3964" s="3">
        <v>82</v>
      </c>
      <c r="E3964" s="3">
        <v>1</v>
      </c>
      <c r="F3964" s="4" t="str">
        <f>HYPERLINK("http://141.218.60.56/~jnz1568/getInfo.php?workbook=14_04.xlsx&amp;sheet=U0&amp;row=3964&amp;col=6&amp;number=3&amp;sourceID=14","3")</f>
        <v>3</v>
      </c>
      <c r="G3964" s="4" t="str">
        <f>HYPERLINK("http://141.218.60.56/~jnz1568/getInfo.php?workbook=14_04.xlsx&amp;sheet=U0&amp;row=3964&amp;col=7&amp;number=0.000161&amp;sourceID=14","0.000161")</f>
        <v>0.000161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HYPERLINK("http://141.218.60.56/~jnz1568/getInfo.php?workbook=14_04.xlsx&amp;sheet=U0&amp;row=3965&amp;col=6&amp;number=3.1&amp;sourceID=14","3.1")</f>
        <v>3.1</v>
      </c>
      <c r="G3965" s="4" t="str">
        <f>HYPERLINK("http://141.218.60.56/~jnz1568/getInfo.php?workbook=14_04.xlsx&amp;sheet=U0&amp;row=3965&amp;col=7&amp;number=0.000161&amp;sourceID=14","0.000161")</f>
        <v>0.000161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HYPERLINK("http://141.218.60.56/~jnz1568/getInfo.php?workbook=14_04.xlsx&amp;sheet=U0&amp;row=3966&amp;col=6&amp;number=3.2&amp;sourceID=14","3.2")</f>
        <v>3.2</v>
      </c>
      <c r="G3966" s="4" t="str">
        <f>HYPERLINK("http://141.218.60.56/~jnz1568/getInfo.php?workbook=14_04.xlsx&amp;sheet=U0&amp;row=3966&amp;col=7&amp;number=0.000161&amp;sourceID=14","0.000161")</f>
        <v>0.000161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HYPERLINK("http://141.218.60.56/~jnz1568/getInfo.php?workbook=14_04.xlsx&amp;sheet=U0&amp;row=3967&amp;col=6&amp;number=3.3&amp;sourceID=14","3.3")</f>
        <v>3.3</v>
      </c>
      <c r="G3967" s="4" t="str">
        <f>HYPERLINK("http://141.218.60.56/~jnz1568/getInfo.php?workbook=14_04.xlsx&amp;sheet=U0&amp;row=3967&amp;col=7&amp;number=0.000161&amp;sourceID=14","0.000161")</f>
        <v>0.000161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HYPERLINK("http://141.218.60.56/~jnz1568/getInfo.php?workbook=14_04.xlsx&amp;sheet=U0&amp;row=3968&amp;col=6&amp;number=3.4&amp;sourceID=14","3.4")</f>
        <v>3.4</v>
      </c>
      <c r="G3968" s="4" t="str">
        <f>HYPERLINK("http://141.218.60.56/~jnz1568/getInfo.php?workbook=14_04.xlsx&amp;sheet=U0&amp;row=3968&amp;col=7&amp;number=0.000161&amp;sourceID=14","0.000161")</f>
        <v>0.000161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HYPERLINK("http://141.218.60.56/~jnz1568/getInfo.php?workbook=14_04.xlsx&amp;sheet=U0&amp;row=3969&amp;col=6&amp;number=3.5&amp;sourceID=14","3.5")</f>
        <v>3.5</v>
      </c>
      <c r="G3969" s="4" t="str">
        <f>HYPERLINK("http://141.218.60.56/~jnz1568/getInfo.php?workbook=14_04.xlsx&amp;sheet=U0&amp;row=3969&amp;col=7&amp;number=0.000161&amp;sourceID=14","0.000161")</f>
        <v>0.000161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HYPERLINK("http://141.218.60.56/~jnz1568/getInfo.php?workbook=14_04.xlsx&amp;sheet=U0&amp;row=3970&amp;col=6&amp;number=3.6&amp;sourceID=14","3.6")</f>
        <v>3.6</v>
      </c>
      <c r="G3970" s="4" t="str">
        <f>HYPERLINK("http://141.218.60.56/~jnz1568/getInfo.php?workbook=14_04.xlsx&amp;sheet=U0&amp;row=3970&amp;col=7&amp;number=0.000161&amp;sourceID=14","0.000161")</f>
        <v>0.000161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HYPERLINK("http://141.218.60.56/~jnz1568/getInfo.php?workbook=14_04.xlsx&amp;sheet=U0&amp;row=3971&amp;col=6&amp;number=3.7&amp;sourceID=14","3.7")</f>
        <v>3.7</v>
      </c>
      <c r="G3971" s="4" t="str">
        <f>HYPERLINK("http://141.218.60.56/~jnz1568/getInfo.php?workbook=14_04.xlsx&amp;sheet=U0&amp;row=3971&amp;col=7&amp;number=0.000161&amp;sourceID=14","0.000161")</f>
        <v>0.000161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HYPERLINK("http://141.218.60.56/~jnz1568/getInfo.php?workbook=14_04.xlsx&amp;sheet=U0&amp;row=3972&amp;col=6&amp;number=3.8&amp;sourceID=14","3.8")</f>
        <v>3.8</v>
      </c>
      <c r="G3972" s="4" t="str">
        <f>HYPERLINK("http://141.218.60.56/~jnz1568/getInfo.php?workbook=14_04.xlsx&amp;sheet=U0&amp;row=3972&amp;col=7&amp;number=0.000161&amp;sourceID=14","0.000161")</f>
        <v>0.000161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HYPERLINK("http://141.218.60.56/~jnz1568/getInfo.php?workbook=14_04.xlsx&amp;sheet=U0&amp;row=3973&amp;col=6&amp;number=3.9&amp;sourceID=14","3.9")</f>
        <v>3.9</v>
      </c>
      <c r="G3973" s="4" t="str">
        <f>HYPERLINK("http://141.218.60.56/~jnz1568/getInfo.php?workbook=14_04.xlsx&amp;sheet=U0&amp;row=3973&amp;col=7&amp;number=0.000161&amp;sourceID=14","0.000161")</f>
        <v>0.000161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HYPERLINK("http://141.218.60.56/~jnz1568/getInfo.php?workbook=14_04.xlsx&amp;sheet=U0&amp;row=3974&amp;col=6&amp;number=4&amp;sourceID=14","4")</f>
        <v>4</v>
      </c>
      <c r="G3974" s="4" t="str">
        <f>HYPERLINK("http://141.218.60.56/~jnz1568/getInfo.php?workbook=14_04.xlsx&amp;sheet=U0&amp;row=3974&amp;col=7&amp;number=0.000161&amp;sourceID=14","0.000161")</f>
        <v>0.000161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HYPERLINK("http://141.218.60.56/~jnz1568/getInfo.php?workbook=14_04.xlsx&amp;sheet=U0&amp;row=3975&amp;col=6&amp;number=4.1&amp;sourceID=14","4.1")</f>
        <v>4.1</v>
      </c>
      <c r="G3975" s="4" t="str">
        <f>HYPERLINK("http://141.218.60.56/~jnz1568/getInfo.php?workbook=14_04.xlsx&amp;sheet=U0&amp;row=3975&amp;col=7&amp;number=0.000161&amp;sourceID=14","0.000161")</f>
        <v>0.000161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HYPERLINK("http://141.218.60.56/~jnz1568/getInfo.php?workbook=14_04.xlsx&amp;sheet=U0&amp;row=3976&amp;col=6&amp;number=4.2&amp;sourceID=14","4.2")</f>
        <v>4.2</v>
      </c>
      <c r="G3976" s="4" t="str">
        <f>HYPERLINK("http://141.218.60.56/~jnz1568/getInfo.php?workbook=14_04.xlsx&amp;sheet=U0&amp;row=3976&amp;col=7&amp;number=0.000161&amp;sourceID=14","0.000161")</f>
        <v>0.000161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HYPERLINK("http://141.218.60.56/~jnz1568/getInfo.php?workbook=14_04.xlsx&amp;sheet=U0&amp;row=3977&amp;col=6&amp;number=4.3&amp;sourceID=14","4.3")</f>
        <v>4.3</v>
      </c>
      <c r="G3977" s="4" t="str">
        <f>HYPERLINK("http://141.218.60.56/~jnz1568/getInfo.php?workbook=14_04.xlsx&amp;sheet=U0&amp;row=3977&amp;col=7&amp;number=0.000161&amp;sourceID=14","0.000161")</f>
        <v>0.000161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HYPERLINK("http://141.218.60.56/~jnz1568/getInfo.php?workbook=14_04.xlsx&amp;sheet=U0&amp;row=3978&amp;col=6&amp;number=4.4&amp;sourceID=14","4.4")</f>
        <v>4.4</v>
      </c>
      <c r="G3978" s="4" t="str">
        <f>HYPERLINK("http://141.218.60.56/~jnz1568/getInfo.php?workbook=14_04.xlsx&amp;sheet=U0&amp;row=3978&amp;col=7&amp;number=0.00016&amp;sourceID=14","0.00016")</f>
        <v>0.00016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HYPERLINK("http://141.218.60.56/~jnz1568/getInfo.php?workbook=14_04.xlsx&amp;sheet=U0&amp;row=3979&amp;col=6&amp;number=4.5&amp;sourceID=14","4.5")</f>
        <v>4.5</v>
      </c>
      <c r="G3979" s="4" t="str">
        <f>HYPERLINK("http://141.218.60.56/~jnz1568/getInfo.php?workbook=14_04.xlsx&amp;sheet=U0&amp;row=3979&amp;col=7&amp;number=0.00016&amp;sourceID=14","0.00016")</f>
        <v>0.00016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HYPERLINK("http://141.218.60.56/~jnz1568/getInfo.php?workbook=14_04.xlsx&amp;sheet=U0&amp;row=3980&amp;col=6&amp;number=4.6&amp;sourceID=14","4.6")</f>
        <v>4.6</v>
      </c>
      <c r="G3980" s="4" t="str">
        <f>HYPERLINK("http://141.218.60.56/~jnz1568/getInfo.php?workbook=14_04.xlsx&amp;sheet=U0&amp;row=3980&amp;col=7&amp;number=0.00016&amp;sourceID=14","0.00016")</f>
        <v>0.00016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HYPERLINK("http://141.218.60.56/~jnz1568/getInfo.php?workbook=14_04.xlsx&amp;sheet=U0&amp;row=3981&amp;col=6&amp;number=4.7&amp;sourceID=14","4.7")</f>
        <v>4.7</v>
      </c>
      <c r="G3981" s="4" t="str">
        <f>HYPERLINK("http://141.218.60.56/~jnz1568/getInfo.php?workbook=14_04.xlsx&amp;sheet=U0&amp;row=3981&amp;col=7&amp;number=0.000159&amp;sourceID=14","0.000159")</f>
        <v>0.000159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HYPERLINK("http://141.218.60.56/~jnz1568/getInfo.php?workbook=14_04.xlsx&amp;sheet=U0&amp;row=3982&amp;col=6&amp;number=4.8&amp;sourceID=14","4.8")</f>
        <v>4.8</v>
      </c>
      <c r="G3982" s="4" t="str">
        <f>HYPERLINK("http://141.218.60.56/~jnz1568/getInfo.php?workbook=14_04.xlsx&amp;sheet=U0&amp;row=3982&amp;col=7&amp;number=0.000159&amp;sourceID=14","0.000159")</f>
        <v>0.000159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HYPERLINK("http://141.218.60.56/~jnz1568/getInfo.php?workbook=14_04.xlsx&amp;sheet=U0&amp;row=3983&amp;col=6&amp;number=4.9&amp;sourceID=14","4.9")</f>
        <v>4.9</v>
      </c>
      <c r="G3983" s="4" t="str">
        <f>HYPERLINK("http://141.218.60.56/~jnz1568/getInfo.php?workbook=14_04.xlsx&amp;sheet=U0&amp;row=3983&amp;col=7&amp;number=0.000158&amp;sourceID=14","0.000158")</f>
        <v>0.000158</v>
      </c>
    </row>
    <row r="3984" spans="1:7">
      <c r="A3984" s="3">
        <v>14</v>
      </c>
      <c r="B3984" s="3">
        <v>4</v>
      </c>
      <c r="C3984" s="3">
        <v>2</v>
      </c>
      <c r="D3984" s="3">
        <v>83</v>
      </c>
      <c r="E3984" s="3">
        <v>1</v>
      </c>
      <c r="F3984" s="4" t="str">
        <f>HYPERLINK("http://141.218.60.56/~jnz1568/getInfo.php?workbook=14_04.xlsx&amp;sheet=U0&amp;row=3984&amp;col=6&amp;number=3&amp;sourceID=14","3")</f>
        <v>3</v>
      </c>
      <c r="G3984" s="4" t="str">
        <f>HYPERLINK("http://141.218.60.56/~jnz1568/getInfo.php?workbook=14_04.xlsx&amp;sheet=U0&amp;row=3984&amp;col=7&amp;number=0.00023&amp;sourceID=14","0.00023")</f>
        <v>0.00023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HYPERLINK("http://141.218.60.56/~jnz1568/getInfo.php?workbook=14_04.xlsx&amp;sheet=U0&amp;row=3985&amp;col=6&amp;number=3.1&amp;sourceID=14","3.1")</f>
        <v>3.1</v>
      </c>
      <c r="G3985" s="4" t="str">
        <f>HYPERLINK("http://141.218.60.56/~jnz1568/getInfo.php?workbook=14_04.xlsx&amp;sheet=U0&amp;row=3985&amp;col=7&amp;number=0.00023&amp;sourceID=14","0.00023")</f>
        <v>0.00023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HYPERLINK("http://141.218.60.56/~jnz1568/getInfo.php?workbook=14_04.xlsx&amp;sheet=U0&amp;row=3986&amp;col=6&amp;number=3.2&amp;sourceID=14","3.2")</f>
        <v>3.2</v>
      </c>
      <c r="G3986" s="4" t="str">
        <f>HYPERLINK("http://141.218.60.56/~jnz1568/getInfo.php?workbook=14_04.xlsx&amp;sheet=U0&amp;row=3986&amp;col=7&amp;number=0.00023&amp;sourceID=14","0.00023")</f>
        <v>0.00023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HYPERLINK("http://141.218.60.56/~jnz1568/getInfo.php?workbook=14_04.xlsx&amp;sheet=U0&amp;row=3987&amp;col=6&amp;number=3.3&amp;sourceID=14","3.3")</f>
        <v>3.3</v>
      </c>
      <c r="G3987" s="4" t="str">
        <f>HYPERLINK("http://141.218.60.56/~jnz1568/getInfo.php?workbook=14_04.xlsx&amp;sheet=U0&amp;row=3987&amp;col=7&amp;number=0.00023&amp;sourceID=14","0.00023")</f>
        <v>0.00023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HYPERLINK("http://141.218.60.56/~jnz1568/getInfo.php?workbook=14_04.xlsx&amp;sheet=U0&amp;row=3988&amp;col=6&amp;number=3.4&amp;sourceID=14","3.4")</f>
        <v>3.4</v>
      </c>
      <c r="G3988" s="4" t="str">
        <f>HYPERLINK("http://141.218.60.56/~jnz1568/getInfo.php?workbook=14_04.xlsx&amp;sheet=U0&amp;row=3988&amp;col=7&amp;number=0.00023&amp;sourceID=14","0.00023")</f>
        <v>0.00023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HYPERLINK("http://141.218.60.56/~jnz1568/getInfo.php?workbook=14_04.xlsx&amp;sheet=U0&amp;row=3989&amp;col=6&amp;number=3.5&amp;sourceID=14","3.5")</f>
        <v>3.5</v>
      </c>
      <c r="G3989" s="4" t="str">
        <f>HYPERLINK("http://141.218.60.56/~jnz1568/getInfo.php?workbook=14_04.xlsx&amp;sheet=U0&amp;row=3989&amp;col=7&amp;number=0.00023&amp;sourceID=14","0.00023")</f>
        <v>0.00023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HYPERLINK("http://141.218.60.56/~jnz1568/getInfo.php?workbook=14_04.xlsx&amp;sheet=U0&amp;row=3990&amp;col=6&amp;number=3.6&amp;sourceID=14","3.6")</f>
        <v>3.6</v>
      </c>
      <c r="G3990" s="4" t="str">
        <f>HYPERLINK("http://141.218.60.56/~jnz1568/getInfo.php?workbook=14_04.xlsx&amp;sheet=U0&amp;row=3990&amp;col=7&amp;number=0.00023&amp;sourceID=14","0.00023")</f>
        <v>0.00023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HYPERLINK("http://141.218.60.56/~jnz1568/getInfo.php?workbook=14_04.xlsx&amp;sheet=U0&amp;row=3991&amp;col=6&amp;number=3.7&amp;sourceID=14","3.7")</f>
        <v>3.7</v>
      </c>
      <c r="G3991" s="4" t="str">
        <f>HYPERLINK("http://141.218.60.56/~jnz1568/getInfo.php?workbook=14_04.xlsx&amp;sheet=U0&amp;row=3991&amp;col=7&amp;number=0.00023&amp;sourceID=14","0.00023")</f>
        <v>0.00023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HYPERLINK("http://141.218.60.56/~jnz1568/getInfo.php?workbook=14_04.xlsx&amp;sheet=U0&amp;row=3992&amp;col=6&amp;number=3.8&amp;sourceID=14","3.8")</f>
        <v>3.8</v>
      </c>
      <c r="G3992" s="4" t="str">
        <f>HYPERLINK("http://141.218.60.56/~jnz1568/getInfo.php?workbook=14_04.xlsx&amp;sheet=U0&amp;row=3992&amp;col=7&amp;number=0.00023&amp;sourceID=14","0.00023")</f>
        <v>0.00023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HYPERLINK("http://141.218.60.56/~jnz1568/getInfo.php?workbook=14_04.xlsx&amp;sheet=U0&amp;row=3993&amp;col=6&amp;number=3.9&amp;sourceID=14","3.9")</f>
        <v>3.9</v>
      </c>
      <c r="G3993" s="4" t="str">
        <f>HYPERLINK("http://141.218.60.56/~jnz1568/getInfo.php?workbook=14_04.xlsx&amp;sheet=U0&amp;row=3993&amp;col=7&amp;number=0.00023&amp;sourceID=14","0.00023")</f>
        <v>0.00023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HYPERLINK("http://141.218.60.56/~jnz1568/getInfo.php?workbook=14_04.xlsx&amp;sheet=U0&amp;row=3994&amp;col=6&amp;number=4&amp;sourceID=14","4")</f>
        <v>4</v>
      </c>
      <c r="G3994" s="4" t="str">
        <f>HYPERLINK("http://141.218.60.56/~jnz1568/getInfo.php?workbook=14_04.xlsx&amp;sheet=U0&amp;row=3994&amp;col=7&amp;number=0.00023&amp;sourceID=14","0.00023")</f>
        <v>0.00023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HYPERLINK("http://141.218.60.56/~jnz1568/getInfo.php?workbook=14_04.xlsx&amp;sheet=U0&amp;row=3995&amp;col=6&amp;number=4.1&amp;sourceID=14","4.1")</f>
        <v>4.1</v>
      </c>
      <c r="G3995" s="4" t="str">
        <f>HYPERLINK("http://141.218.60.56/~jnz1568/getInfo.php?workbook=14_04.xlsx&amp;sheet=U0&amp;row=3995&amp;col=7&amp;number=0.00023&amp;sourceID=14","0.00023")</f>
        <v>0.00023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HYPERLINK("http://141.218.60.56/~jnz1568/getInfo.php?workbook=14_04.xlsx&amp;sheet=U0&amp;row=3996&amp;col=6&amp;number=4.2&amp;sourceID=14","4.2")</f>
        <v>4.2</v>
      </c>
      <c r="G3996" s="4" t="str">
        <f>HYPERLINK("http://141.218.60.56/~jnz1568/getInfo.php?workbook=14_04.xlsx&amp;sheet=U0&amp;row=3996&amp;col=7&amp;number=0.00023&amp;sourceID=14","0.00023")</f>
        <v>0.00023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HYPERLINK("http://141.218.60.56/~jnz1568/getInfo.php?workbook=14_04.xlsx&amp;sheet=U0&amp;row=3997&amp;col=6&amp;number=4.3&amp;sourceID=14","4.3")</f>
        <v>4.3</v>
      </c>
      <c r="G3997" s="4" t="str">
        <f>HYPERLINK("http://141.218.60.56/~jnz1568/getInfo.php?workbook=14_04.xlsx&amp;sheet=U0&amp;row=3997&amp;col=7&amp;number=0.00023&amp;sourceID=14","0.00023")</f>
        <v>0.00023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HYPERLINK("http://141.218.60.56/~jnz1568/getInfo.php?workbook=14_04.xlsx&amp;sheet=U0&amp;row=3998&amp;col=6&amp;number=4.4&amp;sourceID=14","4.4")</f>
        <v>4.4</v>
      </c>
      <c r="G3998" s="4" t="str">
        <f>HYPERLINK("http://141.218.60.56/~jnz1568/getInfo.php?workbook=14_04.xlsx&amp;sheet=U0&amp;row=3998&amp;col=7&amp;number=0.00023&amp;sourceID=14","0.00023")</f>
        <v>0.00023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HYPERLINK("http://141.218.60.56/~jnz1568/getInfo.php?workbook=14_04.xlsx&amp;sheet=U0&amp;row=3999&amp;col=6&amp;number=4.5&amp;sourceID=14","4.5")</f>
        <v>4.5</v>
      </c>
      <c r="G3999" s="4" t="str">
        <f>HYPERLINK("http://141.218.60.56/~jnz1568/getInfo.php?workbook=14_04.xlsx&amp;sheet=U0&amp;row=3999&amp;col=7&amp;number=0.00023&amp;sourceID=14","0.00023")</f>
        <v>0.00023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HYPERLINK("http://141.218.60.56/~jnz1568/getInfo.php?workbook=14_04.xlsx&amp;sheet=U0&amp;row=4000&amp;col=6&amp;number=4.6&amp;sourceID=14","4.6")</f>
        <v>4.6</v>
      </c>
      <c r="G4000" s="4" t="str">
        <f>HYPERLINK("http://141.218.60.56/~jnz1568/getInfo.php?workbook=14_04.xlsx&amp;sheet=U0&amp;row=4000&amp;col=7&amp;number=0.00023&amp;sourceID=14","0.00023")</f>
        <v>0.00023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HYPERLINK("http://141.218.60.56/~jnz1568/getInfo.php?workbook=14_04.xlsx&amp;sheet=U0&amp;row=4001&amp;col=6&amp;number=4.7&amp;sourceID=14","4.7")</f>
        <v>4.7</v>
      </c>
      <c r="G4001" s="4" t="str">
        <f>HYPERLINK("http://141.218.60.56/~jnz1568/getInfo.php?workbook=14_04.xlsx&amp;sheet=U0&amp;row=4001&amp;col=7&amp;number=0.00023&amp;sourceID=14","0.00023")</f>
        <v>0.00023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HYPERLINK("http://141.218.60.56/~jnz1568/getInfo.php?workbook=14_04.xlsx&amp;sheet=U0&amp;row=4002&amp;col=6&amp;number=4.8&amp;sourceID=14","4.8")</f>
        <v>4.8</v>
      </c>
      <c r="G4002" s="4" t="str">
        <f>HYPERLINK("http://141.218.60.56/~jnz1568/getInfo.php?workbook=14_04.xlsx&amp;sheet=U0&amp;row=4002&amp;col=7&amp;number=0.000229&amp;sourceID=14","0.000229")</f>
        <v>0.000229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HYPERLINK("http://141.218.60.56/~jnz1568/getInfo.php?workbook=14_04.xlsx&amp;sheet=U0&amp;row=4003&amp;col=6&amp;number=4.9&amp;sourceID=14","4.9")</f>
        <v>4.9</v>
      </c>
      <c r="G4003" s="4" t="str">
        <f>HYPERLINK("http://141.218.60.56/~jnz1568/getInfo.php?workbook=14_04.xlsx&amp;sheet=U0&amp;row=4003&amp;col=7&amp;number=0.000229&amp;sourceID=14","0.000229")</f>
        <v>0.000229</v>
      </c>
    </row>
    <row r="4004" spans="1:7">
      <c r="A4004" s="3">
        <v>14</v>
      </c>
      <c r="B4004" s="3">
        <v>4</v>
      </c>
      <c r="C4004" s="3">
        <v>2</v>
      </c>
      <c r="D4004" s="3">
        <v>84</v>
      </c>
      <c r="E4004" s="3">
        <v>1</v>
      </c>
      <c r="F4004" s="4" t="str">
        <f>HYPERLINK("http://141.218.60.56/~jnz1568/getInfo.php?workbook=14_04.xlsx&amp;sheet=U0&amp;row=4004&amp;col=6&amp;number=3&amp;sourceID=14","3")</f>
        <v>3</v>
      </c>
      <c r="G4004" s="4" t="str">
        <f>HYPERLINK("http://141.218.60.56/~jnz1568/getInfo.php?workbook=14_04.xlsx&amp;sheet=U0&amp;row=4004&amp;col=7&amp;number=9.61e-05&amp;sourceID=14","9.61e-05")</f>
        <v>9.61e-05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HYPERLINK("http://141.218.60.56/~jnz1568/getInfo.php?workbook=14_04.xlsx&amp;sheet=U0&amp;row=4005&amp;col=6&amp;number=3.1&amp;sourceID=14","3.1")</f>
        <v>3.1</v>
      </c>
      <c r="G4005" s="4" t="str">
        <f>HYPERLINK("http://141.218.60.56/~jnz1568/getInfo.php?workbook=14_04.xlsx&amp;sheet=U0&amp;row=4005&amp;col=7&amp;number=9.61e-05&amp;sourceID=14","9.61e-05")</f>
        <v>9.61e-05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HYPERLINK("http://141.218.60.56/~jnz1568/getInfo.php?workbook=14_04.xlsx&amp;sheet=U0&amp;row=4006&amp;col=6&amp;number=3.2&amp;sourceID=14","3.2")</f>
        <v>3.2</v>
      </c>
      <c r="G4006" s="4" t="str">
        <f>HYPERLINK("http://141.218.60.56/~jnz1568/getInfo.php?workbook=14_04.xlsx&amp;sheet=U0&amp;row=4006&amp;col=7&amp;number=9.6e-05&amp;sourceID=14","9.6e-05")</f>
        <v>9.6e-05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HYPERLINK("http://141.218.60.56/~jnz1568/getInfo.php?workbook=14_04.xlsx&amp;sheet=U0&amp;row=4007&amp;col=6&amp;number=3.3&amp;sourceID=14","3.3")</f>
        <v>3.3</v>
      </c>
      <c r="G4007" s="4" t="str">
        <f>HYPERLINK("http://141.218.60.56/~jnz1568/getInfo.php?workbook=14_04.xlsx&amp;sheet=U0&amp;row=4007&amp;col=7&amp;number=9.6e-05&amp;sourceID=14","9.6e-05")</f>
        <v>9.6e-05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HYPERLINK("http://141.218.60.56/~jnz1568/getInfo.php?workbook=14_04.xlsx&amp;sheet=U0&amp;row=4008&amp;col=6&amp;number=3.4&amp;sourceID=14","3.4")</f>
        <v>3.4</v>
      </c>
      <c r="G4008" s="4" t="str">
        <f>HYPERLINK("http://141.218.60.56/~jnz1568/getInfo.php?workbook=14_04.xlsx&amp;sheet=U0&amp;row=4008&amp;col=7&amp;number=9.6e-05&amp;sourceID=14","9.6e-05")</f>
        <v>9.6e-05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HYPERLINK("http://141.218.60.56/~jnz1568/getInfo.php?workbook=14_04.xlsx&amp;sheet=U0&amp;row=4009&amp;col=6&amp;number=3.5&amp;sourceID=14","3.5")</f>
        <v>3.5</v>
      </c>
      <c r="G4009" s="4" t="str">
        <f>HYPERLINK("http://141.218.60.56/~jnz1568/getInfo.php?workbook=14_04.xlsx&amp;sheet=U0&amp;row=4009&amp;col=7&amp;number=9.6e-05&amp;sourceID=14","9.6e-05")</f>
        <v>9.6e-05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HYPERLINK("http://141.218.60.56/~jnz1568/getInfo.php?workbook=14_04.xlsx&amp;sheet=U0&amp;row=4010&amp;col=6&amp;number=3.6&amp;sourceID=14","3.6")</f>
        <v>3.6</v>
      </c>
      <c r="G4010" s="4" t="str">
        <f>HYPERLINK("http://141.218.60.56/~jnz1568/getInfo.php?workbook=14_04.xlsx&amp;sheet=U0&amp;row=4010&amp;col=7&amp;number=9.6e-05&amp;sourceID=14","9.6e-05")</f>
        <v>9.6e-05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HYPERLINK("http://141.218.60.56/~jnz1568/getInfo.php?workbook=14_04.xlsx&amp;sheet=U0&amp;row=4011&amp;col=6&amp;number=3.7&amp;sourceID=14","3.7")</f>
        <v>3.7</v>
      </c>
      <c r="G4011" s="4" t="str">
        <f>HYPERLINK("http://141.218.60.56/~jnz1568/getInfo.php?workbook=14_04.xlsx&amp;sheet=U0&amp;row=4011&amp;col=7&amp;number=9.6e-05&amp;sourceID=14","9.6e-05")</f>
        <v>9.6e-05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HYPERLINK("http://141.218.60.56/~jnz1568/getInfo.php?workbook=14_04.xlsx&amp;sheet=U0&amp;row=4012&amp;col=6&amp;number=3.8&amp;sourceID=14","3.8")</f>
        <v>3.8</v>
      </c>
      <c r="G4012" s="4" t="str">
        <f>HYPERLINK("http://141.218.60.56/~jnz1568/getInfo.php?workbook=14_04.xlsx&amp;sheet=U0&amp;row=4012&amp;col=7&amp;number=9.59e-05&amp;sourceID=14","9.59e-05")</f>
        <v>9.59e-05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HYPERLINK("http://141.218.60.56/~jnz1568/getInfo.php?workbook=14_04.xlsx&amp;sheet=U0&amp;row=4013&amp;col=6&amp;number=3.9&amp;sourceID=14","3.9")</f>
        <v>3.9</v>
      </c>
      <c r="G4013" s="4" t="str">
        <f>HYPERLINK("http://141.218.60.56/~jnz1568/getInfo.php?workbook=14_04.xlsx&amp;sheet=U0&amp;row=4013&amp;col=7&amp;number=9.59e-05&amp;sourceID=14","9.59e-05")</f>
        <v>9.59e-05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HYPERLINK("http://141.218.60.56/~jnz1568/getInfo.php?workbook=14_04.xlsx&amp;sheet=U0&amp;row=4014&amp;col=6&amp;number=4&amp;sourceID=14","4")</f>
        <v>4</v>
      </c>
      <c r="G4014" s="4" t="str">
        <f>HYPERLINK("http://141.218.60.56/~jnz1568/getInfo.php?workbook=14_04.xlsx&amp;sheet=U0&amp;row=4014&amp;col=7&amp;number=9.58e-05&amp;sourceID=14","9.58e-05")</f>
        <v>9.58e-05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HYPERLINK("http://141.218.60.56/~jnz1568/getInfo.php?workbook=14_04.xlsx&amp;sheet=U0&amp;row=4015&amp;col=6&amp;number=4.1&amp;sourceID=14","4.1")</f>
        <v>4.1</v>
      </c>
      <c r="G4015" s="4" t="str">
        <f>HYPERLINK("http://141.218.60.56/~jnz1568/getInfo.php?workbook=14_04.xlsx&amp;sheet=U0&amp;row=4015&amp;col=7&amp;number=9.58e-05&amp;sourceID=14","9.58e-05")</f>
        <v>9.58e-05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HYPERLINK("http://141.218.60.56/~jnz1568/getInfo.php?workbook=14_04.xlsx&amp;sheet=U0&amp;row=4016&amp;col=6&amp;number=4.2&amp;sourceID=14","4.2")</f>
        <v>4.2</v>
      </c>
      <c r="G4016" s="4" t="str">
        <f>HYPERLINK("http://141.218.60.56/~jnz1568/getInfo.php?workbook=14_04.xlsx&amp;sheet=U0&amp;row=4016&amp;col=7&amp;number=9.57e-05&amp;sourceID=14","9.57e-05")</f>
        <v>9.57e-05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HYPERLINK("http://141.218.60.56/~jnz1568/getInfo.php?workbook=14_04.xlsx&amp;sheet=U0&amp;row=4017&amp;col=6&amp;number=4.3&amp;sourceID=14","4.3")</f>
        <v>4.3</v>
      </c>
      <c r="G4017" s="4" t="str">
        <f>HYPERLINK("http://141.218.60.56/~jnz1568/getInfo.php?workbook=14_04.xlsx&amp;sheet=U0&amp;row=4017&amp;col=7&amp;number=9.56e-05&amp;sourceID=14","9.56e-05")</f>
        <v>9.56e-05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HYPERLINK("http://141.218.60.56/~jnz1568/getInfo.php?workbook=14_04.xlsx&amp;sheet=U0&amp;row=4018&amp;col=6&amp;number=4.4&amp;sourceID=14","4.4")</f>
        <v>4.4</v>
      </c>
      <c r="G4018" s="4" t="str">
        <f>HYPERLINK("http://141.218.60.56/~jnz1568/getInfo.php?workbook=14_04.xlsx&amp;sheet=U0&amp;row=4018&amp;col=7&amp;number=9.54e-05&amp;sourceID=14","9.54e-05")</f>
        <v>9.54e-05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HYPERLINK("http://141.218.60.56/~jnz1568/getInfo.php?workbook=14_04.xlsx&amp;sheet=U0&amp;row=4019&amp;col=6&amp;number=4.5&amp;sourceID=14","4.5")</f>
        <v>4.5</v>
      </c>
      <c r="G4019" s="4" t="str">
        <f>HYPERLINK("http://141.218.60.56/~jnz1568/getInfo.php?workbook=14_04.xlsx&amp;sheet=U0&amp;row=4019&amp;col=7&amp;number=9.53e-05&amp;sourceID=14","9.53e-05")</f>
        <v>9.53e-05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HYPERLINK("http://141.218.60.56/~jnz1568/getInfo.php?workbook=14_04.xlsx&amp;sheet=U0&amp;row=4020&amp;col=6&amp;number=4.6&amp;sourceID=14","4.6")</f>
        <v>4.6</v>
      </c>
      <c r="G4020" s="4" t="str">
        <f>HYPERLINK("http://141.218.60.56/~jnz1568/getInfo.php?workbook=14_04.xlsx&amp;sheet=U0&amp;row=4020&amp;col=7&amp;number=9.51e-05&amp;sourceID=14","9.51e-05")</f>
        <v>9.51e-05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HYPERLINK("http://141.218.60.56/~jnz1568/getInfo.php?workbook=14_04.xlsx&amp;sheet=U0&amp;row=4021&amp;col=6&amp;number=4.7&amp;sourceID=14","4.7")</f>
        <v>4.7</v>
      </c>
      <c r="G4021" s="4" t="str">
        <f>HYPERLINK("http://141.218.60.56/~jnz1568/getInfo.php?workbook=14_04.xlsx&amp;sheet=U0&amp;row=4021&amp;col=7&amp;number=9.48e-05&amp;sourceID=14","9.48e-05")</f>
        <v>9.48e-05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HYPERLINK("http://141.218.60.56/~jnz1568/getInfo.php?workbook=14_04.xlsx&amp;sheet=U0&amp;row=4022&amp;col=6&amp;number=4.8&amp;sourceID=14","4.8")</f>
        <v>4.8</v>
      </c>
      <c r="G4022" s="4" t="str">
        <f>HYPERLINK("http://141.218.60.56/~jnz1568/getInfo.php?workbook=14_04.xlsx&amp;sheet=U0&amp;row=4022&amp;col=7&amp;number=9.45e-05&amp;sourceID=14","9.45e-05")</f>
        <v>9.45e-05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HYPERLINK("http://141.218.60.56/~jnz1568/getInfo.php?workbook=14_04.xlsx&amp;sheet=U0&amp;row=4023&amp;col=6&amp;number=4.9&amp;sourceID=14","4.9")</f>
        <v>4.9</v>
      </c>
      <c r="G4023" s="4" t="str">
        <f>HYPERLINK("http://141.218.60.56/~jnz1568/getInfo.php?workbook=14_04.xlsx&amp;sheet=U0&amp;row=4023&amp;col=7&amp;number=9.41e-05&amp;sourceID=14","9.41e-05")</f>
        <v>9.41e-05</v>
      </c>
    </row>
    <row r="4024" spans="1:7">
      <c r="A4024" s="3">
        <v>14</v>
      </c>
      <c r="B4024" s="3">
        <v>4</v>
      </c>
      <c r="C4024" s="3">
        <v>2</v>
      </c>
      <c r="D4024" s="3">
        <v>85</v>
      </c>
      <c r="E4024" s="3">
        <v>1</v>
      </c>
      <c r="F4024" s="4" t="str">
        <f>HYPERLINK("http://141.218.60.56/~jnz1568/getInfo.php?workbook=14_04.xlsx&amp;sheet=U0&amp;row=4024&amp;col=6&amp;number=3&amp;sourceID=14","3")</f>
        <v>3</v>
      </c>
      <c r="G4024" s="4" t="str">
        <f>HYPERLINK("http://141.218.60.56/~jnz1568/getInfo.php?workbook=14_04.xlsx&amp;sheet=U0&amp;row=4024&amp;col=7&amp;number=0.00163&amp;sourceID=14","0.00163")</f>
        <v>0.00163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HYPERLINK("http://141.218.60.56/~jnz1568/getInfo.php?workbook=14_04.xlsx&amp;sheet=U0&amp;row=4025&amp;col=6&amp;number=3.1&amp;sourceID=14","3.1")</f>
        <v>3.1</v>
      </c>
      <c r="G4025" s="4" t="str">
        <f>HYPERLINK("http://141.218.60.56/~jnz1568/getInfo.php?workbook=14_04.xlsx&amp;sheet=U0&amp;row=4025&amp;col=7&amp;number=0.00163&amp;sourceID=14","0.00163")</f>
        <v>0.00163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HYPERLINK("http://141.218.60.56/~jnz1568/getInfo.php?workbook=14_04.xlsx&amp;sheet=U0&amp;row=4026&amp;col=6&amp;number=3.2&amp;sourceID=14","3.2")</f>
        <v>3.2</v>
      </c>
      <c r="G4026" s="4" t="str">
        <f>HYPERLINK("http://141.218.60.56/~jnz1568/getInfo.php?workbook=14_04.xlsx&amp;sheet=U0&amp;row=4026&amp;col=7&amp;number=0.00163&amp;sourceID=14","0.00163")</f>
        <v>0.00163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HYPERLINK("http://141.218.60.56/~jnz1568/getInfo.php?workbook=14_04.xlsx&amp;sheet=U0&amp;row=4027&amp;col=6&amp;number=3.3&amp;sourceID=14","3.3")</f>
        <v>3.3</v>
      </c>
      <c r="G4027" s="4" t="str">
        <f>HYPERLINK("http://141.218.60.56/~jnz1568/getInfo.php?workbook=14_04.xlsx&amp;sheet=U0&amp;row=4027&amp;col=7&amp;number=0.00163&amp;sourceID=14","0.00163")</f>
        <v>0.00163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HYPERLINK("http://141.218.60.56/~jnz1568/getInfo.php?workbook=14_04.xlsx&amp;sheet=U0&amp;row=4028&amp;col=6&amp;number=3.4&amp;sourceID=14","3.4")</f>
        <v>3.4</v>
      </c>
      <c r="G4028" s="4" t="str">
        <f>HYPERLINK("http://141.218.60.56/~jnz1568/getInfo.php?workbook=14_04.xlsx&amp;sheet=U0&amp;row=4028&amp;col=7&amp;number=0.00163&amp;sourceID=14","0.00163")</f>
        <v>0.00163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HYPERLINK("http://141.218.60.56/~jnz1568/getInfo.php?workbook=14_04.xlsx&amp;sheet=U0&amp;row=4029&amp;col=6&amp;number=3.5&amp;sourceID=14","3.5")</f>
        <v>3.5</v>
      </c>
      <c r="G4029" s="4" t="str">
        <f>HYPERLINK("http://141.218.60.56/~jnz1568/getInfo.php?workbook=14_04.xlsx&amp;sheet=U0&amp;row=4029&amp;col=7&amp;number=0.00163&amp;sourceID=14","0.00163")</f>
        <v>0.00163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HYPERLINK("http://141.218.60.56/~jnz1568/getInfo.php?workbook=14_04.xlsx&amp;sheet=U0&amp;row=4030&amp;col=6&amp;number=3.6&amp;sourceID=14","3.6")</f>
        <v>3.6</v>
      </c>
      <c r="G4030" s="4" t="str">
        <f>HYPERLINK("http://141.218.60.56/~jnz1568/getInfo.php?workbook=14_04.xlsx&amp;sheet=U0&amp;row=4030&amp;col=7&amp;number=0.00163&amp;sourceID=14","0.00163")</f>
        <v>0.00163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HYPERLINK("http://141.218.60.56/~jnz1568/getInfo.php?workbook=14_04.xlsx&amp;sheet=U0&amp;row=4031&amp;col=6&amp;number=3.7&amp;sourceID=14","3.7")</f>
        <v>3.7</v>
      </c>
      <c r="G4031" s="4" t="str">
        <f>HYPERLINK("http://141.218.60.56/~jnz1568/getInfo.php?workbook=14_04.xlsx&amp;sheet=U0&amp;row=4031&amp;col=7&amp;number=0.00163&amp;sourceID=14","0.00163")</f>
        <v>0.00163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HYPERLINK("http://141.218.60.56/~jnz1568/getInfo.php?workbook=14_04.xlsx&amp;sheet=U0&amp;row=4032&amp;col=6&amp;number=3.8&amp;sourceID=14","3.8")</f>
        <v>3.8</v>
      </c>
      <c r="G4032" s="4" t="str">
        <f>HYPERLINK("http://141.218.60.56/~jnz1568/getInfo.php?workbook=14_04.xlsx&amp;sheet=U0&amp;row=4032&amp;col=7&amp;number=0.00163&amp;sourceID=14","0.00163")</f>
        <v>0.00163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HYPERLINK("http://141.218.60.56/~jnz1568/getInfo.php?workbook=14_04.xlsx&amp;sheet=U0&amp;row=4033&amp;col=6&amp;number=3.9&amp;sourceID=14","3.9")</f>
        <v>3.9</v>
      </c>
      <c r="G4033" s="4" t="str">
        <f>HYPERLINK("http://141.218.60.56/~jnz1568/getInfo.php?workbook=14_04.xlsx&amp;sheet=U0&amp;row=4033&amp;col=7&amp;number=0.00164&amp;sourceID=14","0.00164")</f>
        <v>0.00164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HYPERLINK("http://141.218.60.56/~jnz1568/getInfo.php?workbook=14_04.xlsx&amp;sheet=U0&amp;row=4034&amp;col=6&amp;number=4&amp;sourceID=14","4")</f>
        <v>4</v>
      </c>
      <c r="G4034" s="4" t="str">
        <f>HYPERLINK("http://141.218.60.56/~jnz1568/getInfo.php?workbook=14_04.xlsx&amp;sheet=U0&amp;row=4034&amp;col=7&amp;number=0.00164&amp;sourceID=14","0.00164")</f>
        <v>0.00164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HYPERLINK("http://141.218.60.56/~jnz1568/getInfo.php?workbook=14_04.xlsx&amp;sheet=U0&amp;row=4035&amp;col=6&amp;number=4.1&amp;sourceID=14","4.1")</f>
        <v>4.1</v>
      </c>
      <c r="G4035" s="4" t="str">
        <f>HYPERLINK("http://141.218.60.56/~jnz1568/getInfo.php?workbook=14_04.xlsx&amp;sheet=U0&amp;row=4035&amp;col=7&amp;number=0.00164&amp;sourceID=14","0.00164")</f>
        <v>0.00164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HYPERLINK("http://141.218.60.56/~jnz1568/getInfo.php?workbook=14_04.xlsx&amp;sheet=U0&amp;row=4036&amp;col=6&amp;number=4.2&amp;sourceID=14","4.2")</f>
        <v>4.2</v>
      </c>
      <c r="G4036" s="4" t="str">
        <f>HYPERLINK("http://141.218.60.56/~jnz1568/getInfo.php?workbook=14_04.xlsx&amp;sheet=U0&amp;row=4036&amp;col=7&amp;number=0.00164&amp;sourceID=14","0.00164")</f>
        <v>0.00164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HYPERLINK("http://141.218.60.56/~jnz1568/getInfo.php?workbook=14_04.xlsx&amp;sheet=U0&amp;row=4037&amp;col=6&amp;number=4.3&amp;sourceID=14","4.3")</f>
        <v>4.3</v>
      </c>
      <c r="G4037" s="4" t="str">
        <f>HYPERLINK("http://141.218.60.56/~jnz1568/getInfo.php?workbook=14_04.xlsx&amp;sheet=U0&amp;row=4037&amp;col=7&amp;number=0.00164&amp;sourceID=14","0.00164")</f>
        <v>0.00164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HYPERLINK("http://141.218.60.56/~jnz1568/getInfo.php?workbook=14_04.xlsx&amp;sheet=U0&amp;row=4038&amp;col=6&amp;number=4.4&amp;sourceID=14","4.4")</f>
        <v>4.4</v>
      </c>
      <c r="G4038" s="4" t="str">
        <f>HYPERLINK("http://141.218.60.56/~jnz1568/getInfo.php?workbook=14_04.xlsx&amp;sheet=U0&amp;row=4038&amp;col=7&amp;number=0.00164&amp;sourceID=14","0.00164")</f>
        <v>0.00164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HYPERLINK("http://141.218.60.56/~jnz1568/getInfo.php?workbook=14_04.xlsx&amp;sheet=U0&amp;row=4039&amp;col=6&amp;number=4.5&amp;sourceID=14","4.5")</f>
        <v>4.5</v>
      </c>
      <c r="G4039" s="4" t="str">
        <f>HYPERLINK("http://141.218.60.56/~jnz1568/getInfo.php?workbook=14_04.xlsx&amp;sheet=U0&amp;row=4039&amp;col=7&amp;number=0.00164&amp;sourceID=14","0.00164")</f>
        <v>0.00164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HYPERLINK("http://141.218.60.56/~jnz1568/getInfo.php?workbook=14_04.xlsx&amp;sheet=U0&amp;row=4040&amp;col=6&amp;number=4.6&amp;sourceID=14","4.6")</f>
        <v>4.6</v>
      </c>
      <c r="G4040" s="4" t="str">
        <f>HYPERLINK("http://141.218.60.56/~jnz1568/getInfo.php?workbook=14_04.xlsx&amp;sheet=U0&amp;row=4040&amp;col=7&amp;number=0.00164&amp;sourceID=14","0.00164")</f>
        <v>0.00164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HYPERLINK("http://141.218.60.56/~jnz1568/getInfo.php?workbook=14_04.xlsx&amp;sheet=U0&amp;row=4041&amp;col=6&amp;number=4.7&amp;sourceID=14","4.7")</f>
        <v>4.7</v>
      </c>
      <c r="G4041" s="4" t="str">
        <f>HYPERLINK("http://141.218.60.56/~jnz1568/getInfo.php?workbook=14_04.xlsx&amp;sheet=U0&amp;row=4041&amp;col=7&amp;number=0.00164&amp;sourceID=14","0.00164")</f>
        <v>0.00164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HYPERLINK("http://141.218.60.56/~jnz1568/getInfo.php?workbook=14_04.xlsx&amp;sheet=U0&amp;row=4042&amp;col=6&amp;number=4.8&amp;sourceID=14","4.8")</f>
        <v>4.8</v>
      </c>
      <c r="G4042" s="4" t="str">
        <f>HYPERLINK("http://141.218.60.56/~jnz1568/getInfo.php?workbook=14_04.xlsx&amp;sheet=U0&amp;row=4042&amp;col=7&amp;number=0.00164&amp;sourceID=14","0.00164")</f>
        <v>0.00164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HYPERLINK("http://141.218.60.56/~jnz1568/getInfo.php?workbook=14_04.xlsx&amp;sheet=U0&amp;row=4043&amp;col=6&amp;number=4.9&amp;sourceID=14","4.9")</f>
        <v>4.9</v>
      </c>
      <c r="G4043" s="4" t="str">
        <f>HYPERLINK("http://141.218.60.56/~jnz1568/getInfo.php?workbook=14_04.xlsx&amp;sheet=U0&amp;row=4043&amp;col=7&amp;number=0.00164&amp;sourceID=14","0.00164")</f>
        <v>0.00164</v>
      </c>
    </row>
    <row r="4044" spans="1:7">
      <c r="A4044" s="3">
        <v>14</v>
      </c>
      <c r="B4044" s="3">
        <v>4</v>
      </c>
      <c r="C4044" s="3">
        <v>2</v>
      </c>
      <c r="D4044" s="3">
        <v>86</v>
      </c>
      <c r="E4044" s="3">
        <v>1</v>
      </c>
      <c r="F4044" s="4" t="str">
        <f>HYPERLINK("http://141.218.60.56/~jnz1568/getInfo.php?workbook=14_04.xlsx&amp;sheet=U0&amp;row=4044&amp;col=6&amp;number=3&amp;sourceID=14","3")</f>
        <v>3</v>
      </c>
      <c r="G4044" s="4" t="str">
        <f>HYPERLINK("http://141.218.60.56/~jnz1568/getInfo.php?workbook=14_04.xlsx&amp;sheet=U0&amp;row=4044&amp;col=7&amp;number=0.000363&amp;sourceID=14","0.000363")</f>
        <v>0.000363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HYPERLINK("http://141.218.60.56/~jnz1568/getInfo.php?workbook=14_04.xlsx&amp;sheet=U0&amp;row=4045&amp;col=6&amp;number=3.1&amp;sourceID=14","3.1")</f>
        <v>3.1</v>
      </c>
      <c r="G4045" s="4" t="str">
        <f>HYPERLINK("http://141.218.60.56/~jnz1568/getInfo.php?workbook=14_04.xlsx&amp;sheet=U0&amp;row=4045&amp;col=7&amp;number=0.000363&amp;sourceID=14","0.000363")</f>
        <v>0.000363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HYPERLINK("http://141.218.60.56/~jnz1568/getInfo.php?workbook=14_04.xlsx&amp;sheet=U0&amp;row=4046&amp;col=6&amp;number=3.2&amp;sourceID=14","3.2")</f>
        <v>3.2</v>
      </c>
      <c r="G4046" s="4" t="str">
        <f>HYPERLINK("http://141.218.60.56/~jnz1568/getInfo.php?workbook=14_04.xlsx&amp;sheet=U0&amp;row=4046&amp;col=7&amp;number=0.000363&amp;sourceID=14","0.000363")</f>
        <v>0.000363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HYPERLINK("http://141.218.60.56/~jnz1568/getInfo.php?workbook=14_04.xlsx&amp;sheet=U0&amp;row=4047&amp;col=6&amp;number=3.3&amp;sourceID=14","3.3")</f>
        <v>3.3</v>
      </c>
      <c r="G4047" s="4" t="str">
        <f>HYPERLINK("http://141.218.60.56/~jnz1568/getInfo.php?workbook=14_04.xlsx&amp;sheet=U0&amp;row=4047&amp;col=7&amp;number=0.000363&amp;sourceID=14","0.000363")</f>
        <v>0.000363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HYPERLINK("http://141.218.60.56/~jnz1568/getInfo.php?workbook=14_04.xlsx&amp;sheet=U0&amp;row=4048&amp;col=6&amp;number=3.4&amp;sourceID=14","3.4")</f>
        <v>3.4</v>
      </c>
      <c r="G4048" s="4" t="str">
        <f>HYPERLINK("http://141.218.60.56/~jnz1568/getInfo.php?workbook=14_04.xlsx&amp;sheet=U0&amp;row=4048&amp;col=7&amp;number=0.000363&amp;sourceID=14","0.000363")</f>
        <v>0.000363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HYPERLINK("http://141.218.60.56/~jnz1568/getInfo.php?workbook=14_04.xlsx&amp;sheet=U0&amp;row=4049&amp;col=6&amp;number=3.5&amp;sourceID=14","3.5")</f>
        <v>3.5</v>
      </c>
      <c r="G4049" s="4" t="str">
        <f>HYPERLINK("http://141.218.60.56/~jnz1568/getInfo.php?workbook=14_04.xlsx&amp;sheet=U0&amp;row=4049&amp;col=7&amp;number=0.000363&amp;sourceID=14","0.000363")</f>
        <v>0.000363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HYPERLINK("http://141.218.60.56/~jnz1568/getInfo.php?workbook=14_04.xlsx&amp;sheet=U0&amp;row=4050&amp;col=6&amp;number=3.6&amp;sourceID=14","3.6")</f>
        <v>3.6</v>
      </c>
      <c r="G4050" s="4" t="str">
        <f>HYPERLINK("http://141.218.60.56/~jnz1568/getInfo.php?workbook=14_04.xlsx&amp;sheet=U0&amp;row=4050&amp;col=7&amp;number=0.000363&amp;sourceID=14","0.000363")</f>
        <v>0.000363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HYPERLINK("http://141.218.60.56/~jnz1568/getInfo.php?workbook=14_04.xlsx&amp;sheet=U0&amp;row=4051&amp;col=6&amp;number=3.7&amp;sourceID=14","3.7")</f>
        <v>3.7</v>
      </c>
      <c r="G4051" s="4" t="str">
        <f>HYPERLINK("http://141.218.60.56/~jnz1568/getInfo.php?workbook=14_04.xlsx&amp;sheet=U0&amp;row=4051&amp;col=7&amp;number=0.000363&amp;sourceID=14","0.000363")</f>
        <v>0.000363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HYPERLINK("http://141.218.60.56/~jnz1568/getInfo.php?workbook=14_04.xlsx&amp;sheet=U0&amp;row=4052&amp;col=6&amp;number=3.8&amp;sourceID=14","3.8")</f>
        <v>3.8</v>
      </c>
      <c r="G4052" s="4" t="str">
        <f>HYPERLINK("http://141.218.60.56/~jnz1568/getInfo.php?workbook=14_04.xlsx&amp;sheet=U0&amp;row=4052&amp;col=7&amp;number=0.000363&amp;sourceID=14","0.000363")</f>
        <v>0.000363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HYPERLINK("http://141.218.60.56/~jnz1568/getInfo.php?workbook=14_04.xlsx&amp;sheet=U0&amp;row=4053&amp;col=6&amp;number=3.9&amp;sourceID=14","3.9")</f>
        <v>3.9</v>
      </c>
      <c r="G4053" s="4" t="str">
        <f>HYPERLINK("http://141.218.60.56/~jnz1568/getInfo.php?workbook=14_04.xlsx&amp;sheet=U0&amp;row=4053&amp;col=7&amp;number=0.000363&amp;sourceID=14","0.000363")</f>
        <v>0.000363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HYPERLINK("http://141.218.60.56/~jnz1568/getInfo.php?workbook=14_04.xlsx&amp;sheet=U0&amp;row=4054&amp;col=6&amp;number=4&amp;sourceID=14","4")</f>
        <v>4</v>
      </c>
      <c r="G4054" s="4" t="str">
        <f>HYPERLINK("http://141.218.60.56/~jnz1568/getInfo.php?workbook=14_04.xlsx&amp;sheet=U0&amp;row=4054&amp;col=7&amp;number=0.000363&amp;sourceID=14","0.000363")</f>
        <v>0.000363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HYPERLINK("http://141.218.60.56/~jnz1568/getInfo.php?workbook=14_04.xlsx&amp;sheet=U0&amp;row=4055&amp;col=6&amp;number=4.1&amp;sourceID=14","4.1")</f>
        <v>4.1</v>
      </c>
      <c r="G4055" s="4" t="str">
        <f>HYPERLINK("http://141.218.60.56/~jnz1568/getInfo.php?workbook=14_04.xlsx&amp;sheet=U0&amp;row=4055&amp;col=7&amp;number=0.000363&amp;sourceID=14","0.000363")</f>
        <v>0.000363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HYPERLINK("http://141.218.60.56/~jnz1568/getInfo.php?workbook=14_04.xlsx&amp;sheet=U0&amp;row=4056&amp;col=6&amp;number=4.2&amp;sourceID=14","4.2")</f>
        <v>4.2</v>
      </c>
      <c r="G4056" s="4" t="str">
        <f>HYPERLINK("http://141.218.60.56/~jnz1568/getInfo.php?workbook=14_04.xlsx&amp;sheet=U0&amp;row=4056&amp;col=7&amp;number=0.000363&amp;sourceID=14","0.000363")</f>
        <v>0.000363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HYPERLINK("http://141.218.60.56/~jnz1568/getInfo.php?workbook=14_04.xlsx&amp;sheet=U0&amp;row=4057&amp;col=6&amp;number=4.3&amp;sourceID=14","4.3")</f>
        <v>4.3</v>
      </c>
      <c r="G4057" s="4" t="str">
        <f>HYPERLINK("http://141.218.60.56/~jnz1568/getInfo.php?workbook=14_04.xlsx&amp;sheet=U0&amp;row=4057&amp;col=7&amp;number=0.000362&amp;sourceID=14","0.000362")</f>
        <v>0.000362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HYPERLINK("http://141.218.60.56/~jnz1568/getInfo.php?workbook=14_04.xlsx&amp;sheet=U0&amp;row=4058&amp;col=6&amp;number=4.4&amp;sourceID=14","4.4")</f>
        <v>4.4</v>
      </c>
      <c r="G4058" s="4" t="str">
        <f>HYPERLINK("http://141.218.60.56/~jnz1568/getInfo.php?workbook=14_04.xlsx&amp;sheet=U0&amp;row=4058&amp;col=7&amp;number=0.000362&amp;sourceID=14","0.000362")</f>
        <v>0.000362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HYPERLINK("http://141.218.60.56/~jnz1568/getInfo.php?workbook=14_04.xlsx&amp;sheet=U0&amp;row=4059&amp;col=6&amp;number=4.5&amp;sourceID=14","4.5")</f>
        <v>4.5</v>
      </c>
      <c r="G4059" s="4" t="str">
        <f>HYPERLINK("http://141.218.60.56/~jnz1568/getInfo.php?workbook=14_04.xlsx&amp;sheet=U0&amp;row=4059&amp;col=7&amp;number=0.000362&amp;sourceID=14","0.000362")</f>
        <v>0.000362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HYPERLINK("http://141.218.60.56/~jnz1568/getInfo.php?workbook=14_04.xlsx&amp;sheet=U0&amp;row=4060&amp;col=6&amp;number=4.6&amp;sourceID=14","4.6")</f>
        <v>4.6</v>
      </c>
      <c r="G4060" s="4" t="str">
        <f>HYPERLINK("http://141.218.60.56/~jnz1568/getInfo.php?workbook=14_04.xlsx&amp;sheet=U0&amp;row=4060&amp;col=7&amp;number=0.000361&amp;sourceID=14","0.000361")</f>
        <v>0.000361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HYPERLINK("http://141.218.60.56/~jnz1568/getInfo.php?workbook=14_04.xlsx&amp;sheet=U0&amp;row=4061&amp;col=6&amp;number=4.7&amp;sourceID=14","4.7")</f>
        <v>4.7</v>
      </c>
      <c r="G4061" s="4" t="str">
        <f>HYPERLINK("http://141.218.60.56/~jnz1568/getInfo.php?workbook=14_04.xlsx&amp;sheet=U0&amp;row=4061&amp;col=7&amp;number=0.000361&amp;sourceID=14","0.000361")</f>
        <v>0.000361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HYPERLINK("http://141.218.60.56/~jnz1568/getInfo.php?workbook=14_04.xlsx&amp;sheet=U0&amp;row=4062&amp;col=6&amp;number=4.8&amp;sourceID=14","4.8")</f>
        <v>4.8</v>
      </c>
      <c r="G4062" s="4" t="str">
        <f>HYPERLINK("http://141.218.60.56/~jnz1568/getInfo.php?workbook=14_04.xlsx&amp;sheet=U0&amp;row=4062&amp;col=7&amp;number=0.00036&amp;sourceID=14","0.00036")</f>
        <v>0.00036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HYPERLINK("http://141.218.60.56/~jnz1568/getInfo.php?workbook=14_04.xlsx&amp;sheet=U0&amp;row=4063&amp;col=6&amp;number=4.9&amp;sourceID=14","4.9")</f>
        <v>4.9</v>
      </c>
      <c r="G4063" s="4" t="str">
        <f>HYPERLINK("http://141.218.60.56/~jnz1568/getInfo.php?workbook=14_04.xlsx&amp;sheet=U0&amp;row=4063&amp;col=7&amp;number=0.000359&amp;sourceID=14","0.000359")</f>
        <v>0.000359</v>
      </c>
    </row>
    <row r="4064" spans="1:7">
      <c r="A4064" s="3">
        <v>14</v>
      </c>
      <c r="B4064" s="3">
        <v>4</v>
      </c>
      <c r="C4064" s="3">
        <v>2</v>
      </c>
      <c r="D4064" s="3">
        <v>87</v>
      </c>
      <c r="E4064" s="3">
        <v>1</v>
      </c>
      <c r="F4064" s="4" t="str">
        <f>HYPERLINK("http://141.218.60.56/~jnz1568/getInfo.php?workbook=14_04.xlsx&amp;sheet=U0&amp;row=4064&amp;col=6&amp;number=3&amp;sourceID=14","3")</f>
        <v>3</v>
      </c>
      <c r="G4064" s="4" t="str">
        <f>HYPERLINK("http://141.218.60.56/~jnz1568/getInfo.php?workbook=14_04.xlsx&amp;sheet=U0&amp;row=4064&amp;col=7&amp;number=0.000472&amp;sourceID=14","0.000472")</f>
        <v>0.000472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HYPERLINK("http://141.218.60.56/~jnz1568/getInfo.php?workbook=14_04.xlsx&amp;sheet=U0&amp;row=4065&amp;col=6&amp;number=3.1&amp;sourceID=14","3.1")</f>
        <v>3.1</v>
      </c>
      <c r="G4065" s="4" t="str">
        <f>HYPERLINK("http://141.218.60.56/~jnz1568/getInfo.php?workbook=14_04.xlsx&amp;sheet=U0&amp;row=4065&amp;col=7&amp;number=0.000472&amp;sourceID=14","0.000472")</f>
        <v>0.000472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HYPERLINK("http://141.218.60.56/~jnz1568/getInfo.php?workbook=14_04.xlsx&amp;sheet=U0&amp;row=4066&amp;col=6&amp;number=3.2&amp;sourceID=14","3.2")</f>
        <v>3.2</v>
      </c>
      <c r="G4066" s="4" t="str">
        <f>HYPERLINK("http://141.218.60.56/~jnz1568/getInfo.php?workbook=14_04.xlsx&amp;sheet=U0&amp;row=4066&amp;col=7&amp;number=0.000472&amp;sourceID=14","0.000472")</f>
        <v>0.000472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HYPERLINK("http://141.218.60.56/~jnz1568/getInfo.php?workbook=14_04.xlsx&amp;sheet=U0&amp;row=4067&amp;col=6&amp;number=3.3&amp;sourceID=14","3.3")</f>
        <v>3.3</v>
      </c>
      <c r="G4067" s="4" t="str">
        <f>HYPERLINK("http://141.218.60.56/~jnz1568/getInfo.php?workbook=14_04.xlsx&amp;sheet=U0&amp;row=4067&amp;col=7&amp;number=0.000472&amp;sourceID=14","0.000472")</f>
        <v>0.000472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HYPERLINK("http://141.218.60.56/~jnz1568/getInfo.php?workbook=14_04.xlsx&amp;sheet=U0&amp;row=4068&amp;col=6&amp;number=3.4&amp;sourceID=14","3.4")</f>
        <v>3.4</v>
      </c>
      <c r="G4068" s="4" t="str">
        <f>HYPERLINK("http://141.218.60.56/~jnz1568/getInfo.php?workbook=14_04.xlsx&amp;sheet=U0&amp;row=4068&amp;col=7&amp;number=0.000472&amp;sourceID=14","0.000472")</f>
        <v>0.000472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HYPERLINK("http://141.218.60.56/~jnz1568/getInfo.php?workbook=14_04.xlsx&amp;sheet=U0&amp;row=4069&amp;col=6&amp;number=3.5&amp;sourceID=14","3.5")</f>
        <v>3.5</v>
      </c>
      <c r="G4069" s="4" t="str">
        <f>HYPERLINK("http://141.218.60.56/~jnz1568/getInfo.php?workbook=14_04.xlsx&amp;sheet=U0&amp;row=4069&amp;col=7&amp;number=0.000472&amp;sourceID=14","0.000472")</f>
        <v>0.000472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HYPERLINK("http://141.218.60.56/~jnz1568/getInfo.php?workbook=14_04.xlsx&amp;sheet=U0&amp;row=4070&amp;col=6&amp;number=3.6&amp;sourceID=14","3.6")</f>
        <v>3.6</v>
      </c>
      <c r="G4070" s="4" t="str">
        <f>HYPERLINK("http://141.218.60.56/~jnz1568/getInfo.php?workbook=14_04.xlsx&amp;sheet=U0&amp;row=4070&amp;col=7&amp;number=0.000472&amp;sourceID=14","0.000472")</f>
        <v>0.000472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HYPERLINK("http://141.218.60.56/~jnz1568/getInfo.php?workbook=14_04.xlsx&amp;sheet=U0&amp;row=4071&amp;col=6&amp;number=3.7&amp;sourceID=14","3.7")</f>
        <v>3.7</v>
      </c>
      <c r="G4071" s="4" t="str">
        <f>HYPERLINK("http://141.218.60.56/~jnz1568/getInfo.php?workbook=14_04.xlsx&amp;sheet=U0&amp;row=4071&amp;col=7&amp;number=0.000472&amp;sourceID=14","0.000472")</f>
        <v>0.000472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HYPERLINK("http://141.218.60.56/~jnz1568/getInfo.php?workbook=14_04.xlsx&amp;sheet=U0&amp;row=4072&amp;col=6&amp;number=3.8&amp;sourceID=14","3.8")</f>
        <v>3.8</v>
      </c>
      <c r="G4072" s="4" t="str">
        <f>HYPERLINK("http://141.218.60.56/~jnz1568/getInfo.php?workbook=14_04.xlsx&amp;sheet=U0&amp;row=4072&amp;col=7&amp;number=0.000472&amp;sourceID=14","0.000472")</f>
        <v>0.000472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HYPERLINK("http://141.218.60.56/~jnz1568/getInfo.php?workbook=14_04.xlsx&amp;sheet=U0&amp;row=4073&amp;col=6&amp;number=3.9&amp;sourceID=14","3.9")</f>
        <v>3.9</v>
      </c>
      <c r="G4073" s="4" t="str">
        <f>HYPERLINK("http://141.218.60.56/~jnz1568/getInfo.php?workbook=14_04.xlsx&amp;sheet=U0&amp;row=4073&amp;col=7&amp;number=0.000472&amp;sourceID=14","0.000472")</f>
        <v>0.000472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HYPERLINK("http://141.218.60.56/~jnz1568/getInfo.php?workbook=14_04.xlsx&amp;sheet=U0&amp;row=4074&amp;col=6&amp;number=4&amp;sourceID=14","4")</f>
        <v>4</v>
      </c>
      <c r="G4074" s="4" t="str">
        <f>HYPERLINK("http://141.218.60.56/~jnz1568/getInfo.php?workbook=14_04.xlsx&amp;sheet=U0&amp;row=4074&amp;col=7&amp;number=0.000471&amp;sourceID=14","0.000471")</f>
        <v>0.000471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HYPERLINK("http://141.218.60.56/~jnz1568/getInfo.php?workbook=14_04.xlsx&amp;sheet=U0&amp;row=4075&amp;col=6&amp;number=4.1&amp;sourceID=14","4.1")</f>
        <v>4.1</v>
      </c>
      <c r="G4075" s="4" t="str">
        <f>HYPERLINK("http://141.218.60.56/~jnz1568/getInfo.php?workbook=14_04.xlsx&amp;sheet=U0&amp;row=4075&amp;col=7&amp;number=0.000471&amp;sourceID=14","0.000471")</f>
        <v>0.000471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HYPERLINK("http://141.218.60.56/~jnz1568/getInfo.php?workbook=14_04.xlsx&amp;sheet=U0&amp;row=4076&amp;col=6&amp;number=4.2&amp;sourceID=14","4.2")</f>
        <v>4.2</v>
      </c>
      <c r="G4076" s="4" t="str">
        <f>HYPERLINK("http://141.218.60.56/~jnz1568/getInfo.php?workbook=14_04.xlsx&amp;sheet=U0&amp;row=4076&amp;col=7&amp;number=0.000471&amp;sourceID=14","0.000471")</f>
        <v>0.000471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HYPERLINK("http://141.218.60.56/~jnz1568/getInfo.php?workbook=14_04.xlsx&amp;sheet=U0&amp;row=4077&amp;col=6&amp;number=4.3&amp;sourceID=14","4.3")</f>
        <v>4.3</v>
      </c>
      <c r="G4077" s="4" t="str">
        <f>HYPERLINK("http://141.218.60.56/~jnz1568/getInfo.php?workbook=14_04.xlsx&amp;sheet=U0&amp;row=4077&amp;col=7&amp;number=0.000471&amp;sourceID=14","0.000471")</f>
        <v>0.000471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HYPERLINK("http://141.218.60.56/~jnz1568/getInfo.php?workbook=14_04.xlsx&amp;sheet=U0&amp;row=4078&amp;col=6&amp;number=4.4&amp;sourceID=14","4.4")</f>
        <v>4.4</v>
      </c>
      <c r="G4078" s="4" t="str">
        <f>HYPERLINK("http://141.218.60.56/~jnz1568/getInfo.php?workbook=14_04.xlsx&amp;sheet=U0&amp;row=4078&amp;col=7&amp;number=0.000471&amp;sourceID=14","0.000471")</f>
        <v>0.000471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HYPERLINK("http://141.218.60.56/~jnz1568/getInfo.php?workbook=14_04.xlsx&amp;sheet=U0&amp;row=4079&amp;col=6&amp;number=4.5&amp;sourceID=14","4.5")</f>
        <v>4.5</v>
      </c>
      <c r="G4079" s="4" t="str">
        <f>HYPERLINK("http://141.218.60.56/~jnz1568/getInfo.php?workbook=14_04.xlsx&amp;sheet=U0&amp;row=4079&amp;col=7&amp;number=0.000471&amp;sourceID=14","0.000471")</f>
        <v>0.000471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HYPERLINK("http://141.218.60.56/~jnz1568/getInfo.php?workbook=14_04.xlsx&amp;sheet=U0&amp;row=4080&amp;col=6&amp;number=4.6&amp;sourceID=14","4.6")</f>
        <v>4.6</v>
      </c>
      <c r="G4080" s="4" t="str">
        <f>HYPERLINK("http://141.218.60.56/~jnz1568/getInfo.php?workbook=14_04.xlsx&amp;sheet=U0&amp;row=4080&amp;col=7&amp;number=0.000471&amp;sourceID=14","0.000471")</f>
        <v>0.000471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HYPERLINK("http://141.218.60.56/~jnz1568/getInfo.php?workbook=14_04.xlsx&amp;sheet=U0&amp;row=4081&amp;col=6&amp;number=4.7&amp;sourceID=14","4.7")</f>
        <v>4.7</v>
      </c>
      <c r="G4081" s="4" t="str">
        <f>HYPERLINK("http://141.218.60.56/~jnz1568/getInfo.php?workbook=14_04.xlsx&amp;sheet=U0&amp;row=4081&amp;col=7&amp;number=0.000471&amp;sourceID=14","0.000471")</f>
        <v>0.000471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HYPERLINK("http://141.218.60.56/~jnz1568/getInfo.php?workbook=14_04.xlsx&amp;sheet=U0&amp;row=4082&amp;col=6&amp;number=4.8&amp;sourceID=14","4.8")</f>
        <v>4.8</v>
      </c>
      <c r="G4082" s="4" t="str">
        <f>HYPERLINK("http://141.218.60.56/~jnz1568/getInfo.php?workbook=14_04.xlsx&amp;sheet=U0&amp;row=4082&amp;col=7&amp;number=0.00047&amp;sourceID=14","0.00047")</f>
        <v>0.00047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HYPERLINK("http://141.218.60.56/~jnz1568/getInfo.php?workbook=14_04.xlsx&amp;sheet=U0&amp;row=4083&amp;col=6&amp;number=4.9&amp;sourceID=14","4.9")</f>
        <v>4.9</v>
      </c>
      <c r="G4083" s="4" t="str">
        <f>HYPERLINK("http://141.218.60.56/~jnz1568/getInfo.php?workbook=14_04.xlsx&amp;sheet=U0&amp;row=4083&amp;col=7&amp;number=0.00047&amp;sourceID=14","0.00047")</f>
        <v>0.00047</v>
      </c>
    </row>
    <row r="4084" spans="1:7">
      <c r="A4084" s="3">
        <v>14</v>
      </c>
      <c r="B4084" s="3">
        <v>4</v>
      </c>
      <c r="C4084" s="3">
        <v>2</v>
      </c>
      <c r="D4084" s="3">
        <v>88</v>
      </c>
      <c r="E4084" s="3">
        <v>1</v>
      </c>
      <c r="F4084" s="4" t="str">
        <f>HYPERLINK("http://141.218.60.56/~jnz1568/getInfo.php?workbook=14_04.xlsx&amp;sheet=U0&amp;row=4084&amp;col=6&amp;number=3&amp;sourceID=14","3")</f>
        <v>3</v>
      </c>
      <c r="G4084" s="4" t="str">
        <f>HYPERLINK("http://141.218.60.56/~jnz1568/getInfo.php?workbook=14_04.xlsx&amp;sheet=U0&amp;row=4084&amp;col=7&amp;number=0.000318&amp;sourceID=14","0.000318")</f>
        <v>0.000318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HYPERLINK("http://141.218.60.56/~jnz1568/getInfo.php?workbook=14_04.xlsx&amp;sheet=U0&amp;row=4085&amp;col=6&amp;number=3.1&amp;sourceID=14","3.1")</f>
        <v>3.1</v>
      </c>
      <c r="G4085" s="4" t="str">
        <f>HYPERLINK("http://141.218.60.56/~jnz1568/getInfo.php?workbook=14_04.xlsx&amp;sheet=U0&amp;row=4085&amp;col=7&amp;number=0.000318&amp;sourceID=14","0.000318")</f>
        <v>0.000318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HYPERLINK("http://141.218.60.56/~jnz1568/getInfo.php?workbook=14_04.xlsx&amp;sheet=U0&amp;row=4086&amp;col=6&amp;number=3.2&amp;sourceID=14","3.2")</f>
        <v>3.2</v>
      </c>
      <c r="G4086" s="4" t="str">
        <f>HYPERLINK("http://141.218.60.56/~jnz1568/getInfo.php?workbook=14_04.xlsx&amp;sheet=U0&amp;row=4086&amp;col=7&amp;number=0.000318&amp;sourceID=14","0.000318")</f>
        <v>0.000318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HYPERLINK("http://141.218.60.56/~jnz1568/getInfo.php?workbook=14_04.xlsx&amp;sheet=U0&amp;row=4087&amp;col=6&amp;number=3.3&amp;sourceID=14","3.3")</f>
        <v>3.3</v>
      </c>
      <c r="G4087" s="4" t="str">
        <f>HYPERLINK("http://141.218.60.56/~jnz1568/getInfo.php?workbook=14_04.xlsx&amp;sheet=U0&amp;row=4087&amp;col=7&amp;number=0.000318&amp;sourceID=14","0.000318")</f>
        <v>0.000318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HYPERLINK("http://141.218.60.56/~jnz1568/getInfo.php?workbook=14_04.xlsx&amp;sheet=U0&amp;row=4088&amp;col=6&amp;number=3.4&amp;sourceID=14","3.4")</f>
        <v>3.4</v>
      </c>
      <c r="G4088" s="4" t="str">
        <f>HYPERLINK("http://141.218.60.56/~jnz1568/getInfo.php?workbook=14_04.xlsx&amp;sheet=U0&amp;row=4088&amp;col=7&amp;number=0.000318&amp;sourceID=14","0.000318")</f>
        <v>0.000318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HYPERLINK("http://141.218.60.56/~jnz1568/getInfo.php?workbook=14_04.xlsx&amp;sheet=U0&amp;row=4089&amp;col=6&amp;number=3.5&amp;sourceID=14","3.5")</f>
        <v>3.5</v>
      </c>
      <c r="G4089" s="4" t="str">
        <f>HYPERLINK("http://141.218.60.56/~jnz1568/getInfo.php?workbook=14_04.xlsx&amp;sheet=U0&amp;row=4089&amp;col=7&amp;number=0.000318&amp;sourceID=14","0.000318")</f>
        <v>0.000318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HYPERLINK("http://141.218.60.56/~jnz1568/getInfo.php?workbook=14_04.xlsx&amp;sheet=U0&amp;row=4090&amp;col=6&amp;number=3.6&amp;sourceID=14","3.6")</f>
        <v>3.6</v>
      </c>
      <c r="G4090" s="4" t="str">
        <f>HYPERLINK("http://141.218.60.56/~jnz1568/getInfo.php?workbook=14_04.xlsx&amp;sheet=U0&amp;row=4090&amp;col=7&amp;number=0.000318&amp;sourceID=14","0.000318")</f>
        <v>0.000318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HYPERLINK("http://141.218.60.56/~jnz1568/getInfo.php?workbook=14_04.xlsx&amp;sheet=U0&amp;row=4091&amp;col=6&amp;number=3.7&amp;sourceID=14","3.7")</f>
        <v>3.7</v>
      </c>
      <c r="G4091" s="4" t="str">
        <f>HYPERLINK("http://141.218.60.56/~jnz1568/getInfo.php?workbook=14_04.xlsx&amp;sheet=U0&amp;row=4091&amp;col=7&amp;number=0.000318&amp;sourceID=14","0.000318")</f>
        <v>0.000318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HYPERLINK("http://141.218.60.56/~jnz1568/getInfo.php?workbook=14_04.xlsx&amp;sheet=U0&amp;row=4092&amp;col=6&amp;number=3.8&amp;sourceID=14","3.8")</f>
        <v>3.8</v>
      </c>
      <c r="G4092" s="4" t="str">
        <f>HYPERLINK("http://141.218.60.56/~jnz1568/getInfo.php?workbook=14_04.xlsx&amp;sheet=U0&amp;row=4092&amp;col=7&amp;number=0.000318&amp;sourceID=14","0.000318")</f>
        <v>0.000318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HYPERLINK("http://141.218.60.56/~jnz1568/getInfo.php?workbook=14_04.xlsx&amp;sheet=U0&amp;row=4093&amp;col=6&amp;number=3.9&amp;sourceID=14","3.9")</f>
        <v>3.9</v>
      </c>
      <c r="G4093" s="4" t="str">
        <f>HYPERLINK("http://141.218.60.56/~jnz1568/getInfo.php?workbook=14_04.xlsx&amp;sheet=U0&amp;row=4093&amp;col=7&amp;number=0.000318&amp;sourceID=14","0.000318")</f>
        <v>0.000318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HYPERLINK("http://141.218.60.56/~jnz1568/getInfo.php?workbook=14_04.xlsx&amp;sheet=U0&amp;row=4094&amp;col=6&amp;number=4&amp;sourceID=14","4")</f>
        <v>4</v>
      </c>
      <c r="G4094" s="4" t="str">
        <f>HYPERLINK("http://141.218.60.56/~jnz1568/getInfo.php?workbook=14_04.xlsx&amp;sheet=U0&amp;row=4094&amp;col=7&amp;number=0.000318&amp;sourceID=14","0.000318")</f>
        <v>0.000318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HYPERLINK("http://141.218.60.56/~jnz1568/getInfo.php?workbook=14_04.xlsx&amp;sheet=U0&amp;row=4095&amp;col=6&amp;number=4.1&amp;sourceID=14","4.1")</f>
        <v>4.1</v>
      </c>
      <c r="G4095" s="4" t="str">
        <f>HYPERLINK("http://141.218.60.56/~jnz1568/getInfo.php?workbook=14_04.xlsx&amp;sheet=U0&amp;row=4095&amp;col=7&amp;number=0.000318&amp;sourceID=14","0.000318")</f>
        <v>0.000318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HYPERLINK("http://141.218.60.56/~jnz1568/getInfo.php?workbook=14_04.xlsx&amp;sheet=U0&amp;row=4096&amp;col=6&amp;number=4.2&amp;sourceID=14","4.2")</f>
        <v>4.2</v>
      </c>
      <c r="G4096" s="4" t="str">
        <f>HYPERLINK("http://141.218.60.56/~jnz1568/getInfo.php?workbook=14_04.xlsx&amp;sheet=U0&amp;row=4096&amp;col=7&amp;number=0.000318&amp;sourceID=14","0.000318")</f>
        <v>0.000318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HYPERLINK("http://141.218.60.56/~jnz1568/getInfo.php?workbook=14_04.xlsx&amp;sheet=U0&amp;row=4097&amp;col=6&amp;number=4.3&amp;sourceID=14","4.3")</f>
        <v>4.3</v>
      </c>
      <c r="G4097" s="4" t="str">
        <f>HYPERLINK("http://141.218.60.56/~jnz1568/getInfo.php?workbook=14_04.xlsx&amp;sheet=U0&amp;row=4097&amp;col=7&amp;number=0.000318&amp;sourceID=14","0.000318")</f>
        <v>0.000318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HYPERLINK("http://141.218.60.56/~jnz1568/getInfo.php?workbook=14_04.xlsx&amp;sheet=U0&amp;row=4098&amp;col=6&amp;number=4.4&amp;sourceID=14","4.4")</f>
        <v>4.4</v>
      </c>
      <c r="G4098" s="4" t="str">
        <f>HYPERLINK("http://141.218.60.56/~jnz1568/getInfo.php?workbook=14_04.xlsx&amp;sheet=U0&amp;row=4098&amp;col=7&amp;number=0.000317&amp;sourceID=14","0.000317")</f>
        <v>0.000317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HYPERLINK("http://141.218.60.56/~jnz1568/getInfo.php?workbook=14_04.xlsx&amp;sheet=U0&amp;row=4099&amp;col=6&amp;number=4.5&amp;sourceID=14","4.5")</f>
        <v>4.5</v>
      </c>
      <c r="G4099" s="4" t="str">
        <f>HYPERLINK("http://141.218.60.56/~jnz1568/getInfo.php?workbook=14_04.xlsx&amp;sheet=U0&amp;row=4099&amp;col=7&amp;number=0.000317&amp;sourceID=14","0.000317")</f>
        <v>0.000317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HYPERLINK("http://141.218.60.56/~jnz1568/getInfo.php?workbook=14_04.xlsx&amp;sheet=U0&amp;row=4100&amp;col=6&amp;number=4.6&amp;sourceID=14","4.6")</f>
        <v>4.6</v>
      </c>
      <c r="G4100" s="4" t="str">
        <f>HYPERLINK("http://141.218.60.56/~jnz1568/getInfo.php?workbook=14_04.xlsx&amp;sheet=U0&amp;row=4100&amp;col=7&amp;number=0.000317&amp;sourceID=14","0.000317")</f>
        <v>0.000317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HYPERLINK("http://141.218.60.56/~jnz1568/getInfo.php?workbook=14_04.xlsx&amp;sheet=U0&amp;row=4101&amp;col=6&amp;number=4.7&amp;sourceID=14","4.7")</f>
        <v>4.7</v>
      </c>
      <c r="G4101" s="4" t="str">
        <f>HYPERLINK("http://141.218.60.56/~jnz1568/getInfo.php?workbook=14_04.xlsx&amp;sheet=U0&amp;row=4101&amp;col=7&amp;number=0.000316&amp;sourceID=14","0.000316")</f>
        <v>0.000316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HYPERLINK("http://141.218.60.56/~jnz1568/getInfo.php?workbook=14_04.xlsx&amp;sheet=U0&amp;row=4102&amp;col=6&amp;number=4.8&amp;sourceID=14","4.8")</f>
        <v>4.8</v>
      </c>
      <c r="G4102" s="4" t="str">
        <f>HYPERLINK("http://141.218.60.56/~jnz1568/getInfo.php?workbook=14_04.xlsx&amp;sheet=U0&amp;row=4102&amp;col=7&amp;number=0.000316&amp;sourceID=14","0.000316")</f>
        <v>0.000316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HYPERLINK("http://141.218.60.56/~jnz1568/getInfo.php?workbook=14_04.xlsx&amp;sheet=U0&amp;row=4103&amp;col=6&amp;number=4.9&amp;sourceID=14","4.9")</f>
        <v>4.9</v>
      </c>
      <c r="G4103" s="4" t="str">
        <f>HYPERLINK("http://141.218.60.56/~jnz1568/getInfo.php?workbook=14_04.xlsx&amp;sheet=U0&amp;row=4103&amp;col=7&amp;number=0.000315&amp;sourceID=14","0.000315")</f>
        <v>0.000315</v>
      </c>
    </row>
    <row r="4104" spans="1:7">
      <c r="A4104" s="3">
        <v>14</v>
      </c>
      <c r="B4104" s="3">
        <v>4</v>
      </c>
      <c r="C4104" s="3">
        <v>2</v>
      </c>
      <c r="D4104" s="3">
        <v>89</v>
      </c>
      <c r="E4104" s="3">
        <v>1</v>
      </c>
      <c r="F4104" s="4" t="str">
        <f>HYPERLINK("http://141.218.60.56/~jnz1568/getInfo.php?workbook=14_04.xlsx&amp;sheet=U0&amp;row=4104&amp;col=6&amp;number=3&amp;sourceID=14","3")</f>
        <v>3</v>
      </c>
      <c r="G4104" s="4" t="str">
        <f>HYPERLINK("http://141.218.60.56/~jnz1568/getInfo.php?workbook=14_04.xlsx&amp;sheet=U0&amp;row=4104&amp;col=7&amp;number=0.00435&amp;sourceID=14","0.00435")</f>
        <v>0.00435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HYPERLINK("http://141.218.60.56/~jnz1568/getInfo.php?workbook=14_04.xlsx&amp;sheet=U0&amp;row=4105&amp;col=6&amp;number=3.1&amp;sourceID=14","3.1")</f>
        <v>3.1</v>
      </c>
      <c r="G4105" s="4" t="str">
        <f>HYPERLINK("http://141.218.60.56/~jnz1568/getInfo.php?workbook=14_04.xlsx&amp;sheet=U0&amp;row=4105&amp;col=7&amp;number=0.00435&amp;sourceID=14","0.00435")</f>
        <v>0.00435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HYPERLINK("http://141.218.60.56/~jnz1568/getInfo.php?workbook=14_04.xlsx&amp;sheet=U0&amp;row=4106&amp;col=6&amp;number=3.2&amp;sourceID=14","3.2")</f>
        <v>3.2</v>
      </c>
      <c r="G4106" s="4" t="str">
        <f>HYPERLINK("http://141.218.60.56/~jnz1568/getInfo.php?workbook=14_04.xlsx&amp;sheet=U0&amp;row=4106&amp;col=7&amp;number=0.00435&amp;sourceID=14","0.00435")</f>
        <v>0.00435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HYPERLINK("http://141.218.60.56/~jnz1568/getInfo.php?workbook=14_04.xlsx&amp;sheet=U0&amp;row=4107&amp;col=6&amp;number=3.3&amp;sourceID=14","3.3")</f>
        <v>3.3</v>
      </c>
      <c r="G4107" s="4" t="str">
        <f>HYPERLINK("http://141.218.60.56/~jnz1568/getInfo.php?workbook=14_04.xlsx&amp;sheet=U0&amp;row=4107&amp;col=7&amp;number=0.00435&amp;sourceID=14","0.00435")</f>
        <v>0.00435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HYPERLINK("http://141.218.60.56/~jnz1568/getInfo.php?workbook=14_04.xlsx&amp;sheet=U0&amp;row=4108&amp;col=6&amp;number=3.4&amp;sourceID=14","3.4")</f>
        <v>3.4</v>
      </c>
      <c r="G4108" s="4" t="str">
        <f>HYPERLINK("http://141.218.60.56/~jnz1568/getInfo.php?workbook=14_04.xlsx&amp;sheet=U0&amp;row=4108&amp;col=7&amp;number=0.00435&amp;sourceID=14","0.00435")</f>
        <v>0.00435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HYPERLINK("http://141.218.60.56/~jnz1568/getInfo.php?workbook=14_04.xlsx&amp;sheet=U0&amp;row=4109&amp;col=6&amp;number=3.5&amp;sourceID=14","3.5")</f>
        <v>3.5</v>
      </c>
      <c r="G4109" s="4" t="str">
        <f>HYPERLINK("http://141.218.60.56/~jnz1568/getInfo.php?workbook=14_04.xlsx&amp;sheet=U0&amp;row=4109&amp;col=7&amp;number=0.00436&amp;sourceID=14","0.00436")</f>
        <v>0.00436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HYPERLINK("http://141.218.60.56/~jnz1568/getInfo.php?workbook=14_04.xlsx&amp;sheet=U0&amp;row=4110&amp;col=6&amp;number=3.6&amp;sourceID=14","3.6")</f>
        <v>3.6</v>
      </c>
      <c r="G4110" s="4" t="str">
        <f>HYPERLINK("http://141.218.60.56/~jnz1568/getInfo.php?workbook=14_04.xlsx&amp;sheet=U0&amp;row=4110&amp;col=7&amp;number=0.00436&amp;sourceID=14","0.00436")</f>
        <v>0.00436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HYPERLINK("http://141.218.60.56/~jnz1568/getInfo.php?workbook=14_04.xlsx&amp;sheet=U0&amp;row=4111&amp;col=6&amp;number=3.7&amp;sourceID=14","3.7")</f>
        <v>3.7</v>
      </c>
      <c r="G4111" s="4" t="str">
        <f>HYPERLINK("http://141.218.60.56/~jnz1568/getInfo.php?workbook=14_04.xlsx&amp;sheet=U0&amp;row=4111&amp;col=7&amp;number=0.00436&amp;sourceID=14","0.00436")</f>
        <v>0.00436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HYPERLINK("http://141.218.60.56/~jnz1568/getInfo.php?workbook=14_04.xlsx&amp;sheet=U0&amp;row=4112&amp;col=6&amp;number=3.8&amp;sourceID=14","3.8")</f>
        <v>3.8</v>
      </c>
      <c r="G4112" s="4" t="str">
        <f>HYPERLINK("http://141.218.60.56/~jnz1568/getInfo.php?workbook=14_04.xlsx&amp;sheet=U0&amp;row=4112&amp;col=7&amp;number=0.00436&amp;sourceID=14","0.00436")</f>
        <v>0.00436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HYPERLINK("http://141.218.60.56/~jnz1568/getInfo.php?workbook=14_04.xlsx&amp;sheet=U0&amp;row=4113&amp;col=6&amp;number=3.9&amp;sourceID=14","3.9")</f>
        <v>3.9</v>
      </c>
      <c r="G4113" s="4" t="str">
        <f>HYPERLINK("http://141.218.60.56/~jnz1568/getInfo.php?workbook=14_04.xlsx&amp;sheet=U0&amp;row=4113&amp;col=7&amp;number=0.00436&amp;sourceID=14","0.00436")</f>
        <v>0.00436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HYPERLINK("http://141.218.60.56/~jnz1568/getInfo.php?workbook=14_04.xlsx&amp;sheet=U0&amp;row=4114&amp;col=6&amp;number=4&amp;sourceID=14","4")</f>
        <v>4</v>
      </c>
      <c r="G4114" s="4" t="str">
        <f>HYPERLINK("http://141.218.60.56/~jnz1568/getInfo.php?workbook=14_04.xlsx&amp;sheet=U0&amp;row=4114&amp;col=7&amp;number=0.00436&amp;sourceID=14","0.00436")</f>
        <v>0.00436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HYPERLINK("http://141.218.60.56/~jnz1568/getInfo.php?workbook=14_04.xlsx&amp;sheet=U0&amp;row=4115&amp;col=6&amp;number=4.1&amp;sourceID=14","4.1")</f>
        <v>4.1</v>
      </c>
      <c r="G4115" s="4" t="str">
        <f>HYPERLINK("http://141.218.60.56/~jnz1568/getInfo.php?workbook=14_04.xlsx&amp;sheet=U0&amp;row=4115&amp;col=7&amp;number=0.00437&amp;sourceID=14","0.00437")</f>
        <v>0.00437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HYPERLINK("http://141.218.60.56/~jnz1568/getInfo.php?workbook=14_04.xlsx&amp;sheet=U0&amp;row=4116&amp;col=6&amp;number=4.2&amp;sourceID=14","4.2")</f>
        <v>4.2</v>
      </c>
      <c r="G4116" s="4" t="str">
        <f>HYPERLINK("http://141.218.60.56/~jnz1568/getInfo.php?workbook=14_04.xlsx&amp;sheet=U0&amp;row=4116&amp;col=7&amp;number=0.00437&amp;sourceID=14","0.00437")</f>
        <v>0.00437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HYPERLINK("http://141.218.60.56/~jnz1568/getInfo.php?workbook=14_04.xlsx&amp;sheet=U0&amp;row=4117&amp;col=6&amp;number=4.3&amp;sourceID=14","4.3")</f>
        <v>4.3</v>
      </c>
      <c r="G4117" s="4" t="str">
        <f>HYPERLINK("http://141.218.60.56/~jnz1568/getInfo.php?workbook=14_04.xlsx&amp;sheet=U0&amp;row=4117&amp;col=7&amp;number=0.00437&amp;sourceID=14","0.00437")</f>
        <v>0.00437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HYPERLINK("http://141.218.60.56/~jnz1568/getInfo.php?workbook=14_04.xlsx&amp;sheet=U0&amp;row=4118&amp;col=6&amp;number=4.4&amp;sourceID=14","4.4")</f>
        <v>4.4</v>
      </c>
      <c r="G4118" s="4" t="str">
        <f>HYPERLINK("http://141.218.60.56/~jnz1568/getInfo.php?workbook=14_04.xlsx&amp;sheet=U0&amp;row=4118&amp;col=7&amp;number=0.00438&amp;sourceID=14","0.00438")</f>
        <v>0.00438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HYPERLINK("http://141.218.60.56/~jnz1568/getInfo.php?workbook=14_04.xlsx&amp;sheet=U0&amp;row=4119&amp;col=6&amp;number=4.5&amp;sourceID=14","4.5")</f>
        <v>4.5</v>
      </c>
      <c r="G4119" s="4" t="str">
        <f>HYPERLINK("http://141.218.60.56/~jnz1568/getInfo.php?workbook=14_04.xlsx&amp;sheet=U0&amp;row=4119&amp;col=7&amp;number=0.00438&amp;sourceID=14","0.00438")</f>
        <v>0.00438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HYPERLINK("http://141.218.60.56/~jnz1568/getInfo.php?workbook=14_04.xlsx&amp;sheet=U0&amp;row=4120&amp;col=6&amp;number=4.6&amp;sourceID=14","4.6")</f>
        <v>4.6</v>
      </c>
      <c r="G4120" s="4" t="str">
        <f>HYPERLINK("http://141.218.60.56/~jnz1568/getInfo.php?workbook=14_04.xlsx&amp;sheet=U0&amp;row=4120&amp;col=7&amp;number=0.00439&amp;sourceID=14","0.00439")</f>
        <v>0.00439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HYPERLINK("http://141.218.60.56/~jnz1568/getInfo.php?workbook=14_04.xlsx&amp;sheet=U0&amp;row=4121&amp;col=6&amp;number=4.7&amp;sourceID=14","4.7")</f>
        <v>4.7</v>
      </c>
      <c r="G4121" s="4" t="str">
        <f>HYPERLINK("http://141.218.60.56/~jnz1568/getInfo.php?workbook=14_04.xlsx&amp;sheet=U0&amp;row=4121&amp;col=7&amp;number=0.0044&amp;sourceID=14","0.0044")</f>
        <v>0.0044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HYPERLINK("http://141.218.60.56/~jnz1568/getInfo.php?workbook=14_04.xlsx&amp;sheet=U0&amp;row=4122&amp;col=6&amp;number=4.8&amp;sourceID=14","4.8")</f>
        <v>4.8</v>
      </c>
      <c r="G4122" s="4" t="str">
        <f>HYPERLINK("http://141.218.60.56/~jnz1568/getInfo.php?workbook=14_04.xlsx&amp;sheet=U0&amp;row=4122&amp;col=7&amp;number=0.00442&amp;sourceID=14","0.00442")</f>
        <v>0.00442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HYPERLINK("http://141.218.60.56/~jnz1568/getInfo.php?workbook=14_04.xlsx&amp;sheet=U0&amp;row=4123&amp;col=6&amp;number=4.9&amp;sourceID=14","4.9")</f>
        <v>4.9</v>
      </c>
      <c r="G4123" s="4" t="str">
        <f>HYPERLINK("http://141.218.60.56/~jnz1568/getInfo.php?workbook=14_04.xlsx&amp;sheet=U0&amp;row=4123&amp;col=7&amp;number=0.00443&amp;sourceID=14","0.00443")</f>
        <v>0.00443</v>
      </c>
    </row>
    <row r="4124" spans="1:7">
      <c r="A4124" s="3">
        <v>14</v>
      </c>
      <c r="B4124" s="3">
        <v>4</v>
      </c>
      <c r="C4124" s="3">
        <v>2</v>
      </c>
      <c r="D4124" s="3">
        <v>90</v>
      </c>
      <c r="E4124" s="3">
        <v>1</v>
      </c>
      <c r="F4124" s="4" t="str">
        <f>HYPERLINK("http://141.218.60.56/~jnz1568/getInfo.php?workbook=14_04.xlsx&amp;sheet=U0&amp;row=4124&amp;col=6&amp;number=3&amp;sourceID=14","3")</f>
        <v>3</v>
      </c>
      <c r="G4124" s="4" t="str">
        <f>HYPERLINK("http://141.218.60.56/~jnz1568/getInfo.php?workbook=14_04.xlsx&amp;sheet=U0&amp;row=4124&amp;col=7&amp;number=0.000946&amp;sourceID=14","0.000946")</f>
        <v>0.000946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HYPERLINK("http://141.218.60.56/~jnz1568/getInfo.php?workbook=14_04.xlsx&amp;sheet=U0&amp;row=4125&amp;col=6&amp;number=3.1&amp;sourceID=14","3.1")</f>
        <v>3.1</v>
      </c>
      <c r="G4125" s="4" t="str">
        <f>HYPERLINK("http://141.218.60.56/~jnz1568/getInfo.php?workbook=14_04.xlsx&amp;sheet=U0&amp;row=4125&amp;col=7&amp;number=0.000946&amp;sourceID=14","0.000946")</f>
        <v>0.000946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HYPERLINK("http://141.218.60.56/~jnz1568/getInfo.php?workbook=14_04.xlsx&amp;sheet=U0&amp;row=4126&amp;col=6&amp;number=3.2&amp;sourceID=14","3.2")</f>
        <v>3.2</v>
      </c>
      <c r="G4126" s="4" t="str">
        <f>HYPERLINK("http://141.218.60.56/~jnz1568/getInfo.php?workbook=14_04.xlsx&amp;sheet=U0&amp;row=4126&amp;col=7&amp;number=0.000946&amp;sourceID=14","0.000946")</f>
        <v>0.000946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HYPERLINK("http://141.218.60.56/~jnz1568/getInfo.php?workbook=14_04.xlsx&amp;sheet=U0&amp;row=4127&amp;col=6&amp;number=3.3&amp;sourceID=14","3.3")</f>
        <v>3.3</v>
      </c>
      <c r="G4127" s="4" t="str">
        <f>HYPERLINK("http://141.218.60.56/~jnz1568/getInfo.php?workbook=14_04.xlsx&amp;sheet=U0&amp;row=4127&amp;col=7&amp;number=0.000945&amp;sourceID=14","0.000945")</f>
        <v>0.000945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HYPERLINK("http://141.218.60.56/~jnz1568/getInfo.php?workbook=14_04.xlsx&amp;sheet=U0&amp;row=4128&amp;col=6&amp;number=3.4&amp;sourceID=14","3.4")</f>
        <v>3.4</v>
      </c>
      <c r="G4128" s="4" t="str">
        <f>HYPERLINK("http://141.218.60.56/~jnz1568/getInfo.php?workbook=14_04.xlsx&amp;sheet=U0&amp;row=4128&amp;col=7&amp;number=0.000945&amp;sourceID=14","0.000945")</f>
        <v>0.000945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HYPERLINK("http://141.218.60.56/~jnz1568/getInfo.php?workbook=14_04.xlsx&amp;sheet=U0&amp;row=4129&amp;col=6&amp;number=3.5&amp;sourceID=14","3.5")</f>
        <v>3.5</v>
      </c>
      <c r="G4129" s="4" t="str">
        <f>HYPERLINK("http://141.218.60.56/~jnz1568/getInfo.php?workbook=14_04.xlsx&amp;sheet=U0&amp;row=4129&amp;col=7&amp;number=0.000945&amp;sourceID=14","0.000945")</f>
        <v>0.000945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HYPERLINK("http://141.218.60.56/~jnz1568/getInfo.php?workbook=14_04.xlsx&amp;sheet=U0&amp;row=4130&amp;col=6&amp;number=3.6&amp;sourceID=14","3.6")</f>
        <v>3.6</v>
      </c>
      <c r="G4130" s="4" t="str">
        <f>HYPERLINK("http://141.218.60.56/~jnz1568/getInfo.php?workbook=14_04.xlsx&amp;sheet=U0&amp;row=4130&amp;col=7&amp;number=0.000945&amp;sourceID=14","0.000945")</f>
        <v>0.000945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HYPERLINK("http://141.218.60.56/~jnz1568/getInfo.php?workbook=14_04.xlsx&amp;sheet=U0&amp;row=4131&amp;col=6&amp;number=3.7&amp;sourceID=14","3.7")</f>
        <v>3.7</v>
      </c>
      <c r="G4131" s="4" t="str">
        <f>HYPERLINK("http://141.218.60.56/~jnz1568/getInfo.php?workbook=14_04.xlsx&amp;sheet=U0&amp;row=4131&amp;col=7&amp;number=0.000945&amp;sourceID=14","0.000945")</f>
        <v>0.000945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HYPERLINK("http://141.218.60.56/~jnz1568/getInfo.php?workbook=14_04.xlsx&amp;sheet=U0&amp;row=4132&amp;col=6&amp;number=3.8&amp;sourceID=14","3.8")</f>
        <v>3.8</v>
      </c>
      <c r="G4132" s="4" t="str">
        <f>HYPERLINK("http://141.218.60.56/~jnz1568/getInfo.php?workbook=14_04.xlsx&amp;sheet=U0&amp;row=4132&amp;col=7&amp;number=0.000945&amp;sourceID=14","0.000945")</f>
        <v>0.000945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HYPERLINK("http://141.218.60.56/~jnz1568/getInfo.php?workbook=14_04.xlsx&amp;sheet=U0&amp;row=4133&amp;col=6&amp;number=3.9&amp;sourceID=14","3.9")</f>
        <v>3.9</v>
      </c>
      <c r="G4133" s="4" t="str">
        <f>HYPERLINK("http://141.218.60.56/~jnz1568/getInfo.php?workbook=14_04.xlsx&amp;sheet=U0&amp;row=4133&amp;col=7&amp;number=0.000944&amp;sourceID=14","0.000944")</f>
        <v>0.000944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HYPERLINK("http://141.218.60.56/~jnz1568/getInfo.php?workbook=14_04.xlsx&amp;sheet=U0&amp;row=4134&amp;col=6&amp;number=4&amp;sourceID=14","4")</f>
        <v>4</v>
      </c>
      <c r="G4134" s="4" t="str">
        <f>HYPERLINK("http://141.218.60.56/~jnz1568/getInfo.php?workbook=14_04.xlsx&amp;sheet=U0&amp;row=4134&amp;col=7&amp;number=0.000944&amp;sourceID=14","0.000944")</f>
        <v>0.000944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HYPERLINK("http://141.218.60.56/~jnz1568/getInfo.php?workbook=14_04.xlsx&amp;sheet=U0&amp;row=4135&amp;col=6&amp;number=4.1&amp;sourceID=14","4.1")</f>
        <v>4.1</v>
      </c>
      <c r="G4135" s="4" t="str">
        <f>HYPERLINK("http://141.218.60.56/~jnz1568/getInfo.php?workbook=14_04.xlsx&amp;sheet=U0&amp;row=4135&amp;col=7&amp;number=0.000944&amp;sourceID=14","0.000944")</f>
        <v>0.000944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HYPERLINK("http://141.218.60.56/~jnz1568/getInfo.php?workbook=14_04.xlsx&amp;sheet=U0&amp;row=4136&amp;col=6&amp;number=4.2&amp;sourceID=14","4.2")</f>
        <v>4.2</v>
      </c>
      <c r="G4136" s="4" t="str">
        <f>HYPERLINK("http://141.218.60.56/~jnz1568/getInfo.php?workbook=14_04.xlsx&amp;sheet=U0&amp;row=4136&amp;col=7&amp;number=0.000943&amp;sourceID=14","0.000943")</f>
        <v>0.000943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HYPERLINK("http://141.218.60.56/~jnz1568/getInfo.php?workbook=14_04.xlsx&amp;sheet=U0&amp;row=4137&amp;col=6&amp;number=4.3&amp;sourceID=14","4.3")</f>
        <v>4.3</v>
      </c>
      <c r="G4137" s="4" t="str">
        <f>HYPERLINK("http://141.218.60.56/~jnz1568/getInfo.php?workbook=14_04.xlsx&amp;sheet=U0&amp;row=4137&amp;col=7&amp;number=0.000943&amp;sourceID=14","0.000943")</f>
        <v>0.000943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HYPERLINK("http://141.218.60.56/~jnz1568/getInfo.php?workbook=14_04.xlsx&amp;sheet=U0&amp;row=4138&amp;col=6&amp;number=4.4&amp;sourceID=14","4.4")</f>
        <v>4.4</v>
      </c>
      <c r="G4138" s="4" t="str">
        <f>HYPERLINK("http://141.218.60.56/~jnz1568/getInfo.php?workbook=14_04.xlsx&amp;sheet=U0&amp;row=4138&amp;col=7&amp;number=0.000942&amp;sourceID=14","0.000942")</f>
        <v>0.000942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HYPERLINK("http://141.218.60.56/~jnz1568/getInfo.php?workbook=14_04.xlsx&amp;sheet=U0&amp;row=4139&amp;col=6&amp;number=4.5&amp;sourceID=14","4.5")</f>
        <v>4.5</v>
      </c>
      <c r="G4139" s="4" t="str">
        <f>HYPERLINK("http://141.218.60.56/~jnz1568/getInfo.php?workbook=14_04.xlsx&amp;sheet=U0&amp;row=4139&amp;col=7&amp;number=0.000941&amp;sourceID=14","0.000941")</f>
        <v>0.000941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HYPERLINK("http://141.218.60.56/~jnz1568/getInfo.php?workbook=14_04.xlsx&amp;sheet=U0&amp;row=4140&amp;col=6&amp;number=4.6&amp;sourceID=14","4.6")</f>
        <v>4.6</v>
      </c>
      <c r="G4140" s="4" t="str">
        <f>HYPERLINK("http://141.218.60.56/~jnz1568/getInfo.php?workbook=14_04.xlsx&amp;sheet=U0&amp;row=4140&amp;col=7&amp;number=0.000939&amp;sourceID=14","0.000939")</f>
        <v>0.000939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HYPERLINK("http://141.218.60.56/~jnz1568/getInfo.php?workbook=14_04.xlsx&amp;sheet=U0&amp;row=4141&amp;col=6&amp;number=4.7&amp;sourceID=14","4.7")</f>
        <v>4.7</v>
      </c>
      <c r="G4141" s="4" t="str">
        <f>HYPERLINK("http://141.218.60.56/~jnz1568/getInfo.php?workbook=14_04.xlsx&amp;sheet=U0&amp;row=4141&amp;col=7&amp;number=0.000938&amp;sourceID=14","0.000938")</f>
        <v>0.000938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HYPERLINK("http://141.218.60.56/~jnz1568/getInfo.php?workbook=14_04.xlsx&amp;sheet=U0&amp;row=4142&amp;col=6&amp;number=4.8&amp;sourceID=14","4.8")</f>
        <v>4.8</v>
      </c>
      <c r="G4142" s="4" t="str">
        <f>HYPERLINK("http://141.218.60.56/~jnz1568/getInfo.php?workbook=14_04.xlsx&amp;sheet=U0&amp;row=4142&amp;col=7&amp;number=0.000935&amp;sourceID=14","0.000935")</f>
        <v>0.000935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HYPERLINK("http://141.218.60.56/~jnz1568/getInfo.php?workbook=14_04.xlsx&amp;sheet=U0&amp;row=4143&amp;col=6&amp;number=4.9&amp;sourceID=14","4.9")</f>
        <v>4.9</v>
      </c>
      <c r="G4143" s="4" t="str">
        <f>HYPERLINK("http://141.218.60.56/~jnz1568/getInfo.php?workbook=14_04.xlsx&amp;sheet=U0&amp;row=4143&amp;col=7&amp;number=0.000933&amp;sourceID=14","0.000933")</f>
        <v>0.000933</v>
      </c>
    </row>
    <row r="4144" spans="1:7">
      <c r="A4144" s="3">
        <v>14</v>
      </c>
      <c r="B4144" s="3">
        <v>4</v>
      </c>
      <c r="C4144" s="3">
        <v>2</v>
      </c>
      <c r="D4144" s="3">
        <v>91</v>
      </c>
      <c r="E4144" s="3">
        <v>1</v>
      </c>
      <c r="F4144" s="4" t="str">
        <f>HYPERLINK("http://141.218.60.56/~jnz1568/getInfo.php?workbook=14_04.xlsx&amp;sheet=U0&amp;row=4144&amp;col=6&amp;number=3&amp;sourceID=14","3")</f>
        <v>3</v>
      </c>
      <c r="G4144" s="4" t="str">
        <f>HYPERLINK("http://141.218.60.56/~jnz1568/getInfo.php?workbook=14_04.xlsx&amp;sheet=U0&amp;row=4144&amp;col=7&amp;number=0.0007&amp;sourceID=14","0.0007")</f>
        <v>0.0007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HYPERLINK("http://141.218.60.56/~jnz1568/getInfo.php?workbook=14_04.xlsx&amp;sheet=U0&amp;row=4145&amp;col=6&amp;number=3.1&amp;sourceID=14","3.1")</f>
        <v>3.1</v>
      </c>
      <c r="G4145" s="4" t="str">
        <f>HYPERLINK("http://141.218.60.56/~jnz1568/getInfo.php?workbook=14_04.xlsx&amp;sheet=U0&amp;row=4145&amp;col=7&amp;number=0.0007&amp;sourceID=14","0.0007")</f>
        <v>0.0007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HYPERLINK("http://141.218.60.56/~jnz1568/getInfo.php?workbook=14_04.xlsx&amp;sheet=U0&amp;row=4146&amp;col=6&amp;number=3.2&amp;sourceID=14","3.2")</f>
        <v>3.2</v>
      </c>
      <c r="G4146" s="4" t="str">
        <f>HYPERLINK("http://141.218.60.56/~jnz1568/getInfo.php?workbook=14_04.xlsx&amp;sheet=U0&amp;row=4146&amp;col=7&amp;number=0.0007&amp;sourceID=14","0.0007")</f>
        <v>0.0007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HYPERLINK("http://141.218.60.56/~jnz1568/getInfo.php?workbook=14_04.xlsx&amp;sheet=U0&amp;row=4147&amp;col=6&amp;number=3.3&amp;sourceID=14","3.3")</f>
        <v>3.3</v>
      </c>
      <c r="G4147" s="4" t="str">
        <f>HYPERLINK("http://141.218.60.56/~jnz1568/getInfo.php?workbook=14_04.xlsx&amp;sheet=U0&amp;row=4147&amp;col=7&amp;number=0.0007&amp;sourceID=14","0.0007")</f>
        <v>0.0007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HYPERLINK("http://141.218.60.56/~jnz1568/getInfo.php?workbook=14_04.xlsx&amp;sheet=U0&amp;row=4148&amp;col=6&amp;number=3.4&amp;sourceID=14","3.4")</f>
        <v>3.4</v>
      </c>
      <c r="G4148" s="4" t="str">
        <f>HYPERLINK("http://141.218.60.56/~jnz1568/getInfo.php?workbook=14_04.xlsx&amp;sheet=U0&amp;row=4148&amp;col=7&amp;number=0.0007&amp;sourceID=14","0.0007")</f>
        <v>0.0007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HYPERLINK("http://141.218.60.56/~jnz1568/getInfo.php?workbook=14_04.xlsx&amp;sheet=U0&amp;row=4149&amp;col=6&amp;number=3.5&amp;sourceID=14","3.5")</f>
        <v>3.5</v>
      </c>
      <c r="G4149" s="4" t="str">
        <f>HYPERLINK("http://141.218.60.56/~jnz1568/getInfo.php?workbook=14_04.xlsx&amp;sheet=U0&amp;row=4149&amp;col=7&amp;number=0.000699&amp;sourceID=14","0.000699")</f>
        <v>0.000699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HYPERLINK("http://141.218.60.56/~jnz1568/getInfo.php?workbook=14_04.xlsx&amp;sheet=U0&amp;row=4150&amp;col=6&amp;number=3.6&amp;sourceID=14","3.6")</f>
        <v>3.6</v>
      </c>
      <c r="G4150" s="4" t="str">
        <f>HYPERLINK("http://141.218.60.56/~jnz1568/getInfo.php?workbook=14_04.xlsx&amp;sheet=U0&amp;row=4150&amp;col=7&amp;number=0.000699&amp;sourceID=14","0.000699")</f>
        <v>0.000699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HYPERLINK("http://141.218.60.56/~jnz1568/getInfo.php?workbook=14_04.xlsx&amp;sheet=U0&amp;row=4151&amp;col=6&amp;number=3.7&amp;sourceID=14","3.7")</f>
        <v>3.7</v>
      </c>
      <c r="G4151" s="4" t="str">
        <f>HYPERLINK("http://141.218.60.56/~jnz1568/getInfo.php?workbook=14_04.xlsx&amp;sheet=U0&amp;row=4151&amp;col=7&amp;number=0.000699&amp;sourceID=14","0.000699")</f>
        <v>0.000699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HYPERLINK("http://141.218.60.56/~jnz1568/getInfo.php?workbook=14_04.xlsx&amp;sheet=U0&amp;row=4152&amp;col=6&amp;number=3.8&amp;sourceID=14","3.8")</f>
        <v>3.8</v>
      </c>
      <c r="G4152" s="4" t="str">
        <f>HYPERLINK("http://141.218.60.56/~jnz1568/getInfo.php?workbook=14_04.xlsx&amp;sheet=U0&amp;row=4152&amp;col=7&amp;number=0.000699&amp;sourceID=14","0.000699")</f>
        <v>0.000699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HYPERLINK("http://141.218.60.56/~jnz1568/getInfo.php?workbook=14_04.xlsx&amp;sheet=U0&amp;row=4153&amp;col=6&amp;number=3.9&amp;sourceID=14","3.9")</f>
        <v>3.9</v>
      </c>
      <c r="G4153" s="4" t="str">
        <f>HYPERLINK("http://141.218.60.56/~jnz1568/getInfo.php?workbook=14_04.xlsx&amp;sheet=U0&amp;row=4153&amp;col=7&amp;number=0.000699&amp;sourceID=14","0.000699")</f>
        <v>0.000699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HYPERLINK("http://141.218.60.56/~jnz1568/getInfo.php?workbook=14_04.xlsx&amp;sheet=U0&amp;row=4154&amp;col=6&amp;number=4&amp;sourceID=14","4")</f>
        <v>4</v>
      </c>
      <c r="G4154" s="4" t="str">
        <f>HYPERLINK("http://141.218.60.56/~jnz1568/getInfo.php?workbook=14_04.xlsx&amp;sheet=U0&amp;row=4154&amp;col=7&amp;number=0.000699&amp;sourceID=14","0.000699")</f>
        <v>0.000699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HYPERLINK("http://141.218.60.56/~jnz1568/getInfo.php?workbook=14_04.xlsx&amp;sheet=U0&amp;row=4155&amp;col=6&amp;number=4.1&amp;sourceID=14","4.1")</f>
        <v>4.1</v>
      </c>
      <c r="G4155" s="4" t="str">
        <f>HYPERLINK("http://141.218.60.56/~jnz1568/getInfo.php?workbook=14_04.xlsx&amp;sheet=U0&amp;row=4155&amp;col=7&amp;number=0.000699&amp;sourceID=14","0.000699")</f>
        <v>0.000699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HYPERLINK("http://141.218.60.56/~jnz1568/getInfo.php?workbook=14_04.xlsx&amp;sheet=U0&amp;row=4156&amp;col=6&amp;number=4.2&amp;sourceID=14","4.2")</f>
        <v>4.2</v>
      </c>
      <c r="G4156" s="4" t="str">
        <f>HYPERLINK("http://141.218.60.56/~jnz1568/getInfo.php?workbook=14_04.xlsx&amp;sheet=U0&amp;row=4156&amp;col=7&amp;number=0.000699&amp;sourceID=14","0.000699")</f>
        <v>0.000699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HYPERLINK("http://141.218.60.56/~jnz1568/getInfo.php?workbook=14_04.xlsx&amp;sheet=U0&amp;row=4157&amp;col=6&amp;number=4.3&amp;sourceID=14","4.3")</f>
        <v>4.3</v>
      </c>
      <c r="G4157" s="4" t="str">
        <f>HYPERLINK("http://141.218.60.56/~jnz1568/getInfo.php?workbook=14_04.xlsx&amp;sheet=U0&amp;row=4157&amp;col=7&amp;number=0.000698&amp;sourceID=14","0.000698")</f>
        <v>0.000698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HYPERLINK("http://141.218.60.56/~jnz1568/getInfo.php?workbook=14_04.xlsx&amp;sheet=U0&amp;row=4158&amp;col=6&amp;number=4.4&amp;sourceID=14","4.4")</f>
        <v>4.4</v>
      </c>
      <c r="G4158" s="4" t="str">
        <f>HYPERLINK("http://141.218.60.56/~jnz1568/getInfo.php?workbook=14_04.xlsx&amp;sheet=U0&amp;row=4158&amp;col=7&amp;number=0.000698&amp;sourceID=14","0.000698")</f>
        <v>0.000698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HYPERLINK("http://141.218.60.56/~jnz1568/getInfo.php?workbook=14_04.xlsx&amp;sheet=U0&amp;row=4159&amp;col=6&amp;number=4.5&amp;sourceID=14","4.5")</f>
        <v>4.5</v>
      </c>
      <c r="G4159" s="4" t="str">
        <f>HYPERLINK("http://141.218.60.56/~jnz1568/getInfo.php?workbook=14_04.xlsx&amp;sheet=U0&amp;row=4159&amp;col=7&amp;number=0.000697&amp;sourceID=14","0.000697")</f>
        <v>0.000697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HYPERLINK("http://141.218.60.56/~jnz1568/getInfo.php?workbook=14_04.xlsx&amp;sheet=U0&amp;row=4160&amp;col=6&amp;number=4.6&amp;sourceID=14","4.6")</f>
        <v>4.6</v>
      </c>
      <c r="G4160" s="4" t="str">
        <f>HYPERLINK("http://141.218.60.56/~jnz1568/getInfo.php?workbook=14_04.xlsx&amp;sheet=U0&amp;row=4160&amp;col=7&amp;number=0.000697&amp;sourceID=14","0.000697")</f>
        <v>0.000697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HYPERLINK("http://141.218.60.56/~jnz1568/getInfo.php?workbook=14_04.xlsx&amp;sheet=U0&amp;row=4161&amp;col=6&amp;number=4.7&amp;sourceID=14","4.7")</f>
        <v>4.7</v>
      </c>
      <c r="G4161" s="4" t="str">
        <f>HYPERLINK("http://141.218.60.56/~jnz1568/getInfo.php?workbook=14_04.xlsx&amp;sheet=U0&amp;row=4161&amp;col=7&amp;number=0.000696&amp;sourceID=14","0.000696")</f>
        <v>0.000696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HYPERLINK("http://141.218.60.56/~jnz1568/getInfo.php?workbook=14_04.xlsx&amp;sheet=U0&amp;row=4162&amp;col=6&amp;number=4.8&amp;sourceID=14","4.8")</f>
        <v>4.8</v>
      </c>
      <c r="G4162" s="4" t="str">
        <f>HYPERLINK("http://141.218.60.56/~jnz1568/getInfo.php?workbook=14_04.xlsx&amp;sheet=U0&amp;row=4162&amp;col=7&amp;number=0.000695&amp;sourceID=14","0.000695")</f>
        <v>0.000695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HYPERLINK("http://141.218.60.56/~jnz1568/getInfo.php?workbook=14_04.xlsx&amp;sheet=U0&amp;row=4163&amp;col=6&amp;number=4.9&amp;sourceID=14","4.9")</f>
        <v>4.9</v>
      </c>
      <c r="G4163" s="4" t="str">
        <f>HYPERLINK("http://141.218.60.56/~jnz1568/getInfo.php?workbook=14_04.xlsx&amp;sheet=U0&amp;row=4163&amp;col=7&amp;number=0.000694&amp;sourceID=14","0.000694")</f>
        <v>0.000694</v>
      </c>
    </row>
    <row r="4164" spans="1:7">
      <c r="A4164" s="3">
        <v>14</v>
      </c>
      <c r="B4164" s="3">
        <v>4</v>
      </c>
      <c r="C4164" s="3">
        <v>2</v>
      </c>
      <c r="D4164" s="3">
        <v>92</v>
      </c>
      <c r="E4164" s="3">
        <v>1</v>
      </c>
      <c r="F4164" s="4" t="str">
        <f>HYPERLINK("http://141.218.60.56/~jnz1568/getInfo.php?workbook=14_04.xlsx&amp;sheet=U0&amp;row=4164&amp;col=6&amp;number=3&amp;sourceID=14","3")</f>
        <v>3</v>
      </c>
      <c r="G4164" s="4" t="str">
        <f>HYPERLINK("http://141.218.60.56/~jnz1568/getInfo.php?workbook=14_04.xlsx&amp;sheet=U0&amp;row=4164&amp;col=7&amp;number=0.00106&amp;sourceID=14","0.00106")</f>
        <v>0.00106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HYPERLINK("http://141.218.60.56/~jnz1568/getInfo.php?workbook=14_04.xlsx&amp;sheet=U0&amp;row=4165&amp;col=6&amp;number=3.1&amp;sourceID=14","3.1")</f>
        <v>3.1</v>
      </c>
      <c r="G4165" s="4" t="str">
        <f>HYPERLINK("http://141.218.60.56/~jnz1568/getInfo.php?workbook=14_04.xlsx&amp;sheet=U0&amp;row=4165&amp;col=7&amp;number=0.00106&amp;sourceID=14","0.00106")</f>
        <v>0.00106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HYPERLINK("http://141.218.60.56/~jnz1568/getInfo.php?workbook=14_04.xlsx&amp;sheet=U0&amp;row=4166&amp;col=6&amp;number=3.2&amp;sourceID=14","3.2")</f>
        <v>3.2</v>
      </c>
      <c r="G4166" s="4" t="str">
        <f>HYPERLINK("http://141.218.60.56/~jnz1568/getInfo.php?workbook=14_04.xlsx&amp;sheet=U0&amp;row=4166&amp;col=7&amp;number=0.00106&amp;sourceID=14","0.00106")</f>
        <v>0.00106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HYPERLINK("http://141.218.60.56/~jnz1568/getInfo.php?workbook=14_04.xlsx&amp;sheet=U0&amp;row=4167&amp;col=6&amp;number=3.3&amp;sourceID=14","3.3")</f>
        <v>3.3</v>
      </c>
      <c r="G4167" s="4" t="str">
        <f>HYPERLINK("http://141.218.60.56/~jnz1568/getInfo.php?workbook=14_04.xlsx&amp;sheet=U0&amp;row=4167&amp;col=7&amp;number=0.00106&amp;sourceID=14","0.00106")</f>
        <v>0.00106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HYPERLINK("http://141.218.60.56/~jnz1568/getInfo.php?workbook=14_04.xlsx&amp;sheet=U0&amp;row=4168&amp;col=6&amp;number=3.4&amp;sourceID=14","3.4")</f>
        <v>3.4</v>
      </c>
      <c r="G4168" s="4" t="str">
        <f>HYPERLINK("http://141.218.60.56/~jnz1568/getInfo.php?workbook=14_04.xlsx&amp;sheet=U0&amp;row=4168&amp;col=7&amp;number=0.00106&amp;sourceID=14","0.00106")</f>
        <v>0.00106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HYPERLINK("http://141.218.60.56/~jnz1568/getInfo.php?workbook=14_04.xlsx&amp;sheet=U0&amp;row=4169&amp;col=6&amp;number=3.5&amp;sourceID=14","3.5")</f>
        <v>3.5</v>
      </c>
      <c r="G4169" s="4" t="str">
        <f>HYPERLINK("http://141.218.60.56/~jnz1568/getInfo.php?workbook=14_04.xlsx&amp;sheet=U0&amp;row=4169&amp;col=7&amp;number=0.00106&amp;sourceID=14","0.00106")</f>
        <v>0.00106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HYPERLINK("http://141.218.60.56/~jnz1568/getInfo.php?workbook=14_04.xlsx&amp;sheet=U0&amp;row=4170&amp;col=6&amp;number=3.6&amp;sourceID=14","3.6")</f>
        <v>3.6</v>
      </c>
      <c r="G4170" s="4" t="str">
        <f>HYPERLINK("http://141.218.60.56/~jnz1568/getInfo.php?workbook=14_04.xlsx&amp;sheet=U0&amp;row=4170&amp;col=7&amp;number=0.00106&amp;sourceID=14","0.00106")</f>
        <v>0.00106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HYPERLINK("http://141.218.60.56/~jnz1568/getInfo.php?workbook=14_04.xlsx&amp;sheet=U0&amp;row=4171&amp;col=6&amp;number=3.7&amp;sourceID=14","3.7")</f>
        <v>3.7</v>
      </c>
      <c r="G4171" s="4" t="str">
        <f>HYPERLINK("http://141.218.60.56/~jnz1568/getInfo.php?workbook=14_04.xlsx&amp;sheet=U0&amp;row=4171&amp;col=7&amp;number=0.00106&amp;sourceID=14","0.00106")</f>
        <v>0.00106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HYPERLINK("http://141.218.60.56/~jnz1568/getInfo.php?workbook=14_04.xlsx&amp;sheet=U0&amp;row=4172&amp;col=6&amp;number=3.8&amp;sourceID=14","3.8")</f>
        <v>3.8</v>
      </c>
      <c r="G4172" s="4" t="str">
        <f>HYPERLINK("http://141.218.60.56/~jnz1568/getInfo.php?workbook=14_04.xlsx&amp;sheet=U0&amp;row=4172&amp;col=7&amp;number=0.00106&amp;sourceID=14","0.00106")</f>
        <v>0.00106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HYPERLINK("http://141.218.60.56/~jnz1568/getInfo.php?workbook=14_04.xlsx&amp;sheet=U0&amp;row=4173&amp;col=6&amp;number=3.9&amp;sourceID=14","3.9")</f>
        <v>3.9</v>
      </c>
      <c r="G4173" s="4" t="str">
        <f>HYPERLINK("http://141.218.60.56/~jnz1568/getInfo.php?workbook=14_04.xlsx&amp;sheet=U0&amp;row=4173&amp;col=7&amp;number=0.00106&amp;sourceID=14","0.00106")</f>
        <v>0.00106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HYPERLINK("http://141.218.60.56/~jnz1568/getInfo.php?workbook=14_04.xlsx&amp;sheet=U0&amp;row=4174&amp;col=6&amp;number=4&amp;sourceID=14","4")</f>
        <v>4</v>
      </c>
      <c r="G4174" s="4" t="str">
        <f>HYPERLINK("http://141.218.60.56/~jnz1568/getInfo.php?workbook=14_04.xlsx&amp;sheet=U0&amp;row=4174&amp;col=7&amp;number=0.00106&amp;sourceID=14","0.00106")</f>
        <v>0.00106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HYPERLINK("http://141.218.60.56/~jnz1568/getInfo.php?workbook=14_04.xlsx&amp;sheet=U0&amp;row=4175&amp;col=6&amp;number=4.1&amp;sourceID=14","4.1")</f>
        <v>4.1</v>
      </c>
      <c r="G4175" s="4" t="str">
        <f>HYPERLINK("http://141.218.60.56/~jnz1568/getInfo.php?workbook=14_04.xlsx&amp;sheet=U0&amp;row=4175&amp;col=7&amp;number=0.00106&amp;sourceID=14","0.00106")</f>
        <v>0.00106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HYPERLINK("http://141.218.60.56/~jnz1568/getInfo.php?workbook=14_04.xlsx&amp;sheet=U0&amp;row=4176&amp;col=6&amp;number=4.2&amp;sourceID=14","4.2")</f>
        <v>4.2</v>
      </c>
      <c r="G4176" s="4" t="str">
        <f>HYPERLINK("http://141.218.60.56/~jnz1568/getInfo.php?workbook=14_04.xlsx&amp;sheet=U0&amp;row=4176&amp;col=7&amp;number=0.00106&amp;sourceID=14","0.00106")</f>
        <v>0.00106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HYPERLINK("http://141.218.60.56/~jnz1568/getInfo.php?workbook=14_04.xlsx&amp;sheet=U0&amp;row=4177&amp;col=6&amp;number=4.3&amp;sourceID=14","4.3")</f>
        <v>4.3</v>
      </c>
      <c r="G4177" s="4" t="str">
        <f>HYPERLINK("http://141.218.60.56/~jnz1568/getInfo.php?workbook=14_04.xlsx&amp;sheet=U0&amp;row=4177&amp;col=7&amp;number=0.00105&amp;sourceID=14","0.00105")</f>
        <v>0.00105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HYPERLINK("http://141.218.60.56/~jnz1568/getInfo.php?workbook=14_04.xlsx&amp;sheet=U0&amp;row=4178&amp;col=6&amp;number=4.4&amp;sourceID=14","4.4")</f>
        <v>4.4</v>
      </c>
      <c r="G4178" s="4" t="str">
        <f>HYPERLINK("http://141.218.60.56/~jnz1568/getInfo.php?workbook=14_04.xlsx&amp;sheet=U0&amp;row=4178&amp;col=7&amp;number=0.00105&amp;sourceID=14","0.00105")</f>
        <v>0.00105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HYPERLINK("http://141.218.60.56/~jnz1568/getInfo.php?workbook=14_04.xlsx&amp;sheet=U0&amp;row=4179&amp;col=6&amp;number=4.5&amp;sourceID=14","4.5")</f>
        <v>4.5</v>
      </c>
      <c r="G4179" s="4" t="str">
        <f>HYPERLINK("http://141.218.60.56/~jnz1568/getInfo.php?workbook=14_04.xlsx&amp;sheet=U0&amp;row=4179&amp;col=7&amp;number=0.00105&amp;sourceID=14","0.00105")</f>
        <v>0.00105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HYPERLINK("http://141.218.60.56/~jnz1568/getInfo.php?workbook=14_04.xlsx&amp;sheet=U0&amp;row=4180&amp;col=6&amp;number=4.6&amp;sourceID=14","4.6")</f>
        <v>4.6</v>
      </c>
      <c r="G4180" s="4" t="str">
        <f>HYPERLINK("http://141.218.60.56/~jnz1568/getInfo.php?workbook=14_04.xlsx&amp;sheet=U0&amp;row=4180&amp;col=7&amp;number=0.00105&amp;sourceID=14","0.00105")</f>
        <v>0.00105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HYPERLINK("http://141.218.60.56/~jnz1568/getInfo.php?workbook=14_04.xlsx&amp;sheet=U0&amp;row=4181&amp;col=6&amp;number=4.7&amp;sourceID=14","4.7")</f>
        <v>4.7</v>
      </c>
      <c r="G4181" s="4" t="str">
        <f>HYPERLINK("http://141.218.60.56/~jnz1568/getInfo.php?workbook=14_04.xlsx&amp;sheet=U0&amp;row=4181&amp;col=7&amp;number=0.00104&amp;sourceID=14","0.00104")</f>
        <v>0.00104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HYPERLINK("http://141.218.60.56/~jnz1568/getInfo.php?workbook=14_04.xlsx&amp;sheet=U0&amp;row=4182&amp;col=6&amp;number=4.8&amp;sourceID=14","4.8")</f>
        <v>4.8</v>
      </c>
      <c r="G4182" s="4" t="str">
        <f>HYPERLINK("http://141.218.60.56/~jnz1568/getInfo.php?workbook=14_04.xlsx&amp;sheet=U0&amp;row=4182&amp;col=7&amp;number=0.00104&amp;sourceID=14","0.00104")</f>
        <v>0.00104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HYPERLINK("http://141.218.60.56/~jnz1568/getInfo.php?workbook=14_04.xlsx&amp;sheet=U0&amp;row=4183&amp;col=6&amp;number=4.9&amp;sourceID=14","4.9")</f>
        <v>4.9</v>
      </c>
      <c r="G4183" s="4" t="str">
        <f>HYPERLINK("http://141.218.60.56/~jnz1568/getInfo.php?workbook=14_04.xlsx&amp;sheet=U0&amp;row=4183&amp;col=7&amp;number=0.00104&amp;sourceID=14","0.00104")</f>
        <v>0.00104</v>
      </c>
    </row>
    <row r="4184" spans="1:7">
      <c r="A4184" s="3">
        <v>14</v>
      </c>
      <c r="B4184" s="3">
        <v>4</v>
      </c>
      <c r="C4184" s="3">
        <v>3</v>
      </c>
      <c r="D4184" s="3">
        <v>11</v>
      </c>
      <c r="E4184" s="3">
        <v>1</v>
      </c>
      <c r="F4184" s="4" t="str">
        <f>HYPERLINK("http://141.218.60.56/~jnz1568/getInfo.php?workbook=14_04.xlsx&amp;sheet=U0&amp;row=4184&amp;col=6&amp;number=3&amp;sourceID=14","3")</f>
        <v>3</v>
      </c>
      <c r="G4184" s="4" t="str">
        <f>HYPERLINK("http://141.218.60.56/~jnz1568/getInfo.php?workbook=14_04.xlsx&amp;sheet=U0&amp;row=4184&amp;col=7&amp;number=0.00375&amp;sourceID=14","0.00375")</f>
        <v>0.00375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HYPERLINK("http://141.218.60.56/~jnz1568/getInfo.php?workbook=14_04.xlsx&amp;sheet=U0&amp;row=4185&amp;col=6&amp;number=3.1&amp;sourceID=14","3.1")</f>
        <v>3.1</v>
      </c>
      <c r="G4185" s="4" t="str">
        <f>HYPERLINK("http://141.218.60.56/~jnz1568/getInfo.php?workbook=14_04.xlsx&amp;sheet=U0&amp;row=4185&amp;col=7&amp;number=0.00375&amp;sourceID=14","0.00375")</f>
        <v>0.00375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HYPERLINK("http://141.218.60.56/~jnz1568/getInfo.php?workbook=14_04.xlsx&amp;sheet=U0&amp;row=4186&amp;col=6&amp;number=3.2&amp;sourceID=14","3.2")</f>
        <v>3.2</v>
      </c>
      <c r="G4186" s="4" t="str">
        <f>HYPERLINK("http://141.218.60.56/~jnz1568/getInfo.php?workbook=14_04.xlsx&amp;sheet=U0&amp;row=4186&amp;col=7&amp;number=0.00375&amp;sourceID=14","0.00375")</f>
        <v>0.00375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HYPERLINK("http://141.218.60.56/~jnz1568/getInfo.php?workbook=14_04.xlsx&amp;sheet=U0&amp;row=4187&amp;col=6&amp;number=3.3&amp;sourceID=14","3.3")</f>
        <v>3.3</v>
      </c>
      <c r="G4187" s="4" t="str">
        <f>HYPERLINK("http://141.218.60.56/~jnz1568/getInfo.php?workbook=14_04.xlsx&amp;sheet=U0&amp;row=4187&amp;col=7&amp;number=0.00375&amp;sourceID=14","0.00375")</f>
        <v>0.00375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HYPERLINK("http://141.218.60.56/~jnz1568/getInfo.php?workbook=14_04.xlsx&amp;sheet=U0&amp;row=4188&amp;col=6&amp;number=3.4&amp;sourceID=14","3.4")</f>
        <v>3.4</v>
      </c>
      <c r="G4188" s="4" t="str">
        <f>HYPERLINK("http://141.218.60.56/~jnz1568/getInfo.php?workbook=14_04.xlsx&amp;sheet=U0&amp;row=4188&amp;col=7&amp;number=0.00375&amp;sourceID=14","0.00375")</f>
        <v>0.00375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HYPERLINK("http://141.218.60.56/~jnz1568/getInfo.php?workbook=14_04.xlsx&amp;sheet=U0&amp;row=4189&amp;col=6&amp;number=3.5&amp;sourceID=14","3.5")</f>
        <v>3.5</v>
      </c>
      <c r="G4189" s="4" t="str">
        <f>HYPERLINK("http://141.218.60.56/~jnz1568/getInfo.php?workbook=14_04.xlsx&amp;sheet=U0&amp;row=4189&amp;col=7&amp;number=0.00375&amp;sourceID=14","0.00375")</f>
        <v>0.00375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HYPERLINK("http://141.218.60.56/~jnz1568/getInfo.php?workbook=14_04.xlsx&amp;sheet=U0&amp;row=4190&amp;col=6&amp;number=3.6&amp;sourceID=14","3.6")</f>
        <v>3.6</v>
      </c>
      <c r="G4190" s="4" t="str">
        <f>HYPERLINK("http://141.218.60.56/~jnz1568/getInfo.php?workbook=14_04.xlsx&amp;sheet=U0&amp;row=4190&amp;col=7&amp;number=0.00376&amp;sourceID=14","0.00376")</f>
        <v>0.00376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HYPERLINK("http://141.218.60.56/~jnz1568/getInfo.php?workbook=14_04.xlsx&amp;sheet=U0&amp;row=4191&amp;col=6&amp;number=3.7&amp;sourceID=14","3.7")</f>
        <v>3.7</v>
      </c>
      <c r="G4191" s="4" t="str">
        <f>HYPERLINK("http://141.218.60.56/~jnz1568/getInfo.php?workbook=14_04.xlsx&amp;sheet=U0&amp;row=4191&amp;col=7&amp;number=0.00376&amp;sourceID=14","0.00376")</f>
        <v>0.00376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HYPERLINK("http://141.218.60.56/~jnz1568/getInfo.php?workbook=14_04.xlsx&amp;sheet=U0&amp;row=4192&amp;col=6&amp;number=3.8&amp;sourceID=14","3.8")</f>
        <v>3.8</v>
      </c>
      <c r="G4192" s="4" t="str">
        <f>HYPERLINK("http://141.218.60.56/~jnz1568/getInfo.php?workbook=14_04.xlsx&amp;sheet=U0&amp;row=4192&amp;col=7&amp;number=0.00376&amp;sourceID=14","0.00376")</f>
        <v>0.00376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HYPERLINK("http://141.218.60.56/~jnz1568/getInfo.php?workbook=14_04.xlsx&amp;sheet=U0&amp;row=4193&amp;col=6&amp;number=3.9&amp;sourceID=14","3.9")</f>
        <v>3.9</v>
      </c>
      <c r="G4193" s="4" t="str">
        <f>HYPERLINK("http://141.218.60.56/~jnz1568/getInfo.php?workbook=14_04.xlsx&amp;sheet=U0&amp;row=4193&amp;col=7&amp;number=0.00377&amp;sourceID=14","0.00377")</f>
        <v>0.00377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HYPERLINK("http://141.218.60.56/~jnz1568/getInfo.php?workbook=14_04.xlsx&amp;sheet=U0&amp;row=4194&amp;col=6&amp;number=4&amp;sourceID=14","4")</f>
        <v>4</v>
      </c>
      <c r="G4194" s="4" t="str">
        <f>HYPERLINK("http://141.218.60.56/~jnz1568/getInfo.php?workbook=14_04.xlsx&amp;sheet=U0&amp;row=4194&amp;col=7&amp;number=0.00377&amp;sourceID=14","0.00377")</f>
        <v>0.00377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HYPERLINK("http://141.218.60.56/~jnz1568/getInfo.php?workbook=14_04.xlsx&amp;sheet=U0&amp;row=4195&amp;col=6&amp;number=4.1&amp;sourceID=14","4.1")</f>
        <v>4.1</v>
      </c>
      <c r="G4195" s="4" t="str">
        <f>HYPERLINK("http://141.218.60.56/~jnz1568/getInfo.php?workbook=14_04.xlsx&amp;sheet=U0&amp;row=4195&amp;col=7&amp;number=0.00378&amp;sourceID=14","0.00378")</f>
        <v>0.00378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HYPERLINK("http://141.218.60.56/~jnz1568/getInfo.php?workbook=14_04.xlsx&amp;sheet=U0&amp;row=4196&amp;col=6&amp;number=4.2&amp;sourceID=14","4.2")</f>
        <v>4.2</v>
      </c>
      <c r="G4196" s="4" t="str">
        <f>HYPERLINK("http://141.218.60.56/~jnz1568/getInfo.php?workbook=14_04.xlsx&amp;sheet=U0&amp;row=4196&amp;col=7&amp;number=0.00378&amp;sourceID=14","0.00378")</f>
        <v>0.00378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HYPERLINK("http://141.218.60.56/~jnz1568/getInfo.php?workbook=14_04.xlsx&amp;sheet=U0&amp;row=4197&amp;col=6&amp;number=4.3&amp;sourceID=14","4.3")</f>
        <v>4.3</v>
      </c>
      <c r="G4197" s="4" t="str">
        <f>HYPERLINK("http://141.218.60.56/~jnz1568/getInfo.php?workbook=14_04.xlsx&amp;sheet=U0&amp;row=4197&amp;col=7&amp;number=0.00379&amp;sourceID=14","0.00379")</f>
        <v>0.00379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HYPERLINK("http://141.218.60.56/~jnz1568/getInfo.php?workbook=14_04.xlsx&amp;sheet=U0&amp;row=4198&amp;col=6&amp;number=4.4&amp;sourceID=14","4.4")</f>
        <v>4.4</v>
      </c>
      <c r="G4198" s="4" t="str">
        <f>HYPERLINK("http://141.218.60.56/~jnz1568/getInfo.php?workbook=14_04.xlsx&amp;sheet=U0&amp;row=4198&amp;col=7&amp;number=0.0038&amp;sourceID=14","0.0038")</f>
        <v>0.0038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HYPERLINK("http://141.218.60.56/~jnz1568/getInfo.php?workbook=14_04.xlsx&amp;sheet=U0&amp;row=4199&amp;col=6&amp;number=4.5&amp;sourceID=14","4.5")</f>
        <v>4.5</v>
      </c>
      <c r="G4199" s="4" t="str">
        <f>HYPERLINK("http://141.218.60.56/~jnz1568/getInfo.php?workbook=14_04.xlsx&amp;sheet=U0&amp;row=4199&amp;col=7&amp;number=0.00382&amp;sourceID=14","0.00382")</f>
        <v>0.00382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HYPERLINK("http://141.218.60.56/~jnz1568/getInfo.php?workbook=14_04.xlsx&amp;sheet=U0&amp;row=4200&amp;col=6&amp;number=4.6&amp;sourceID=14","4.6")</f>
        <v>4.6</v>
      </c>
      <c r="G4200" s="4" t="str">
        <f>HYPERLINK("http://141.218.60.56/~jnz1568/getInfo.php?workbook=14_04.xlsx&amp;sheet=U0&amp;row=4200&amp;col=7&amp;number=0.00383&amp;sourceID=14","0.00383")</f>
        <v>0.00383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HYPERLINK("http://141.218.60.56/~jnz1568/getInfo.php?workbook=14_04.xlsx&amp;sheet=U0&amp;row=4201&amp;col=6&amp;number=4.7&amp;sourceID=14","4.7")</f>
        <v>4.7</v>
      </c>
      <c r="G4201" s="4" t="str">
        <f>HYPERLINK("http://141.218.60.56/~jnz1568/getInfo.php?workbook=14_04.xlsx&amp;sheet=U0&amp;row=4201&amp;col=7&amp;number=0.00386&amp;sourceID=14","0.00386")</f>
        <v>0.00386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HYPERLINK("http://141.218.60.56/~jnz1568/getInfo.php?workbook=14_04.xlsx&amp;sheet=U0&amp;row=4202&amp;col=6&amp;number=4.8&amp;sourceID=14","4.8")</f>
        <v>4.8</v>
      </c>
      <c r="G4202" s="4" t="str">
        <f>HYPERLINK("http://141.218.60.56/~jnz1568/getInfo.php?workbook=14_04.xlsx&amp;sheet=U0&amp;row=4202&amp;col=7&amp;number=0.00388&amp;sourceID=14","0.00388")</f>
        <v>0.00388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HYPERLINK("http://141.218.60.56/~jnz1568/getInfo.php?workbook=14_04.xlsx&amp;sheet=U0&amp;row=4203&amp;col=6&amp;number=4.9&amp;sourceID=14","4.9")</f>
        <v>4.9</v>
      </c>
      <c r="G4203" s="4" t="str">
        <f>HYPERLINK("http://141.218.60.56/~jnz1568/getInfo.php?workbook=14_04.xlsx&amp;sheet=U0&amp;row=4203&amp;col=7&amp;number=0.00392&amp;sourceID=14","0.00392")</f>
        <v>0.00392</v>
      </c>
    </row>
    <row r="4204" spans="1:7">
      <c r="A4204" s="3">
        <v>14</v>
      </c>
      <c r="B4204" s="3">
        <v>4</v>
      </c>
      <c r="C4204" s="3">
        <v>3</v>
      </c>
      <c r="D4204" s="3">
        <v>12</v>
      </c>
      <c r="E4204" s="3">
        <v>1</v>
      </c>
      <c r="F4204" s="4" t="str">
        <f>HYPERLINK("http://141.218.60.56/~jnz1568/getInfo.php?workbook=14_04.xlsx&amp;sheet=U0&amp;row=4204&amp;col=6&amp;number=3&amp;sourceID=14","3")</f>
        <v>3</v>
      </c>
      <c r="G4204" s="4" t="str">
        <f>HYPERLINK("http://141.218.60.56/~jnz1568/getInfo.php?workbook=14_04.xlsx&amp;sheet=U0&amp;row=4204&amp;col=7&amp;number=0.00169&amp;sourceID=14","0.00169")</f>
        <v>0.00169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HYPERLINK("http://141.218.60.56/~jnz1568/getInfo.php?workbook=14_04.xlsx&amp;sheet=U0&amp;row=4205&amp;col=6&amp;number=3.1&amp;sourceID=14","3.1")</f>
        <v>3.1</v>
      </c>
      <c r="G4205" s="4" t="str">
        <f>HYPERLINK("http://141.218.60.56/~jnz1568/getInfo.php?workbook=14_04.xlsx&amp;sheet=U0&amp;row=4205&amp;col=7&amp;number=0.00169&amp;sourceID=14","0.00169")</f>
        <v>0.00169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HYPERLINK("http://141.218.60.56/~jnz1568/getInfo.php?workbook=14_04.xlsx&amp;sheet=U0&amp;row=4206&amp;col=6&amp;number=3.2&amp;sourceID=14","3.2")</f>
        <v>3.2</v>
      </c>
      <c r="G4206" s="4" t="str">
        <f>HYPERLINK("http://141.218.60.56/~jnz1568/getInfo.php?workbook=14_04.xlsx&amp;sheet=U0&amp;row=4206&amp;col=7&amp;number=0.00169&amp;sourceID=14","0.00169")</f>
        <v>0.00169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HYPERLINK("http://141.218.60.56/~jnz1568/getInfo.php?workbook=14_04.xlsx&amp;sheet=U0&amp;row=4207&amp;col=6&amp;number=3.3&amp;sourceID=14","3.3")</f>
        <v>3.3</v>
      </c>
      <c r="G4207" s="4" t="str">
        <f>HYPERLINK("http://141.218.60.56/~jnz1568/getInfo.php?workbook=14_04.xlsx&amp;sheet=U0&amp;row=4207&amp;col=7&amp;number=0.00169&amp;sourceID=14","0.00169")</f>
        <v>0.00169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HYPERLINK("http://141.218.60.56/~jnz1568/getInfo.php?workbook=14_04.xlsx&amp;sheet=U0&amp;row=4208&amp;col=6&amp;number=3.4&amp;sourceID=14","3.4")</f>
        <v>3.4</v>
      </c>
      <c r="G4208" s="4" t="str">
        <f>HYPERLINK("http://141.218.60.56/~jnz1568/getInfo.php?workbook=14_04.xlsx&amp;sheet=U0&amp;row=4208&amp;col=7&amp;number=0.00169&amp;sourceID=14","0.00169")</f>
        <v>0.00169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HYPERLINK("http://141.218.60.56/~jnz1568/getInfo.php?workbook=14_04.xlsx&amp;sheet=U0&amp;row=4209&amp;col=6&amp;number=3.5&amp;sourceID=14","3.5")</f>
        <v>3.5</v>
      </c>
      <c r="G4209" s="4" t="str">
        <f>HYPERLINK("http://141.218.60.56/~jnz1568/getInfo.php?workbook=14_04.xlsx&amp;sheet=U0&amp;row=4209&amp;col=7&amp;number=0.00169&amp;sourceID=14","0.00169")</f>
        <v>0.00169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HYPERLINK("http://141.218.60.56/~jnz1568/getInfo.php?workbook=14_04.xlsx&amp;sheet=U0&amp;row=4210&amp;col=6&amp;number=3.6&amp;sourceID=14","3.6")</f>
        <v>3.6</v>
      </c>
      <c r="G4210" s="4" t="str">
        <f>HYPERLINK("http://141.218.60.56/~jnz1568/getInfo.php?workbook=14_04.xlsx&amp;sheet=U0&amp;row=4210&amp;col=7&amp;number=0.00169&amp;sourceID=14","0.00169")</f>
        <v>0.00169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HYPERLINK("http://141.218.60.56/~jnz1568/getInfo.php?workbook=14_04.xlsx&amp;sheet=U0&amp;row=4211&amp;col=6&amp;number=3.7&amp;sourceID=14","3.7")</f>
        <v>3.7</v>
      </c>
      <c r="G4211" s="4" t="str">
        <f>HYPERLINK("http://141.218.60.56/~jnz1568/getInfo.php?workbook=14_04.xlsx&amp;sheet=U0&amp;row=4211&amp;col=7&amp;number=0.00169&amp;sourceID=14","0.00169")</f>
        <v>0.00169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HYPERLINK("http://141.218.60.56/~jnz1568/getInfo.php?workbook=14_04.xlsx&amp;sheet=U0&amp;row=4212&amp;col=6&amp;number=3.8&amp;sourceID=14","3.8")</f>
        <v>3.8</v>
      </c>
      <c r="G4212" s="4" t="str">
        <f>HYPERLINK("http://141.218.60.56/~jnz1568/getInfo.php?workbook=14_04.xlsx&amp;sheet=U0&amp;row=4212&amp;col=7&amp;number=0.00169&amp;sourceID=14","0.00169")</f>
        <v>0.00169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HYPERLINK("http://141.218.60.56/~jnz1568/getInfo.php?workbook=14_04.xlsx&amp;sheet=U0&amp;row=4213&amp;col=6&amp;number=3.9&amp;sourceID=14","3.9")</f>
        <v>3.9</v>
      </c>
      <c r="G4213" s="4" t="str">
        <f>HYPERLINK("http://141.218.60.56/~jnz1568/getInfo.php?workbook=14_04.xlsx&amp;sheet=U0&amp;row=4213&amp;col=7&amp;number=0.00169&amp;sourceID=14","0.00169")</f>
        <v>0.00169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HYPERLINK("http://141.218.60.56/~jnz1568/getInfo.php?workbook=14_04.xlsx&amp;sheet=U0&amp;row=4214&amp;col=6&amp;number=4&amp;sourceID=14","4")</f>
        <v>4</v>
      </c>
      <c r="G4214" s="4" t="str">
        <f>HYPERLINK("http://141.218.60.56/~jnz1568/getInfo.php?workbook=14_04.xlsx&amp;sheet=U0&amp;row=4214&amp;col=7&amp;number=0.00169&amp;sourceID=14","0.00169")</f>
        <v>0.00169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HYPERLINK("http://141.218.60.56/~jnz1568/getInfo.php?workbook=14_04.xlsx&amp;sheet=U0&amp;row=4215&amp;col=6&amp;number=4.1&amp;sourceID=14","4.1")</f>
        <v>4.1</v>
      </c>
      <c r="G4215" s="4" t="str">
        <f>HYPERLINK("http://141.218.60.56/~jnz1568/getInfo.php?workbook=14_04.xlsx&amp;sheet=U0&amp;row=4215&amp;col=7&amp;number=0.00169&amp;sourceID=14","0.00169")</f>
        <v>0.00169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HYPERLINK("http://141.218.60.56/~jnz1568/getInfo.php?workbook=14_04.xlsx&amp;sheet=U0&amp;row=4216&amp;col=6&amp;number=4.2&amp;sourceID=14","4.2")</f>
        <v>4.2</v>
      </c>
      <c r="G4216" s="4" t="str">
        <f>HYPERLINK("http://141.218.60.56/~jnz1568/getInfo.php?workbook=14_04.xlsx&amp;sheet=U0&amp;row=4216&amp;col=7&amp;number=0.00169&amp;sourceID=14","0.00169")</f>
        <v>0.00169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HYPERLINK("http://141.218.60.56/~jnz1568/getInfo.php?workbook=14_04.xlsx&amp;sheet=U0&amp;row=4217&amp;col=6&amp;number=4.3&amp;sourceID=14","4.3")</f>
        <v>4.3</v>
      </c>
      <c r="G4217" s="4" t="str">
        <f>HYPERLINK("http://141.218.60.56/~jnz1568/getInfo.php?workbook=14_04.xlsx&amp;sheet=U0&amp;row=4217&amp;col=7&amp;number=0.00168&amp;sourceID=14","0.00168")</f>
        <v>0.00168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HYPERLINK("http://141.218.60.56/~jnz1568/getInfo.php?workbook=14_04.xlsx&amp;sheet=U0&amp;row=4218&amp;col=6&amp;number=4.4&amp;sourceID=14","4.4")</f>
        <v>4.4</v>
      </c>
      <c r="G4218" s="4" t="str">
        <f>HYPERLINK("http://141.218.60.56/~jnz1568/getInfo.php?workbook=14_04.xlsx&amp;sheet=U0&amp;row=4218&amp;col=7&amp;number=0.00168&amp;sourceID=14","0.00168")</f>
        <v>0.00168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HYPERLINK("http://141.218.60.56/~jnz1568/getInfo.php?workbook=14_04.xlsx&amp;sheet=U0&amp;row=4219&amp;col=6&amp;number=4.5&amp;sourceID=14","4.5")</f>
        <v>4.5</v>
      </c>
      <c r="G4219" s="4" t="str">
        <f>HYPERLINK("http://141.218.60.56/~jnz1568/getInfo.php?workbook=14_04.xlsx&amp;sheet=U0&amp;row=4219&amp;col=7&amp;number=0.00168&amp;sourceID=14","0.00168")</f>
        <v>0.00168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HYPERLINK("http://141.218.60.56/~jnz1568/getInfo.php?workbook=14_04.xlsx&amp;sheet=U0&amp;row=4220&amp;col=6&amp;number=4.6&amp;sourceID=14","4.6")</f>
        <v>4.6</v>
      </c>
      <c r="G4220" s="4" t="str">
        <f>HYPERLINK("http://141.218.60.56/~jnz1568/getInfo.php?workbook=14_04.xlsx&amp;sheet=U0&amp;row=4220&amp;col=7&amp;number=0.00168&amp;sourceID=14","0.00168")</f>
        <v>0.00168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HYPERLINK("http://141.218.60.56/~jnz1568/getInfo.php?workbook=14_04.xlsx&amp;sheet=U0&amp;row=4221&amp;col=6&amp;number=4.7&amp;sourceID=14","4.7")</f>
        <v>4.7</v>
      </c>
      <c r="G4221" s="4" t="str">
        <f>HYPERLINK("http://141.218.60.56/~jnz1568/getInfo.php?workbook=14_04.xlsx&amp;sheet=U0&amp;row=4221&amp;col=7&amp;number=0.00168&amp;sourceID=14","0.00168")</f>
        <v>0.00168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HYPERLINK("http://141.218.60.56/~jnz1568/getInfo.php?workbook=14_04.xlsx&amp;sheet=U0&amp;row=4222&amp;col=6&amp;number=4.8&amp;sourceID=14","4.8")</f>
        <v>4.8</v>
      </c>
      <c r="G4222" s="4" t="str">
        <f>HYPERLINK("http://141.218.60.56/~jnz1568/getInfo.php?workbook=14_04.xlsx&amp;sheet=U0&amp;row=4222&amp;col=7&amp;number=0.00167&amp;sourceID=14","0.00167")</f>
        <v>0.00167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HYPERLINK("http://141.218.60.56/~jnz1568/getInfo.php?workbook=14_04.xlsx&amp;sheet=U0&amp;row=4223&amp;col=6&amp;number=4.9&amp;sourceID=14","4.9")</f>
        <v>4.9</v>
      </c>
      <c r="G4223" s="4" t="str">
        <f>HYPERLINK("http://141.218.60.56/~jnz1568/getInfo.php?workbook=14_04.xlsx&amp;sheet=U0&amp;row=4223&amp;col=7&amp;number=0.00167&amp;sourceID=14","0.00167")</f>
        <v>0.00167</v>
      </c>
    </row>
    <row r="4224" spans="1:7">
      <c r="A4224" s="3">
        <v>14</v>
      </c>
      <c r="B4224" s="3">
        <v>4</v>
      </c>
      <c r="C4224" s="3">
        <v>3</v>
      </c>
      <c r="D4224" s="3">
        <v>13</v>
      </c>
      <c r="E4224" s="3">
        <v>1</v>
      </c>
      <c r="F4224" s="4" t="str">
        <f>HYPERLINK("http://141.218.60.56/~jnz1568/getInfo.php?workbook=14_04.xlsx&amp;sheet=U0&amp;row=4224&amp;col=6&amp;number=3&amp;sourceID=14","3")</f>
        <v>3</v>
      </c>
      <c r="G4224" s="4" t="str">
        <f>HYPERLINK("http://141.218.60.56/~jnz1568/getInfo.php?workbook=14_04.xlsx&amp;sheet=U0&amp;row=4224&amp;col=7&amp;number=0.0139&amp;sourceID=14","0.0139")</f>
        <v>0.0139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HYPERLINK("http://141.218.60.56/~jnz1568/getInfo.php?workbook=14_04.xlsx&amp;sheet=U0&amp;row=4225&amp;col=6&amp;number=3.1&amp;sourceID=14","3.1")</f>
        <v>3.1</v>
      </c>
      <c r="G4225" s="4" t="str">
        <f>HYPERLINK("http://141.218.60.56/~jnz1568/getInfo.php?workbook=14_04.xlsx&amp;sheet=U0&amp;row=4225&amp;col=7&amp;number=0.0139&amp;sourceID=14","0.0139")</f>
        <v>0.0139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HYPERLINK("http://141.218.60.56/~jnz1568/getInfo.php?workbook=14_04.xlsx&amp;sheet=U0&amp;row=4226&amp;col=6&amp;number=3.2&amp;sourceID=14","3.2")</f>
        <v>3.2</v>
      </c>
      <c r="G4226" s="4" t="str">
        <f>HYPERLINK("http://141.218.60.56/~jnz1568/getInfo.php?workbook=14_04.xlsx&amp;sheet=U0&amp;row=4226&amp;col=7&amp;number=0.0139&amp;sourceID=14","0.0139")</f>
        <v>0.0139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HYPERLINK("http://141.218.60.56/~jnz1568/getInfo.php?workbook=14_04.xlsx&amp;sheet=U0&amp;row=4227&amp;col=6&amp;number=3.3&amp;sourceID=14","3.3")</f>
        <v>3.3</v>
      </c>
      <c r="G4227" s="4" t="str">
        <f>HYPERLINK("http://141.218.60.56/~jnz1568/getInfo.php?workbook=14_04.xlsx&amp;sheet=U0&amp;row=4227&amp;col=7&amp;number=0.0139&amp;sourceID=14","0.0139")</f>
        <v>0.0139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HYPERLINK("http://141.218.60.56/~jnz1568/getInfo.php?workbook=14_04.xlsx&amp;sheet=U0&amp;row=4228&amp;col=6&amp;number=3.4&amp;sourceID=14","3.4")</f>
        <v>3.4</v>
      </c>
      <c r="G4228" s="4" t="str">
        <f>HYPERLINK("http://141.218.60.56/~jnz1568/getInfo.php?workbook=14_04.xlsx&amp;sheet=U0&amp;row=4228&amp;col=7&amp;number=0.0139&amp;sourceID=14","0.0139")</f>
        <v>0.0139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HYPERLINK("http://141.218.60.56/~jnz1568/getInfo.php?workbook=14_04.xlsx&amp;sheet=U0&amp;row=4229&amp;col=6&amp;number=3.5&amp;sourceID=14","3.5")</f>
        <v>3.5</v>
      </c>
      <c r="G4229" s="4" t="str">
        <f>HYPERLINK("http://141.218.60.56/~jnz1568/getInfo.php?workbook=14_04.xlsx&amp;sheet=U0&amp;row=4229&amp;col=7&amp;number=0.0139&amp;sourceID=14","0.0139")</f>
        <v>0.0139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HYPERLINK("http://141.218.60.56/~jnz1568/getInfo.php?workbook=14_04.xlsx&amp;sheet=U0&amp;row=4230&amp;col=6&amp;number=3.6&amp;sourceID=14","3.6")</f>
        <v>3.6</v>
      </c>
      <c r="G4230" s="4" t="str">
        <f>HYPERLINK("http://141.218.60.56/~jnz1568/getInfo.php?workbook=14_04.xlsx&amp;sheet=U0&amp;row=4230&amp;col=7&amp;number=0.0139&amp;sourceID=14","0.0139")</f>
        <v>0.0139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HYPERLINK("http://141.218.60.56/~jnz1568/getInfo.php?workbook=14_04.xlsx&amp;sheet=U0&amp;row=4231&amp;col=6&amp;number=3.7&amp;sourceID=14","3.7")</f>
        <v>3.7</v>
      </c>
      <c r="G4231" s="4" t="str">
        <f>HYPERLINK("http://141.218.60.56/~jnz1568/getInfo.php?workbook=14_04.xlsx&amp;sheet=U0&amp;row=4231&amp;col=7&amp;number=0.0139&amp;sourceID=14","0.0139")</f>
        <v>0.0139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HYPERLINK("http://141.218.60.56/~jnz1568/getInfo.php?workbook=14_04.xlsx&amp;sheet=U0&amp;row=4232&amp;col=6&amp;number=3.8&amp;sourceID=14","3.8")</f>
        <v>3.8</v>
      </c>
      <c r="G4232" s="4" t="str">
        <f>HYPERLINK("http://141.218.60.56/~jnz1568/getInfo.php?workbook=14_04.xlsx&amp;sheet=U0&amp;row=4232&amp;col=7&amp;number=0.0139&amp;sourceID=14","0.0139")</f>
        <v>0.0139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HYPERLINK("http://141.218.60.56/~jnz1568/getInfo.php?workbook=14_04.xlsx&amp;sheet=U0&amp;row=4233&amp;col=6&amp;number=3.9&amp;sourceID=14","3.9")</f>
        <v>3.9</v>
      </c>
      <c r="G4233" s="4" t="str">
        <f>HYPERLINK("http://141.218.60.56/~jnz1568/getInfo.php?workbook=14_04.xlsx&amp;sheet=U0&amp;row=4233&amp;col=7&amp;number=0.0139&amp;sourceID=14","0.0139")</f>
        <v>0.0139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HYPERLINK("http://141.218.60.56/~jnz1568/getInfo.php?workbook=14_04.xlsx&amp;sheet=U0&amp;row=4234&amp;col=6&amp;number=4&amp;sourceID=14","4")</f>
        <v>4</v>
      </c>
      <c r="G4234" s="4" t="str">
        <f>HYPERLINK("http://141.218.60.56/~jnz1568/getInfo.php?workbook=14_04.xlsx&amp;sheet=U0&amp;row=4234&amp;col=7&amp;number=0.0139&amp;sourceID=14","0.0139")</f>
        <v>0.0139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HYPERLINK("http://141.218.60.56/~jnz1568/getInfo.php?workbook=14_04.xlsx&amp;sheet=U0&amp;row=4235&amp;col=6&amp;number=4.1&amp;sourceID=14","4.1")</f>
        <v>4.1</v>
      </c>
      <c r="G4235" s="4" t="str">
        <f>HYPERLINK("http://141.218.60.56/~jnz1568/getInfo.php?workbook=14_04.xlsx&amp;sheet=U0&amp;row=4235&amp;col=7&amp;number=0.0139&amp;sourceID=14","0.0139")</f>
        <v>0.0139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HYPERLINK("http://141.218.60.56/~jnz1568/getInfo.php?workbook=14_04.xlsx&amp;sheet=U0&amp;row=4236&amp;col=6&amp;number=4.2&amp;sourceID=14","4.2")</f>
        <v>4.2</v>
      </c>
      <c r="G4236" s="4" t="str">
        <f>HYPERLINK("http://141.218.60.56/~jnz1568/getInfo.php?workbook=14_04.xlsx&amp;sheet=U0&amp;row=4236&amp;col=7&amp;number=0.0139&amp;sourceID=14","0.0139")</f>
        <v>0.0139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HYPERLINK("http://141.218.60.56/~jnz1568/getInfo.php?workbook=14_04.xlsx&amp;sheet=U0&amp;row=4237&amp;col=6&amp;number=4.3&amp;sourceID=14","4.3")</f>
        <v>4.3</v>
      </c>
      <c r="G4237" s="4" t="str">
        <f>HYPERLINK("http://141.218.60.56/~jnz1568/getInfo.php?workbook=14_04.xlsx&amp;sheet=U0&amp;row=4237&amp;col=7&amp;number=0.0139&amp;sourceID=14","0.0139")</f>
        <v>0.0139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HYPERLINK("http://141.218.60.56/~jnz1568/getInfo.php?workbook=14_04.xlsx&amp;sheet=U0&amp;row=4238&amp;col=6&amp;number=4.4&amp;sourceID=14","4.4")</f>
        <v>4.4</v>
      </c>
      <c r="G4238" s="4" t="str">
        <f>HYPERLINK("http://141.218.60.56/~jnz1568/getInfo.php?workbook=14_04.xlsx&amp;sheet=U0&amp;row=4238&amp;col=7&amp;number=0.0139&amp;sourceID=14","0.0139")</f>
        <v>0.0139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HYPERLINK("http://141.218.60.56/~jnz1568/getInfo.php?workbook=14_04.xlsx&amp;sheet=U0&amp;row=4239&amp;col=6&amp;number=4.5&amp;sourceID=14","4.5")</f>
        <v>4.5</v>
      </c>
      <c r="G4239" s="4" t="str">
        <f>HYPERLINK("http://141.218.60.56/~jnz1568/getInfo.php?workbook=14_04.xlsx&amp;sheet=U0&amp;row=4239&amp;col=7&amp;number=0.0139&amp;sourceID=14","0.0139")</f>
        <v>0.0139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HYPERLINK("http://141.218.60.56/~jnz1568/getInfo.php?workbook=14_04.xlsx&amp;sheet=U0&amp;row=4240&amp;col=6&amp;number=4.6&amp;sourceID=14","4.6")</f>
        <v>4.6</v>
      </c>
      <c r="G4240" s="4" t="str">
        <f>HYPERLINK("http://141.218.60.56/~jnz1568/getInfo.php?workbook=14_04.xlsx&amp;sheet=U0&amp;row=4240&amp;col=7&amp;number=0.0139&amp;sourceID=14","0.0139")</f>
        <v>0.0139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HYPERLINK("http://141.218.60.56/~jnz1568/getInfo.php?workbook=14_04.xlsx&amp;sheet=U0&amp;row=4241&amp;col=6&amp;number=4.7&amp;sourceID=14","4.7")</f>
        <v>4.7</v>
      </c>
      <c r="G4241" s="4" t="str">
        <f>HYPERLINK("http://141.218.60.56/~jnz1568/getInfo.php?workbook=14_04.xlsx&amp;sheet=U0&amp;row=4241&amp;col=7&amp;number=0.0139&amp;sourceID=14","0.0139")</f>
        <v>0.0139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HYPERLINK("http://141.218.60.56/~jnz1568/getInfo.php?workbook=14_04.xlsx&amp;sheet=U0&amp;row=4242&amp;col=6&amp;number=4.8&amp;sourceID=14","4.8")</f>
        <v>4.8</v>
      </c>
      <c r="G4242" s="4" t="str">
        <f>HYPERLINK("http://141.218.60.56/~jnz1568/getInfo.php?workbook=14_04.xlsx&amp;sheet=U0&amp;row=4242&amp;col=7&amp;number=0.0139&amp;sourceID=14","0.0139")</f>
        <v>0.0139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HYPERLINK("http://141.218.60.56/~jnz1568/getInfo.php?workbook=14_04.xlsx&amp;sheet=U0&amp;row=4243&amp;col=6&amp;number=4.9&amp;sourceID=14","4.9")</f>
        <v>4.9</v>
      </c>
      <c r="G4243" s="4" t="str">
        <f>HYPERLINK("http://141.218.60.56/~jnz1568/getInfo.php?workbook=14_04.xlsx&amp;sheet=U0&amp;row=4243&amp;col=7&amp;number=0.0139&amp;sourceID=14","0.0139")</f>
        <v>0.0139</v>
      </c>
    </row>
    <row r="4244" spans="1:7">
      <c r="A4244" s="3">
        <v>14</v>
      </c>
      <c r="B4244" s="3">
        <v>4</v>
      </c>
      <c r="C4244" s="3">
        <v>3</v>
      </c>
      <c r="D4244" s="3">
        <v>14</v>
      </c>
      <c r="E4244" s="3">
        <v>1</v>
      </c>
      <c r="F4244" s="4" t="str">
        <f>HYPERLINK("http://141.218.60.56/~jnz1568/getInfo.php?workbook=14_04.xlsx&amp;sheet=U0&amp;row=4244&amp;col=6&amp;number=3&amp;sourceID=14","3")</f>
        <v>3</v>
      </c>
      <c r="G4244" s="4" t="str">
        <f>HYPERLINK("http://141.218.60.56/~jnz1568/getInfo.php?workbook=14_04.xlsx&amp;sheet=U0&amp;row=4244&amp;col=7&amp;number=0.00288&amp;sourceID=14","0.00288")</f>
        <v>0.00288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HYPERLINK("http://141.218.60.56/~jnz1568/getInfo.php?workbook=14_04.xlsx&amp;sheet=U0&amp;row=4245&amp;col=6&amp;number=3.1&amp;sourceID=14","3.1")</f>
        <v>3.1</v>
      </c>
      <c r="G4245" s="4" t="str">
        <f>HYPERLINK("http://141.218.60.56/~jnz1568/getInfo.php?workbook=14_04.xlsx&amp;sheet=U0&amp;row=4245&amp;col=7&amp;number=0.00288&amp;sourceID=14","0.00288")</f>
        <v>0.00288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HYPERLINK("http://141.218.60.56/~jnz1568/getInfo.php?workbook=14_04.xlsx&amp;sheet=U0&amp;row=4246&amp;col=6&amp;number=3.2&amp;sourceID=14","3.2")</f>
        <v>3.2</v>
      </c>
      <c r="G4246" s="4" t="str">
        <f>HYPERLINK("http://141.218.60.56/~jnz1568/getInfo.php?workbook=14_04.xlsx&amp;sheet=U0&amp;row=4246&amp;col=7&amp;number=0.00288&amp;sourceID=14","0.00288")</f>
        <v>0.00288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HYPERLINK("http://141.218.60.56/~jnz1568/getInfo.php?workbook=14_04.xlsx&amp;sheet=U0&amp;row=4247&amp;col=6&amp;number=3.3&amp;sourceID=14","3.3")</f>
        <v>3.3</v>
      </c>
      <c r="G4247" s="4" t="str">
        <f>HYPERLINK("http://141.218.60.56/~jnz1568/getInfo.php?workbook=14_04.xlsx&amp;sheet=U0&amp;row=4247&amp;col=7&amp;number=0.00288&amp;sourceID=14","0.00288")</f>
        <v>0.00288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HYPERLINK("http://141.218.60.56/~jnz1568/getInfo.php?workbook=14_04.xlsx&amp;sheet=U0&amp;row=4248&amp;col=6&amp;number=3.4&amp;sourceID=14","3.4")</f>
        <v>3.4</v>
      </c>
      <c r="G4248" s="4" t="str">
        <f>HYPERLINK("http://141.218.60.56/~jnz1568/getInfo.php?workbook=14_04.xlsx&amp;sheet=U0&amp;row=4248&amp;col=7&amp;number=0.00288&amp;sourceID=14","0.00288")</f>
        <v>0.00288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HYPERLINK("http://141.218.60.56/~jnz1568/getInfo.php?workbook=14_04.xlsx&amp;sheet=U0&amp;row=4249&amp;col=6&amp;number=3.5&amp;sourceID=14","3.5")</f>
        <v>3.5</v>
      </c>
      <c r="G4249" s="4" t="str">
        <f>HYPERLINK("http://141.218.60.56/~jnz1568/getInfo.php?workbook=14_04.xlsx&amp;sheet=U0&amp;row=4249&amp;col=7&amp;number=0.00288&amp;sourceID=14","0.00288")</f>
        <v>0.00288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HYPERLINK("http://141.218.60.56/~jnz1568/getInfo.php?workbook=14_04.xlsx&amp;sheet=U0&amp;row=4250&amp;col=6&amp;number=3.6&amp;sourceID=14","3.6")</f>
        <v>3.6</v>
      </c>
      <c r="G4250" s="4" t="str">
        <f>HYPERLINK("http://141.218.60.56/~jnz1568/getInfo.php?workbook=14_04.xlsx&amp;sheet=U0&amp;row=4250&amp;col=7&amp;number=0.00288&amp;sourceID=14","0.00288")</f>
        <v>0.00288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HYPERLINK("http://141.218.60.56/~jnz1568/getInfo.php?workbook=14_04.xlsx&amp;sheet=U0&amp;row=4251&amp;col=6&amp;number=3.7&amp;sourceID=14","3.7")</f>
        <v>3.7</v>
      </c>
      <c r="G4251" s="4" t="str">
        <f>HYPERLINK("http://141.218.60.56/~jnz1568/getInfo.php?workbook=14_04.xlsx&amp;sheet=U0&amp;row=4251&amp;col=7&amp;number=0.00288&amp;sourceID=14","0.00288")</f>
        <v>0.00288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HYPERLINK("http://141.218.60.56/~jnz1568/getInfo.php?workbook=14_04.xlsx&amp;sheet=U0&amp;row=4252&amp;col=6&amp;number=3.8&amp;sourceID=14","3.8")</f>
        <v>3.8</v>
      </c>
      <c r="G4252" s="4" t="str">
        <f>HYPERLINK("http://141.218.60.56/~jnz1568/getInfo.php?workbook=14_04.xlsx&amp;sheet=U0&amp;row=4252&amp;col=7&amp;number=0.00288&amp;sourceID=14","0.00288")</f>
        <v>0.00288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HYPERLINK("http://141.218.60.56/~jnz1568/getInfo.php?workbook=14_04.xlsx&amp;sheet=U0&amp;row=4253&amp;col=6&amp;number=3.9&amp;sourceID=14","3.9")</f>
        <v>3.9</v>
      </c>
      <c r="G4253" s="4" t="str">
        <f>HYPERLINK("http://141.218.60.56/~jnz1568/getInfo.php?workbook=14_04.xlsx&amp;sheet=U0&amp;row=4253&amp;col=7&amp;number=0.00288&amp;sourceID=14","0.00288")</f>
        <v>0.00288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HYPERLINK("http://141.218.60.56/~jnz1568/getInfo.php?workbook=14_04.xlsx&amp;sheet=U0&amp;row=4254&amp;col=6&amp;number=4&amp;sourceID=14","4")</f>
        <v>4</v>
      </c>
      <c r="G4254" s="4" t="str">
        <f>HYPERLINK("http://141.218.60.56/~jnz1568/getInfo.php?workbook=14_04.xlsx&amp;sheet=U0&amp;row=4254&amp;col=7&amp;number=0.00288&amp;sourceID=14","0.00288")</f>
        <v>0.00288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HYPERLINK("http://141.218.60.56/~jnz1568/getInfo.php?workbook=14_04.xlsx&amp;sheet=U0&amp;row=4255&amp;col=6&amp;number=4.1&amp;sourceID=14","4.1")</f>
        <v>4.1</v>
      </c>
      <c r="G4255" s="4" t="str">
        <f>HYPERLINK("http://141.218.60.56/~jnz1568/getInfo.php?workbook=14_04.xlsx&amp;sheet=U0&amp;row=4255&amp;col=7&amp;number=0.00288&amp;sourceID=14","0.00288")</f>
        <v>0.00288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HYPERLINK("http://141.218.60.56/~jnz1568/getInfo.php?workbook=14_04.xlsx&amp;sheet=U0&amp;row=4256&amp;col=6&amp;number=4.2&amp;sourceID=14","4.2")</f>
        <v>4.2</v>
      </c>
      <c r="G4256" s="4" t="str">
        <f>HYPERLINK("http://141.218.60.56/~jnz1568/getInfo.php?workbook=14_04.xlsx&amp;sheet=U0&amp;row=4256&amp;col=7&amp;number=0.00287&amp;sourceID=14","0.00287")</f>
        <v>0.00287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HYPERLINK("http://141.218.60.56/~jnz1568/getInfo.php?workbook=14_04.xlsx&amp;sheet=U0&amp;row=4257&amp;col=6&amp;number=4.3&amp;sourceID=14","4.3")</f>
        <v>4.3</v>
      </c>
      <c r="G4257" s="4" t="str">
        <f>HYPERLINK("http://141.218.60.56/~jnz1568/getInfo.php?workbook=14_04.xlsx&amp;sheet=U0&amp;row=4257&amp;col=7&amp;number=0.00287&amp;sourceID=14","0.00287")</f>
        <v>0.00287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HYPERLINK("http://141.218.60.56/~jnz1568/getInfo.php?workbook=14_04.xlsx&amp;sheet=U0&amp;row=4258&amp;col=6&amp;number=4.4&amp;sourceID=14","4.4")</f>
        <v>4.4</v>
      </c>
      <c r="G4258" s="4" t="str">
        <f>HYPERLINK("http://141.218.60.56/~jnz1568/getInfo.php?workbook=14_04.xlsx&amp;sheet=U0&amp;row=4258&amp;col=7&amp;number=0.00287&amp;sourceID=14","0.00287")</f>
        <v>0.00287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HYPERLINK("http://141.218.60.56/~jnz1568/getInfo.php?workbook=14_04.xlsx&amp;sheet=U0&amp;row=4259&amp;col=6&amp;number=4.5&amp;sourceID=14","4.5")</f>
        <v>4.5</v>
      </c>
      <c r="G4259" s="4" t="str">
        <f>HYPERLINK("http://141.218.60.56/~jnz1568/getInfo.php?workbook=14_04.xlsx&amp;sheet=U0&amp;row=4259&amp;col=7&amp;number=0.00287&amp;sourceID=14","0.00287")</f>
        <v>0.00287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HYPERLINK("http://141.218.60.56/~jnz1568/getInfo.php?workbook=14_04.xlsx&amp;sheet=U0&amp;row=4260&amp;col=6&amp;number=4.6&amp;sourceID=14","4.6")</f>
        <v>4.6</v>
      </c>
      <c r="G4260" s="4" t="str">
        <f>HYPERLINK("http://141.218.60.56/~jnz1568/getInfo.php?workbook=14_04.xlsx&amp;sheet=U0&amp;row=4260&amp;col=7&amp;number=0.00286&amp;sourceID=14","0.00286")</f>
        <v>0.00286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HYPERLINK("http://141.218.60.56/~jnz1568/getInfo.php?workbook=14_04.xlsx&amp;sheet=U0&amp;row=4261&amp;col=6&amp;number=4.7&amp;sourceID=14","4.7")</f>
        <v>4.7</v>
      </c>
      <c r="G4261" s="4" t="str">
        <f>HYPERLINK("http://141.218.60.56/~jnz1568/getInfo.php?workbook=14_04.xlsx&amp;sheet=U0&amp;row=4261&amp;col=7&amp;number=0.00286&amp;sourceID=14","0.00286")</f>
        <v>0.00286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HYPERLINK("http://141.218.60.56/~jnz1568/getInfo.php?workbook=14_04.xlsx&amp;sheet=U0&amp;row=4262&amp;col=6&amp;number=4.8&amp;sourceID=14","4.8")</f>
        <v>4.8</v>
      </c>
      <c r="G4262" s="4" t="str">
        <f>HYPERLINK("http://141.218.60.56/~jnz1568/getInfo.php?workbook=14_04.xlsx&amp;sheet=U0&amp;row=4262&amp;col=7&amp;number=0.00285&amp;sourceID=14","0.00285")</f>
        <v>0.00285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HYPERLINK("http://141.218.60.56/~jnz1568/getInfo.php?workbook=14_04.xlsx&amp;sheet=U0&amp;row=4263&amp;col=6&amp;number=4.9&amp;sourceID=14","4.9")</f>
        <v>4.9</v>
      </c>
      <c r="G4263" s="4" t="str">
        <f>HYPERLINK("http://141.218.60.56/~jnz1568/getInfo.php?workbook=14_04.xlsx&amp;sheet=U0&amp;row=4263&amp;col=7&amp;number=0.00285&amp;sourceID=14","0.00285")</f>
        <v>0.00285</v>
      </c>
    </row>
    <row r="4264" spans="1:7">
      <c r="A4264" s="3">
        <v>14</v>
      </c>
      <c r="B4264" s="3">
        <v>4</v>
      </c>
      <c r="C4264" s="3">
        <v>3</v>
      </c>
      <c r="D4264" s="3">
        <v>15</v>
      </c>
      <c r="E4264" s="3">
        <v>1</v>
      </c>
      <c r="F4264" s="4" t="str">
        <f>HYPERLINK("http://141.218.60.56/~jnz1568/getInfo.php?workbook=14_04.xlsx&amp;sheet=U0&amp;row=4264&amp;col=6&amp;number=3&amp;sourceID=14","3")</f>
        <v>3</v>
      </c>
      <c r="G4264" s="4" t="str">
        <f>HYPERLINK("http://141.218.60.56/~jnz1568/getInfo.php?workbook=14_04.xlsx&amp;sheet=U0&amp;row=4264&amp;col=7&amp;number=0.0902&amp;sourceID=14","0.0902")</f>
        <v>0.0902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HYPERLINK("http://141.218.60.56/~jnz1568/getInfo.php?workbook=14_04.xlsx&amp;sheet=U0&amp;row=4265&amp;col=6&amp;number=3.1&amp;sourceID=14","3.1")</f>
        <v>3.1</v>
      </c>
      <c r="G4265" s="4" t="str">
        <f>HYPERLINK("http://141.218.60.56/~jnz1568/getInfo.php?workbook=14_04.xlsx&amp;sheet=U0&amp;row=4265&amp;col=7&amp;number=0.0902&amp;sourceID=14","0.0902")</f>
        <v>0.0902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HYPERLINK("http://141.218.60.56/~jnz1568/getInfo.php?workbook=14_04.xlsx&amp;sheet=U0&amp;row=4266&amp;col=6&amp;number=3.2&amp;sourceID=14","3.2")</f>
        <v>3.2</v>
      </c>
      <c r="G4266" s="4" t="str">
        <f>HYPERLINK("http://141.218.60.56/~jnz1568/getInfo.php?workbook=14_04.xlsx&amp;sheet=U0&amp;row=4266&amp;col=7&amp;number=0.0902&amp;sourceID=14","0.0902")</f>
        <v>0.0902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HYPERLINK("http://141.218.60.56/~jnz1568/getInfo.php?workbook=14_04.xlsx&amp;sheet=U0&amp;row=4267&amp;col=6&amp;number=3.3&amp;sourceID=14","3.3")</f>
        <v>3.3</v>
      </c>
      <c r="G4267" s="4" t="str">
        <f>HYPERLINK("http://141.218.60.56/~jnz1568/getInfo.php?workbook=14_04.xlsx&amp;sheet=U0&amp;row=4267&amp;col=7&amp;number=0.0902&amp;sourceID=14","0.0902")</f>
        <v>0.0902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HYPERLINK("http://141.218.60.56/~jnz1568/getInfo.php?workbook=14_04.xlsx&amp;sheet=U0&amp;row=4268&amp;col=6&amp;number=3.4&amp;sourceID=14","3.4")</f>
        <v>3.4</v>
      </c>
      <c r="G4268" s="4" t="str">
        <f>HYPERLINK("http://141.218.60.56/~jnz1568/getInfo.php?workbook=14_04.xlsx&amp;sheet=U0&amp;row=4268&amp;col=7&amp;number=0.0902&amp;sourceID=14","0.0902")</f>
        <v>0.0902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HYPERLINK("http://141.218.60.56/~jnz1568/getInfo.php?workbook=14_04.xlsx&amp;sheet=U0&amp;row=4269&amp;col=6&amp;number=3.5&amp;sourceID=14","3.5")</f>
        <v>3.5</v>
      </c>
      <c r="G4269" s="4" t="str">
        <f>HYPERLINK("http://141.218.60.56/~jnz1568/getInfo.php?workbook=14_04.xlsx&amp;sheet=U0&amp;row=4269&amp;col=7&amp;number=0.0902&amp;sourceID=14","0.0902")</f>
        <v>0.0902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HYPERLINK("http://141.218.60.56/~jnz1568/getInfo.php?workbook=14_04.xlsx&amp;sheet=U0&amp;row=4270&amp;col=6&amp;number=3.6&amp;sourceID=14","3.6")</f>
        <v>3.6</v>
      </c>
      <c r="G4270" s="4" t="str">
        <f>HYPERLINK("http://141.218.60.56/~jnz1568/getInfo.php?workbook=14_04.xlsx&amp;sheet=U0&amp;row=4270&amp;col=7&amp;number=0.0902&amp;sourceID=14","0.0902")</f>
        <v>0.0902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HYPERLINK("http://141.218.60.56/~jnz1568/getInfo.php?workbook=14_04.xlsx&amp;sheet=U0&amp;row=4271&amp;col=6&amp;number=3.7&amp;sourceID=14","3.7")</f>
        <v>3.7</v>
      </c>
      <c r="G4271" s="4" t="str">
        <f>HYPERLINK("http://141.218.60.56/~jnz1568/getInfo.php?workbook=14_04.xlsx&amp;sheet=U0&amp;row=4271&amp;col=7&amp;number=0.0902&amp;sourceID=14","0.0902")</f>
        <v>0.0902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HYPERLINK("http://141.218.60.56/~jnz1568/getInfo.php?workbook=14_04.xlsx&amp;sheet=U0&amp;row=4272&amp;col=6&amp;number=3.8&amp;sourceID=14","3.8")</f>
        <v>3.8</v>
      </c>
      <c r="G4272" s="4" t="str">
        <f>HYPERLINK("http://141.218.60.56/~jnz1568/getInfo.php?workbook=14_04.xlsx&amp;sheet=U0&amp;row=4272&amp;col=7&amp;number=0.0902&amp;sourceID=14","0.0902")</f>
        <v>0.0902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HYPERLINK("http://141.218.60.56/~jnz1568/getInfo.php?workbook=14_04.xlsx&amp;sheet=U0&amp;row=4273&amp;col=6&amp;number=3.9&amp;sourceID=14","3.9")</f>
        <v>3.9</v>
      </c>
      <c r="G4273" s="4" t="str">
        <f>HYPERLINK("http://141.218.60.56/~jnz1568/getInfo.php?workbook=14_04.xlsx&amp;sheet=U0&amp;row=4273&amp;col=7&amp;number=0.0902&amp;sourceID=14","0.0902")</f>
        <v>0.0902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HYPERLINK("http://141.218.60.56/~jnz1568/getInfo.php?workbook=14_04.xlsx&amp;sheet=U0&amp;row=4274&amp;col=6&amp;number=4&amp;sourceID=14","4")</f>
        <v>4</v>
      </c>
      <c r="G4274" s="4" t="str">
        <f>HYPERLINK("http://141.218.60.56/~jnz1568/getInfo.php?workbook=14_04.xlsx&amp;sheet=U0&amp;row=4274&amp;col=7&amp;number=0.0902&amp;sourceID=14","0.0902")</f>
        <v>0.0902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HYPERLINK("http://141.218.60.56/~jnz1568/getInfo.php?workbook=14_04.xlsx&amp;sheet=U0&amp;row=4275&amp;col=6&amp;number=4.1&amp;sourceID=14","4.1")</f>
        <v>4.1</v>
      </c>
      <c r="G4275" s="4" t="str">
        <f>HYPERLINK("http://141.218.60.56/~jnz1568/getInfo.php?workbook=14_04.xlsx&amp;sheet=U0&amp;row=4275&amp;col=7&amp;number=0.0902&amp;sourceID=14","0.0902")</f>
        <v>0.0902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HYPERLINK("http://141.218.60.56/~jnz1568/getInfo.php?workbook=14_04.xlsx&amp;sheet=U0&amp;row=4276&amp;col=6&amp;number=4.2&amp;sourceID=14","4.2")</f>
        <v>4.2</v>
      </c>
      <c r="G4276" s="4" t="str">
        <f>HYPERLINK("http://141.218.60.56/~jnz1568/getInfo.php?workbook=14_04.xlsx&amp;sheet=U0&amp;row=4276&amp;col=7&amp;number=0.0902&amp;sourceID=14","0.0902")</f>
        <v>0.0902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HYPERLINK("http://141.218.60.56/~jnz1568/getInfo.php?workbook=14_04.xlsx&amp;sheet=U0&amp;row=4277&amp;col=6&amp;number=4.3&amp;sourceID=14","4.3")</f>
        <v>4.3</v>
      </c>
      <c r="G4277" s="4" t="str">
        <f>HYPERLINK("http://141.218.60.56/~jnz1568/getInfo.php?workbook=14_04.xlsx&amp;sheet=U0&amp;row=4277&amp;col=7&amp;number=0.0903&amp;sourceID=14","0.0903")</f>
        <v>0.0903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HYPERLINK("http://141.218.60.56/~jnz1568/getInfo.php?workbook=14_04.xlsx&amp;sheet=U0&amp;row=4278&amp;col=6&amp;number=4.4&amp;sourceID=14","4.4")</f>
        <v>4.4</v>
      </c>
      <c r="G4278" s="4" t="str">
        <f>HYPERLINK("http://141.218.60.56/~jnz1568/getInfo.php?workbook=14_04.xlsx&amp;sheet=U0&amp;row=4278&amp;col=7&amp;number=0.0903&amp;sourceID=14","0.0903")</f>
        <v>0.0903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HYPERLINK("http://141.218.60.56/~jnz1568/getInfo.php?workbook=14_04.xlsx&amp;sheet=U0&amp;row=4279&amp;col=6&amp;number=4.5&amp;sourceID=14","4.5")</f>
        <v>4.5</v>
      </c>
      <c r="G4279" s="4" t="str">
        <f>HYPERLINK("http://141.218.60.56/~jnz1568/getInfo.php?workbook=14_04.xlsx&amp;sheet=U0&amp;row=4279&amp;col=7&amp;number=0.0903&amp;sourceID=14","0.0903")</f>
        <v>0.0903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HYPERLINK("http://141.218.60.56/~jnz1568/getInfo.php?workbook=14_04.xlsx&amp;sheet=U0&amp;row=4280&amp;col=6&amp;number=4.6&amp;sourceID=14","4.6")</f>
        <v>4.6</v>
      </c>
      <c r="G4280" s="4" t="str">
        <f>HYPERLINK("http://141.218.60.56/~jnz1568/getInfo.php?workbook=14_04.xlsx&amp;sheet=U0&amp;row=4280&amp;col=7&amp;number=0.0903&amp;sourceID=14","0.0903")</f>
        <v>0.0903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HYPERLINK("http://141.218.60.56/~jnz1568/getInfo.php?workbook=14_04.xlsx&amp;sheet=U0&amp;row=4281&amp;col=6&amp;number=4.7&amp;sourceID=14","4.7")</f>
        <v>4.7</v>
      </c>
      <c r="G4281" s="4" t="str">
        <f>HYPERLINK("http://141.218.60.56/~jnz1568/getInfo.php?workbook=14_04.xlsx&amp;sheet=U0&amp;row=4281&amp;col=7&amp;number=0.0903&amp;sourceID=14","0.0903")</f>
        <v>0.0903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HYPERLINK("http://141.218.60.56/~jnz1568/getInfo.php?workbook=14_04.xlsx&amp;sheet=U0&amp;row=4282&amp;col=6&amp;number=4.8&amp;sourceID=14","4.8")</f>
        <v>4.8</v>
      </c>
      <c r="G4282" s="4" t="str">
        <f>HYPERLINK("http://141.218.60.56/~jnz1568/getInfo.php?workbook=14_04.xlsx&amp;sheet=U0&amp;row=4282&amp;col=7&amp;number=0.0904&amp;sourceID=14","0.0904")</f>
        <v>0.0904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HYPERLINK("http://141.218.60.56/~jnz1568/getInfo.php?workbook=14_04.xlsx&amp;sheet=U0&amp;row=4283&amp;col=6&amp;number=4.9&amp;sourceID=14","4.9")</f>
        <v>4.9</v>
      </c>
      <c r="G4283" s="4" t="str">
        <f>HYPERLINK("http://141.218.60.56/~jnz1568/getInfo.php?workbook=14_04.xlsx&amp;sheet=U0&amp;row=4283&amp;col=7&amp;number=0.0904&amp;sourceID=14","0.0904")</f>
        <v>0.0904</v>
      </c>
    </row>
    <row r="4284" spans="1:7">
      <c r="A4284" s="3">
        <v>14</v>
      </c>
      <c r="B4284" s="3">
        <v>4</v>
      </c>
      <c r="C4284" s="3">
        <v>3</v>
      </c>
      <c r="D4284" s="3">
        <v>16</v>
      </c>
      <c r="E4284" s="3">
        <v>1</v>
      </c>
      <c r="F4284" s="4" t="str">
        <f>HYPERLINK("http://141.218.60.56/~jnz1568/getInfo.php?workbook=14_04.xlsx&amp;sheet=U0&amp;row=4284&amp;col=6&amp;number=3&amp;sourceID=14","3")</f>
        <v>3</v>
      </c>
      <c r="G4284" s="4" t="str">
        <f>HYPERLINK("http://141.218.60.56/~jnz1568/getInfo.php?workbook=14_04.xlsx&amp;sheet=U0&amp;row=4284&amp;col=7&amp;number=0.016&amp;sourceID=14","0.016")</f>
        <v>0.016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HYPERLINK("http://141.218.60.56/~jnz1568/getInfo.php?workbook=14_04.xlsx&amp;sheet=U0&amp;row=4285&amp;col=6&amp;number=3.1&amp;sourceID=14","3.1")</f>
        <v>3.1</v>
      </c>
      <c r="G4285" s="4" t="str">
        <f>HYPERLINK("http://141.218.60.56/~jnz1568/getInfo.php?workbook=14_04.xlsx&amp;sheet=U0&amp;row=4285&amp;col=7&amp;number=0.016&amp;sourceID=14","0.016")</f>
        <v>0.016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HYPERLINK("http://141.218.60.56/~jnz1568/getInfo.php?workbook=14_04.xlsx&amp;sheet=U0&amp;row=4286&amp;col=6&amp;number=3.2&amp;sourceID=14","3.2")</f>
        <v>3.2</v>
      </c>
      <c r="G4286" s="4" t="str">
        <f>HYPERLINK("http://141.218.60.56/~jnz1568/getInfo.php?workbook=14_04.xlsx&amp;sheet=U0&amp;row=4286&amp;col=7&amp;number=0.016&amp;sourceID=14","0.016")</f>
        <v>0.016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HYPERLINK("http://141.218.60.56/~jnz1568/getInfo.php?workbook=14_04.xlsx&amp;sheet=U0&amp;row=4287&amp;col=6&amp;number=3.3&amp;sourceID=14","3.3")</f>
        <v>3.3</v>
      </c>
      <c r="G4287" s="4" t="str">
        <f>HYPERLINK("http://141.218.60.56/~jnz1568/getInfo.php?workbook=14_04.xlsx&amp;sheet=U0&amp;row=4287&amp;col=7&amp;number=0.016&amp;sourceID=14","0.016")</f>
        <v>0.016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HYPERLINK("http://141.218.60.56/~jnz1568/getInfo.php?workbook=14_04.xlsx&amp;sheet=U0&amp;row=4288&amp;col=6&amp;number=3.4&amp;sourceID=14","3.4")</f>
        <v>3.4</v>
      </c>
      <c r="G4288" s="4" t="str">
        <f>HYPERLINK("http://141.218.60.56/~jnz1568/getInfo.php?workbook=14_04.xlsx&amp;sheet=U0&amp;row=4288&amp;col=7&amp;number=0.016&amp;sourceID=14","0.016")</f>
        <v>0.016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HYPERLINK("http://141.218.60.56/~jnz1568/getInfo.php?workbook=14_04.xlsx&amp;sheet=U0&amp;row=4289&amp;col=6&amp;number=3.5&amp;sourceID=14","3.5")</f>
        <v>3.5</v>
      </c>
      <c r="G4289" s="4" t="str">
        <f>HYPERLINK("http://141.218.60.56/~jnz1568/getInfo.php?workbook=14_04.xlsx&amp;sheet=U0&amp;row=4289&amp;col=7&amp;number=0.016&amp;sourceID=14","0.016")</f>
        <v>0.016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HYPERLINK("http://141.218.60.56/~jnz1568/getInfo.php?workbook=14_04.xlsx&amp;sheet=U0&amp;row=4290&amp;col=6&amp;number=3.6&amp;sourceID=14","3.6")</f>
        <v>3.6</v>
      </c>
      <c r="G4290" s="4" t="str">
        <f>HYPERLINK("http://141.218.60.56/~jnz1568/getInfo.php?workbook=14_04.xlsx&amp;sheet=U0&amp;row=4290&amp;col=7&amp;number=0.016&amp;sourceID=14","0.016")</f>
        <v>0.016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HYPERLINK("http://141.218.60.56/~jnz1568/getInfo.php?workbook=14_04.xlsx&amp;sheet=U0&amp;row=4291&amp;col=6&amp;number=3.7&amp;sourceID=14","3.7")</f>
        <v>3.7</v>
      </c>
      <c r="G4291" s="4" t="str">
        <f>HYPERLINK("http://141.218.60.56/~jnz1568/getInfo.php?workbook=14_04.xlsx&amp;sheet=U0&amp;row=4291&amp;col=7&amp;number=0.016&amp;sourceID=14","0.016")</f>
        <v>0.016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HYPERLINK("http://141.218.60.56/~jnz1568/getInfo.php?workbook=14_04.xlsx&amp;sheet=U0&amp;row=4292&amp;col=6&amp;number=3.8&amp;sourceID=14","3.8")</f>
        <v>3.8</v>
      </c>
      <c r="G4292" s="4" t="str">
        <f>HYPERLINK("http://141.218.60.56/~jnz1568/getInfo.php?workbook=14_04.xlsx&amp;sheet=U0&amp;row=4292&amp;col=7&amp;number=0.016&amp;sourceID=14","0.016")</f>
        <v>0.016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HYPERLINK("http://141.218.60.56/~jnz1568/getInfo.php?workbook=14_04.xlsx&amp;sheet=U0&amp;row=4293&amp;col=6&amp;number=3.9&amp;sourceID=14","3.9")</f>
        <v>3.9</v>
      </c>
      <c r="G4293" s="4" t="str">
        <f>HYPERLINK("http://141.218.60.56/~jnz1568/getInfo.php?workbook=14_04.xlsx&amp;sheet=U0&amp;row=4293&amp;col=7&amp;number=0.016&amp;sourceID=14","0.016")</f>
        <v>0.016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HYPERLINK("http://141.218.60.56/~jnz1568/getInfo.php?workbook=14_04.xlsx&amp;sheet=U0&amp;row=4294&amp;col=6&amp;number=4&amp;sourceID=14","4")</f>
        <v>4</v>
      </c>
      <c r="G4294" s="4" t="str">
        <f>HYPERLINK("http://141.218.60.56/~jnz1568/getInfo.php?workbook=14_04.xlsx&amp;sheet=U0&amp;row=4294&amp;col=7&amp;number=0.016&amp;sourceID=14","0.016")</f>
        <v>0.016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HYPERLINK("http://141.218.60.56/~jnz1568/getInfo.php?workbook=14_04.xlsx&amp;sheet=U0&amp;row=4295&amp;col=6&amp;number=4.1&amp;sourceID=14","4.1")</f>
        <v>4.1</v>
      </c>
      <c r="G4295" s="4" t="str">
        <f>HYPERLINK("http://141.218.60.56/~jnz1568/getInfo.php?workbook=14_04.xlsx&amp;sheet=U0&amp;row=4295&amp;col=7&amp;number=0.016&amp;sourceID=14","0.016")</f>
        <v>0.016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HYPERLINK("http://141.218.60.56/~jnz1568/getInfo.php?workbook=14_04.xlsx&amp;sheet=U0&amp;row=4296&amp;col=6&amp;number=4.2&amp;sourceID=14","4.2")</f>
        <v>4.2</v>
      </c>
      <c r="G4296" s="4" t="str">
        <f>HYPERLINK("http://141.218.60.56/~jnz1568/getInfo.php?workbook=14_04.xlsx&amp;sheet=U0&amp;row=4296&amp;col=7&amp;number=0.016&amp;sourceID=14","0.016")</f>
        <v>0.016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HYPERLINK("http://141.218.60.56/~jnz1568/getInfo.php?workbook=14_04.xlsx&amp;sheet=U0&amp;row=4297&amp;col=6&amp;number=4.3&amp;sourceID=14","4.3")</f>
        <v>4.3</v>
      </c>
      <c r="G4297" s="4" t="str">
        <f>HYPERLINK("http://141.218.60.56/~jnz1568/getInfo.php?workbook=14_04.xlsx&amp;sheet=U0&amp;row=4297&amp;col=7&amp;number=0.016&amp;sourceID=14","0.016")</f>
        <v>0.016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HYPERLINK("http://141.218.60.56/~jnz1568/getInfo.php?workbook=14_04.xlsx&amp;sheet=U0&amp;row=4298&amp;col=6&amp;number=4.4&amp;sourceID=14","4.4")</f>
        <v>4.4</v>
      </c>
      <c r="G4298" s="4" t="str">
        <f>HYPERLINK("http://141.218.60.56/~jnz1568/getInfo.php?workbook=14_04.xlsx&amp;sheet=U0&amp;row=4298&amp;col=7&amp;number=0.016&amp;sourceID=14","0.016")</f>
        <v>0.016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HYPERLINK("http://141.218.60.56/~jnz1568/getInfo.php?workbook=14_04.xlsx&amp;sheet=U0&amp;row=4299&amp;col=6&amp;number=4.5&amp;sourceID=14","4.5")</f>
        <v>4.5</v>
      </c>
      <c r="G4299" s="4" t="str">
        <f>HYPERLINK("http://141.218.60.56/~jnz1568/getInfo.php?workbook=14_04.xlsx&amp;sheet=U0&amp;row=4299&amp;col=7&amp;number=0.016&amp;sourceID=14","0.016")</f>
        <v>0.016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HYPERLINK("http://141.218.60.56/~jnz1568/getInfo.php?workbook=14_04.xlsx&amp;sheet=U0&amp;row=4300&amp;col=6&amp;number=4.6&amp;sourceID=14","4.6")</f>
        <v>4.6</v>
      </c>
      <c r="G4300" s="4" t="str">
        <f>HYPERLINK("http://141.218.60.56/~jnz1568/getInfo.php?workbook=14_04.xlsx&amp;sheet=U0&amp;row=4300&amp;col=7&amp;number=0.016&amp;sourceID=14","0.016")</f>
        <v>0.016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HYPERLINK("http://141.218.60.56/~jnz1568/getInfo.php?workbook=14_04.xlsx&amp;sheet=U0&amp;row=4301&amp;col=6&amp;number=4.7&amp;sourceID=14","4.7")</f>
        <v>4.7</v>
      </c>
      <c r="G4301" s="4" t="str">
        <f>HYPERLINK("http://141.218.60.56/~jnz1568/getInfo.php?workbook=14_04.xlsx&amp;sheet=U0&amp;row=4301&amp;col=7&amp;number=0.016&amp;sourceID=14","0.016")</f>
        <v>0.016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HYPERLINK("http://141.218.60.56/~jnz1568/getInfo.php?workbook=14_04.xlsx&amp;sheet=U0&amp;row=4302&amp;col=6&amp;number=4.8&amp;sourceID=14","4.8")</f>
        <v>4.8</v>
      </c>
      <c r="G4302" s="4" t="str">
        <f>HYPERLINK("http://141.218.60.56/~jnz1568/getInfo.php?workbook=14_04.xlsx&amp;sheet=U0&amp;row=4302&amp;col=7&amp;number=0.016&amp;sourceID=14","0.016")</f>
        <v>0.016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HYPERLINK("http://141.218.60.56/~jnz1568/getInfo.php?workbook=14_04.xlsx&amp;sheet=U0&amp;row=4303&amp;col=6&amp;number=4.9&amp;sourceID=14","4.9")</f>
        <v>4.9</v>
      </c>
      <c r="G4303" s="4" t="str">
        <f>HYPERLINK("http://141.218.60.56/~jnz1568/getInfo.php?workbook=14_04.xlsx&amp;sheet=U0&amp;row=4303&amp;col=7&amp;number=0.016&amp;sourceID=14","0.016")</f>
        <v>0.016</v>
      </c>
    </row>
    <row r="4304" spans="1:7">
      <c r="A4304" s="3">
        <v>14</v>
      </c>
      <c r="B4304" s="3">
        <v>4</v>
      </c>
      <c r="C4304" s="3">
        <v>3</v>
      </c>
      <c r="D4304" s="3">
        <v>17</v>
      </c>
      <c r="E4304" s="3">
        <v>1</v>
      </c>
      <c r="F4304" s="4" t="str">
        <f>HYPERLINK("http://141.218.60.56/~jnz1568/getInfo.php?workbook=14_04.xlsx&amp;sheet=U0&amp;row=4304&amp;col=6&amp;number=3&amp;sourceID=14","3")</f>
        <v>3</v>
      </c>
      <c r="G4304" s="4" t="str">
        <f>HYPERLINK("http://141.218.60.56/~jnz1568/getInfo.php?workbook=14_04.xlsx&amp;sheet=U0&amp;row=4304&amp;col=7&amp;number=0.0613&amp;sourceID=14","0.0613")</f>
        <v>0.0613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HYPERLINK("http://141.218.60.56/~jnz1568/getInfo.php?workbook=14_04.xlsx&amp;sheet=U0&amp;row=4305&amp;col=6&amp;number=3.1&amp;sourceID=14","3.1")</f>
        <v>3.1</v>
      </c>
      <c r="G4305" s="4" t="str">
        <f>HYPERLINK("http://141.218.60.56/~jnz1568/getInfo.php?workbook=14_04.xlsx&amp;sheet=U0&amp;row=4305&amp;col=7&amp;number=0.0613&amp;sourceID=14","0.0613")</f>
        <v>0.0613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HYPERLINK("http://141.218.60.56/~jnz1568/getInfo.php?workbook=14_04.xlsx&amp;sheet=U0&amp;row=4306&amp;col=6&amp;number=3.2&amp;sourceID=14","3.2")</f>
        <v>3.2</v>
      </c>
      <c r="G4306" s="4" t="str">
        <f>HYPERLINK("http://141.218.60.56/~jnz1568/getInfo.php?workbook=14_04.xlsx&amp;sheet=U0&amp;row=4306&amp;col=7&amp;number=0.0613&amp;sourceID=14","0.0613")</f>
        <v>0.0613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HYPERLINK("http://141.218.60.56/~jnz1568/getInfo.php?workbook=14_04.xlsx&amp;sheet=U0&amp;row=4307&amp;col=6&amp;number=3.3&amp;sourceID=14","3.3")</f>
        <v>3.3</v>
      </c>
      <c r="G4307" s="4" t="str">
        <f>HYPERLINK("http://141.218.60.56/~jnz1568/getInfo.php?workbook=14_04.xlsx&amp;sheet=U0&amp;row=4307&amp;col=7&amp;number=0.0613&amp;sourceID=14","0.0613")</f>
        <v>0.0613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HYPERLINK("http://141.218.60.56/~jnz1568/getInfo.php?workbook=14_04.xlsx&amp;sheet=U0&amp;row=4308&amp;col=6&amp;number=3.4&amp;sourceID=14","3.4")</f>
        <v>3.4</v>
      </c>
      <c r="G4308" s="4" t="str">
        <f>HYPERLINK("http://141.218.60.56/~jnz1568/getInfo.php?workbook=14_04.xlsx&amp;sheet=U0&amp;row=4308&amp;col=7&amp;number=0.0613&amp;sourceID=14","0.0613")</f>
        <v>0.0613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HYPERLINK("http://141.218.60.56/~jnz1568/getInfo.php?workbook=14_04.xlsx&amp;sheet=U0&amp;row=4309&amp;col=6&amp;number=3.5&amp;sourceID=14","3.5")</f>
        <v>3.5</v>
      </c>
      <c r="G4309" s="4" t="str">
        <f>HYPERLINK("http://141.218.60.56/~jnz1568/getInfo.php?workbook=14_04.xlsx&amp;sheet=U0&amp;row=4309&amp;col=7&amp;number=0.0613&amp;sourceID=14","0.0613")</f>
        <v>0.0613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HYPERLINK("http://141.218.60.56/~jnz1568/getInfo.php?workbook=14_04.xlsx&amp;sheet=U0&amp;row=4310&amp;col=6&amp;number=3.6&amp;sourceID=14","3.6")</f>
        <v>3.6</v>
      </c>
      <c r="G4310" s="4" t="str">
        <f>HYPERLINK("http://141.218.60.56/~jnz1568/getInfo.php?workbook=14_04.xlsx&amp;sheet=U0&amp;row=4310&amp;col=7&amp;number=0.0613&amp;sourceID=14","0.0613")</f>
        <v>0.0613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HYPERLINK("http://141.218.60.56/~jnz1568/getInfo.php?workbook=14_04.xlsx&amp;sheet=U0&amp;row=4311&amp;col=6&amp;number=3.7&amp;sourceID=14","3.7")</f>
        <v>3.7</v>
      </c>
      <c r="G4311" s="4" t="str">
        <f>HYPERLINK("http://141.218.60.56/~jnz1568/getInfo.php?workbook=14_04.xlsx&amp;sheet=U0&amp;row=4311&amp;col=7&amp;number=0.0614&amp;sourceID=14","0.0614")</f>
        <v>0.0614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HYPERLINK("http://141.218.60.56/~jnz1568/getInfo.php?workbook=14_04.xlsx&amp;sheet=U0&amp;row=4312&amp;col=6&amp;number=3.8&amp;sourceID=14","3.8")</f>
        <v>3.8</v>
      </c>
      <c r="G4312" s="4" t="str">
        <f>HYPERLINK("http://141.218.60.56/~jnz1568/getInfo.php?workbook=14_04.xlsx&amp;sheet=U0&amp;row=4312&amp;col=7&amp;number=0.0614&amp;sourceID=14","0.0614")</f>
        <v>0.0614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HYPERLINK("http://141.218.60.56/~jnz1568/getInfo.php?workbook=14_04.xlsx&amp;sheet=U0&amp;row=4313&amp;col=6&amp;number=3.9&amp;sourceID=14","3.9")</f>
        <v>3.9</v>
      </c>
      <c r="G4313" s="4" t="str">
        <f>HYPERLINK("http://141.218.60.56/~jnz1568/getInfo.php?workbook=14_04.xlsx&amp;sheet=U0&amp;row=4313&amp;col=7&amp;number=0.0614&amp;sourceID=14","0.0614")</f>
        <v>0.0614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HYPERLINK("http://141.218.60.56/~jnz1568/getInfo.php?workbook=14_04.xlsx&amp;sheet=U0&amp;row=4314&amp;col=6&amp;number=4&amp;sourceID=14","4")</f>
        <v>4</v>
      </c>
      <c r="G4314" s="4" t="str">
        <f>HYPERLINK("http://141.218.60.56/~jnz1568/getInfo.php?workbook=14_04.xlsx&amp;sheet=U0&amp;row=4314&amp;col=7&amp;number=0.0614&amp;sourceID=14","0.0614")</f>
        <v>0.0614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HYPERLINK("http://141.218.60.56/~jnz1568/getInfo.php?workbook=14_04.xlsx&amp;sheet=U0&amp;row=4315&amp;col=6&amp;number=4.1&amp;sourceID=14","4.1")</f>
        <v>4.1</v>
      </c>
      <c r="G4315" s="4" t="str">
        <f>HYPERLINK("http://141.218.60.56/~jnz1568/getInfo.php?workbook=14_04.xlsx&amp;sheet=U0&amp;row=4315&amp;col=7&amp;number=0.0615&amp;sourceID=14","0.0615")</f>
        <v>0.0615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HYPERLINK("http://141.218.60.56/~jnz1568/getInfo.php?workbook=14_04.xlsx&amp;sheet=U0&amp;row=4316&amp;col=6&amp;number=4.2&amp;sourceID=14","4.2")</f>
        <v>4.2</v>
      </c>
      <c r="G4316" s="4" t="str">
        <f>HYPERLINK("http://141.218.60.56/~jnz1568/getInfo.php?workbook=14_04.xlsx&amp;sheet=U0&amp;row=4316&amp;col=7&amp;number=0.0615&amp;sourceID=14","0.0615")</f>
        <v>0.0615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HYPERLINK("http://141.218.60.56/~jnz1568/getInfo.php?workbook=14_04.xlsx&amp;sheet=U0&amp;row=4317&amp;col=6&amp;number=4.3&amp;sourceID=14","4.3")</f>
        <v>4.3</v>
      </c>
      <c r="G4317" s="4" t="str">
        <f>HYPERLINK("http://141.218.60.56/~jnz1568/getInfo.php?workbook=14_04.xlsx&amp;sheet=U0&amp;row=4317&amp;col=7&amp;number=0.0616&amp;sourceID=14","0.0616")</f>
        <v>0.0616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HYPERLINK("http://141.218.60.56/~jnz1568/getInfo.php?workbook=14_04.xlsx&amp;sheet=U0&amp;row=4318&amp;col=6&amp;number=4.4&amp;sourceID=14","4.4")</f>
        <v>4.4</v>
      </c>
      <c r="G4318" s="4" t="str">
        <f>HYPERLINK("http://141.218.60.56/~jnz1568/getInfo.php?workbook=14_04.xlsx&amp;sheet=U0&amp;row=4318&amp;col=7&amp;number=0.0616&amp;sourceID=14","0.0616")</f>
        <v>0.0616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HYPERLINK("http://141.218.60.56/~jnz1568/getInfo.php?workbook=14_04.xlsx&amp;sheet=U0&amp;row=4319&amp;col=6&amp;number=4.5&amp;sourceID=14","4.5")</f>
        <v>4.5</v>
      </c>
      <c r="G4319" s="4" t="str">
        <f>HYPERLINK("http://141.218.60.56/~jnz1568/getInfo.php?workbook=14_04.xlsx&amp;sheet=U0&amp;row=4319&amp;col=7&amp;number=0.0617&amp;sourceID=14","0.0617")</f>
        <v>0.0617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HYPERLINK("http://141.218.60.56/~jnz1568/getInfo.php?workbook=14_04.xlsx&amp;sheet=U0&amp;row=4320&amp;col=6&amp;number=4.6&amp;sourceID=14","4.6")</f>
        <v>4.6</v>
      </c>
      <c r="G4320" s="4" t="str">
        <f>HYPERLINK("http://141.218.60.56/~jnz1568/getInfo.php?workbook=14_04.xlsx&amp;sheet=U0&amp;row=4320&amp;col=7&amp;number=0.0618&amp;sourceID=14","0.0618")</f>
        <v>0.0618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HYPERLINK("http://141.218.60.56/~jnz1568/getInfo.php?workbook=14_04.xlsx&amp;sheet=U0&amp;row=4321&amp;col=6&amp;number=4.7&amp;sourceID=14","4.7")</f>
        <v>4.7</v>
      </c>
      <c r="G4321" s="4" t="str">
        <f>HYPERLINK("http://141.218.60.56/~jnz1568/getInfo.php?workbook=14_04.xlsx&amp;sheet=U0&amp;row=4321&amp;col=7&amp;number=0.062&amp;sourceID=14","0.062")</f>
        <v>0.062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HYPERLINK("http://141.218.60.56/~jnz1568/getInfo.php?workbook=14_04.xlsx&amp;sheet=U0&amp;row=4322&amp;col=6&amp;number=4.8&amp;sourceID=14","4.8")</f>
        <v>4.8</v>
      </c>
      <c r="G4322" s="4" t="str">
        <f>HYPERLINK("http://141.218.60.56/~jnz1568/getInfo.php?workbook=14_04.xlsx&amp;sheet=U0&amp;row=4322&amp;col=7&amp;number=0.0622&amp;sourceID=14","0.0622")</f>
        <v>0.0622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HYPERLINK("http://141.218.60.56/~jnz1568/getInfo.php?workbook=14_04.xlsx&amp;sheet=U0&amp;row=4323&amp;col=6&amp;number=4.9&amp;sourceID=14","4.9")</f>
        <v>4.9</v>
      </c>
      <c r="G4323" s="4" t="str">
        <f>HYPERLINK("http://141.218.60.56/~jnz1568/getInfo.php?workbook=14_04.xlsx&amp;sheet=U0&amp;row=4323&amp;col=7&amp;number=0.0624&amp;sourceID=14","0.0624")</f>
        <v>0.0624</v>
      </c>
    </row>
    <row r="4324" spans="1:7">
      <c r="A4324" s="3">
        <v>14</v>
      </c>
      <c r="B4324" s="3">
        <v>4</v>
      </c>
      <c r="C4324" s="3">
        <v>3</v>
      </c>
      <c r="D4324" s="3">
        <v>18</v>
      </c>
      <c r="E4324" s="3">
        <v>1</v>
      </c>
      <c r="F4324" s="4" t="str">
        <f>HYPERLINK("http://141.218.60.56/~jnz1568/getInfo.php?workbook=14_04.xlsx&amp;sheet=U0&amp;row=4324&amp;col=6&amp;number=3&amp;sourceID=14","3")</f>
        <v>3</v>
      </c>
      <c r="G4324" s="4" t="str">
        <f>HYPERLINK("http://141.218.60.56/~jnz1568/getInfo.php?workbook=14_04.xlsx&amp;sheet=U0&amp;row=4324&amp;col=7&amp;number=0.163&amp;sourceID=14","0.163")</f>
        <v>0.163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HYPERLINK("http://141.218.60.56/~jnz1568/getInfo.php?workbook=14_04.xlsx&amp;sheet=U0&amp;row=4325&amp;col=6&amp;number=3.1&amp;sourceID=14","3.1")</f>
        <v>3.1</v>
      </c>
      <c r="G4325" s="4" t="str">
        <f>HYPERLINK("http://141.218.60.56/~jnz1568/getInfo.php?workbook=14_04.xlsx&amp;sheet=U0&amp;row=4325&amp;col=7&amp;number=0.163&amp;sourceID=14","0.163")</f>
        <v>0.163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HYPERLINK("http://141.218.60.56/~jnz1568/getInfo.php?workbook=14_04.xlsx&amp;sheet=U0&amp;row=4326&amp;col=6&amp;number=3.2&amp;sourceID=14","3.2")</f>
        <v>3.2</v>
      </c>
      <c r="G4326" s="4" t="str">
        <f>HYPERLINK("http://141.218.60.56/~jnz1568/getInfo.php?workbook=14_04.xlsx&amp;sheet=U0&amp;row=4326&amp;col=7&amp;number=0.163&amp;sourceID=14","0.163")</f>
        <v>0.163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HYPERLINK("http://141.218.60.56/~jnz1568/getInfo.php?workbook=14_04.xlsx&amp;sheet=U0&amp;row=4327&amp;col=6&amp;number=3.3&amp;sourceID=14","3.3")</f>
        <v>3.3</v>
      </c>
      <c r="G4327" s="4" t="str">
        <f>HYPERLINK("http://141.218.60.56/~jnz1568/getInfo.php?workbook=14_04.xlsx&amp;sheet=U0&amp;row=4327&amp;col=7&amp;number=0.163&amp;sourceID=14","0.163")</f>
        <v>0.163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HYPERLINK("http://141.218.60.56/~jnz1568/getInfo.php?workbook=14_04.xlsx&amp;sheet=U0&amp;row=4328&amp;col=6&amp;number=3.4&amp;sourceID=14","3.4")</f>
        <v>3.4</v>
      </c>
      <c r="G4328" s="4" t="str">
        <f>HYPERLINK("http://141.218.60.56/~jnz1568/getInfo.php?workbook=14_04.xlsx&amp;sheet=U0&amp;row=4328&amp;col=7&amp;number=0.164&amp;sourceID=14","0.164")</f>
        <v>0.164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HYPERLINK("http://141.218.60.56/~jnz1568/getInfo.php?workbook=14_04.xlsx&amp;sheet=U0&amp;row=4329&amp;col=6&amp;number=3.5&amp;sourceID=14","3.5")</f>
        <v>3.5</v>
      </c>
      <c r="G4329" s="4" t="str">
        <f>HYPERLINK("http://141.218.60.56/~jnz1568/getInfo.php?workbook=14_04.xlsx&amp;sheet=U0&amp;row=4329&amp;col=7&amp;number=0.164&amp;sourceID=14","0.164")</f>
        <v>0.164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HYPERLINK("http://141.218.60.56/~jnz1568/getInfo.php?workbook=14_04.xlsx&amp;sheet=U0&amp;row=4330&amp;col=6&amp;number=3.6&amp;sourceID=14","3.6")</f>
        <v>3.6</v>
      </c>
      <c r="G4330" s="4" t="str">
        <f>HYPERLINK("http://141.218.60.56/~jnz1568/getInfo.php?workbook=14_04.xlsx&amp;sheet=U0&amp;row=4330&amp;col=7&amp;number=0.164&amp;sourceID=14","0.164")</f>
        <v>0.164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HYPERLINK("http://141.218.60.56/~jnz1568/getInfo.php?workbook=14_04.xlsx&amp;sheet=U0&amp;row=4331&amp;col=6&amp;number=3.7&amp;sourceID=14","3.7")</f>
        <v>3.7</v>
      </c>
      <c r="G4331" s="4" t="str">
        <f>HYPERLINK("http://141.218.60.56/~jnz1568/getInfo.php?workbook=14_04.xlsx&amp;sheet=U0&amp;row=4331&amp;col=7&amp;number=0.164&amp;sourceID=14","0.164")</f>
        <v>0.164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HYPERLINK("http://141.218.60.56/~jnz1568/getInfo.php?workbook=14_04.xlsx&amp;sheet=U0&amp;row=4332&amp;col=6&amp;number=3.8&amp;sourceID=14","3.8")</f>
        <v>3.8</v>
      </c>
      <c r="G4332" s="4" t="str">
        <f>HYPERLINK("http://141.218.60.56/~jnz1568/getInfo.php?workbook=14_04.xlsx&amp;sheet=U0&amp;row=4332&amp;col=7&amp;number=0.164&amp;sourceID=14","0.164")</f>
        <v>0.164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HYPERLINK("http://141.218.60.56/~jnz1568/getInfo.php?workbook=14_04.xlsx&amp;sheet=U0&amp;row=4333&amp;col=6&amp;number=3.9&amp;sourceID=14","3.9")</f>
        <v>3.9</v>
      </c>
      <c r="G4333" s="4" t="str">
        <f>HYPERLINK("http://141.218.60.56/~jnz1568/getInfo.php?workbook=14_04.xlsx&amp;sheet=U0&amp;row=4333&amp;col=7&amp;number=0.164&amp;sourceID=14","0.164")</f>
        <v>0.164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HYPERLINK("http://141.218.60.56/~jnz1568/getInfo.php?workbook=14_04.xlsx&amp;sheet=U0&amp;row=4334&amp;col=6&amp;number=4&amp;sourceID=14","4")</f>
        <v>4</v>
      </c>
      <c r="G4334" s="4" t="str">
        <f>HYPERLINK("http://141.218.60.56/~jnz1568/getInfo.php?workbook=14_04.xlsx&amp;sheet=U0&amp;row=4334&amp;col=7&amp;number=0.164&amp;sourceID=14","0.164")</f>
        <v>0.164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HYPERLINK("http://141.218.60.56/~jnz1568/getInfo.php?workbook=14_04.xlsx&amp;sheet=U0&amp;row=4335&amp;col=6&amp;number=4.1&amp;sourceID=14","4.1")</f>
        <v>4.1</v>
      </c>
      <c r="G4335" s="4" t="str">
        <f>HYPERLINK("http://141.218.60.56/~jnz1568/getInfo.php?workbook=14_04.xlsx&amp;sheet=U0&amp;row=4335&amp;col=7&amp;number=0.164&amp;sourceID=14","0.164")</f>
        <v>0.164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HYPERLINK("http://141.218.60.56/~jnz1568/getInfo.php?workbook=14_04.xlsx&amp;sheet=U0&amp;row=4336&amp;col=6&amp;number=4.2&amp;sourceID=14","4.2")</f>
        <v>4.2</v>
      </c>
      <c r="G4336" s="4" t="str">
        <f>HYPERLINK("http://141.218.60.56/~jnz1568/getInfo.php?workbook=14_04.xlsx&amp;sheet=U0&amp;row=4336&amp;col=7&amp;number=0.164&amp;sourceID=14","0.164")</f>
        <v>0.164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HYPERLINK("http://141.218.60.56/~jnz1568/getInfo.php?workbook=14_04.xlsx&amp;sheet=U0&amp;row=4337&amp;col=6&amp;number=4.3&amp;sourceID=14","4.3")</f>
        <v>4.3</v>
      </c>
      <c r="G4337" s="4" t="str">
        <f>HYPERLINK("http://141.218.60.56/~jnz1568/getInfo.php?workbook=14_04.xlsx&amp;sheet=U0&amp;row=4337&amp;col=7&amp;number=0.164&amp;sourceID=14","0.164")</f>
        <v>0.164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HYPERLINK("http://141.218.60.56/~jnz1568/getInfo.php?workbook=14_04.xlsx&amp;sheet=U0&amp;row=4338&amp;col=6&amp;number=4.4&amp;sourceID=14","4.4")</f>
        <v>4.4</v>
      </c>
      <c r="G4338" s="4" t="str">
        <f>HYPERLINK("http://141.218.60.56/~jnz1568/getInfo.php?workbook=14_04.xlsx&amp;sheet=U0&amp;row=4338&amp;col=7&amp;number=0.165&amp;sourceID=14","0.165")</f>
        <v>0.165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HYPERLINK("http://141.218.60.56/~jnz1568/getInfo.php?workbook=14_04.xlsx&amp;sheet=U0&amp;row=4339&amp;col=6&amp;number=4.5&amp;sourceID=14","4.5")</f>
        <v>4.5</v>
      </c>
      <c r="G4339" s="4" t="str">
        <f>HYPERLINK("http://141.218.60.56/~jnz1568/getInfo.php?workbook=14_04.xlsx&amp;sheet=U0&amp;row=4339&amp;col=7&amp;number=0.165&amp;sourceID=14","0.165")</f>
        <v>0.165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HYPERLINK("http://141.218.60.56/~jnz1568/getInfo.php?workbook=14_04.xlsx&amp;sheet=U0&amp;row=4340&amp;col=6&amp;number=4.6&amp;sourceID=14","4.6")</f>
        <v>4.6</v>
      </c>
      <c r="G4340" s="4" t="str">
        <f>HYPERLINK("http://141.218.60.56/~jnz1568/getInfo.php?workbook=14_04.xlsx&amp;sheet=U0&amp;row=4340&amp;col=7&amp;number=0.165&amp;sourceID=14","0.165")</f>
        <v>0.165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HYPERLINK("http://141.218.60.56/~jnz1568/getInfo.php?workbook=14_04.xlsx&amp;sheet=U0&amp;row=4341&amp;col=6&amp;number=4.7&amp;sourceID=14","4.7")</f>
        <v>4.7</v>
      </c>
      <c r="G4341" s="4" t="str">
        <f>HYPERLINK("http://141.218.60.56/~jnz1568/getInfo.php?workbook=14_04.xlsx&amp;sheet=U0&amp;row=4341&amp;col=7&amp;number=0.166&amp;sourceID=14","0.166")</f>
        <v>0.166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HYPERLINK("http://141.218.60.56/~jnz1568/getInfo.php?workbook=14_04.xlsx&amp;sheet=U0&amp;row=4342&amp;col=6&amp;number=4.8&amp;sourceID=14","4.8")</f>
        <v>4.8</v>
      </c>
      <c r="G4342" s="4" t="str">
        <f>HYPERLINK("http://141.218.60.56/~jnz1568/getInfo.php?workbook=14_04.xlsx&amp;sheet=U0&amp;row=4342&amp;col=7&amp;number=0.166&amp;sourceID=14","0.166")</f>
        <v>0.166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HYPERLINK("http://141.218.60.56/~jnz1568/getInfo.php?workbook=14_04.xlsx&amp;sheet=U0&amp;row=4343&amp;col=6&amp;number=4.9&amp;sourceID=14","4.9")</f>
        <v>4.9</v>
      </c>
      <c r="G4343" s="4" t="str">
        <f>HYPERLINK("http://141.218.60.56/~jnz1568/getInfo.php?workbook=14_04.xlsx&amp;sheet=U0&amp;row=4343&amp;col=7&amp;number=0.167&amp;sourceID=14","0.167")</f>
        <v>0.167</v>
      </c>
    </row>
    <row r="4344" spans="1:7">
      <c r="A4344" s="3">
        <v>14</v>
      </c>
      <c r="B4344" s="3">
        <v>4</v>
      </c>
      <c r="C4344" s="3">
        <v>3</v>
      </c>
      <c r="D4344" s="3">
        <v>19</v>
      </c>
      <c r="E4344" s="3">
        <v>1</v>
      </c>
      <c r="F4344" s="4" t="str">
        <f>HYPERLINK("http://141.218.60.56/~jnz1568/getInfo.php?workbook=14_04.xlsx&amp;sheet=U0&amp;row=4344&amp;col=6&amp;number=3&amp;sourceID=14","3")</f>
        <v>3</v>
      </c>
      <c r="G4344" s="4" t="str">
        <f>HYPERLINK("http://141.218.60.56/~jnz1568/getInfo.php?workbook=14_04.xlsx&amp;sheet=U0&amp;row=4344&amp;col=7&amp;number=0.023&amp;sourceID=14","0.023")</f>
        <v>0.023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HYPERLINK("http://141.218.60.56/~jnz1568/getInfo.php?workbook=14_04.xlsx&amp;sheet=U0&amp;row=4345&amp;col=6&amp;number=3.1&amp;sourceID=14","3.1")</f>
        <v>3.1</v>
      </c>
      <c r="G4345" s="4" t="str">
        <f>HYPERLINK("http://141.218.60.56/~jnz1568/getInfo.php?workbook=14_04.xlsx&amp;sheet=U0&amp;row=4345&amp;col=7&amp;number=0.023&amp;sourceID=14","0.023")</f>
        <v>0.023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HYPERLINK("http://141.218.60.56/~jnz1568/getInfo.php?workbook=14_04.xlsx&amp;sheet=U0&amp;row=4346&amp;col=6&amp;number=3.2&amp;sourceID=14","3.2")</f>
        <v>3.2</v>
      </c>
      <c r="G4346" s="4" t="str">
        <f>HYPERLINK("http://141.218.60.56/~jnz1568/getInfo.php?workbook=14_04.xlsx&amp;sheet=U0&amp;row=4346&amp;col=7&amp;number=0.023&amp;sourceID=14","0.023")</f>
        <v>0.023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HYPERLINK("http://141.218.60.56/~jnz1568/getInfo.php?workbook=14_04.xlsx&amp;sheet=U0&amp;row=4347&amp;col=6&amp;number=3.3&amp;sourceID=14","3.3")</f>
        <v>3.3</v>
      </c>
      <c r="G4347" s="4" t="str">
        <f>HYPERLINK("http://141.218.60.56/~jnz1568/getInfo.php?workbook=14_04.xlsx&amp;sheet=U0&amp;row=4347&amp;col=7&amp;number=0.023&amp;sourceID=14","0.023")</f>
        <v>0.023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HYPERLINK("http://141.218.60.56/~jnz1568/getInfo.php?workbook=14_04.xlsx&amp;sheet=U0&amp;row=4348&amp;col=6&amp;number=3.4&amp;sourceID=14","3.4")</f>
        <v>3.4</v>
      </c>
      <c r="G4348" s="4" t="str">
        <f>HYPERLINK("http://141.218.60.56/~jnz1568/getInfo.php?workbook=14_04.xlsx&amp;sheet=U0&amp;row=4348&amp;col=7&amp;number=0.023&amp;sourceID=14","0.023")</f>
        <v>0.023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HYPERLINK("http://141.218.60.56/~jnz1568/getInfo.php?workbook=14_04.xlsx&amp;sheet=U0&amp;row=4349&amp;col=6&amp;number=3.5&amp;sourceID=14","3.5")</f>
        <v>3.5</v>
      </c>
      <c r="G4349" s="4" t="str">
        <f>HYPERLINK("http://141.218.60.56/~jnz1568/getInfo.php?workbook=14_04.xlsx&amp;sheet=U0&amp;row=4349&amp;col=7&amp;number=0.023&amp;sourceID=14","0.023")</f>
        <v>0.023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HYPERLINK("http://141.218.60.56/~jnz1568/getInfo.php?workbook=14_04.xlsx&amp;sheet=U0&amp;row=4350&amp;col=6&amp;number=3.6&amp;sourceID=14","3.6")</f>
        <v>3.6</v>
      </c>
      <c r="G4350" s="4" t="str">
        <f>HYPERLINK("http://141.218.60.56/~jnz1568/getInfo.php?workbook=14_04.xlsx&amp;sheet=U0&amp;row=4350&amp;col=7&amp;number=0.023&amp;sourceID=14","0.023")</f>
        <v>0.023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HYPERLINK("http://141.218.60.56/~jnz1568/getInfo.php?workbook=14_04.xlsx&amp;sheet=U0&amp;row=4351&amp;col=6&amp;number=3.7&amp;sourceID=14","3.7")</f>
        <v>3.7</v>
      </c>
      <c r="G4351" s="4" t="str">
        <f>HYPERLINK("http://141.218.60.56/~jnz1568/getInfo.php?workbook=14_04.xlsx&amp;sheet=U0&amp;row=4351&amp;col=7&amp;number=0.023&amp;sourceID=14","0.023")</f>
        <v>0.023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HYPERLINK("http://141.218.60.56/~jnz1568/getInfo.php?workbook=14_04.xlsx&amp;sheet=U0&amp;row=4352&amp;col=6&amp;number=3.8&amp;sourceID=14","3.8")</f>
        <v>3.8</v>
      </c>
      <c r="G4352" s="4" t="str">
        <f>HYPERLINK("http://141.218.60.56/~jnz1568/getInfo.php?workbook=14_04.xlsx&amp;sheet=U0&amp;row=4352&amp;col=7&amp;number=0.023&amp;sourceID=14","0.023")</f>
        <v>0.023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HYPERLINK("http://141.218.60.56/~jnz1568/getInfo.php?workbook=14_04.xlsx&amp;sheet=U0&amp;row=4353&amp;col=6&amp;number=3.9&amp;sourceID=14","3.9")</f>
        <v>3.9</v>
      </c>
      <c r="G4353" s="4" t="str">
        <f>HYPERLINK("http://141.218.60.56/~jnz1568/getInfo.php?workbook=14_04.xlsx&amp;sheet=U0&amp;row=4353&amp;col=7&amp;number=0.023&amp;sourceID=14","0.023")</f>
        <v>0.023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HYPERLINK("http://141.218.60.56/~jnz1568/getInfo.php?workbook=14_04.xlsx&amp;sheet=U0&amp;row=4354&amp;col=6&amp;number=4&amp;sourceID=14","4")</f>
        <v>4</v>
      </c>
      <c r="G4354" s="4" t="str">
        <f>HYPERLINK("http://141.218.60.56/~jnz1568/getInfo.php?workbook=14_04.xlsx&amp;sheet=U0&amp;row=4354&amp;col=7&amp;number=0.023&amp;sourceID=14","0.023")</f>
        <v>0.023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HYPERLINK("http://141.218.60.56/~jnz1568/getInfo.php?workbook=14_04.xlsx&amp;sheet=U0&amp;row=4355&amp;col=6&amp;number=4.1&amp;sourceID=14","4.1")</f>
        <v>4.1</v>
      </c>
      <c r="G4355" s="4" t="str">
        <f>HYPERLINK("http://141.218.60.56/~jnz1568/getInfo.php?workbook=14_04.xlsx&amp;sheet=U0&amp;row=4355&amp;col=7&amp;number=0.023&amp;sourceID=14","0.023")</f>
        <v>0.023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HYPERLINK("http://141.218.60.56/~jnz1568/getInfo.php?workbook=14_04.xlsx&amp;sheet=U0&amp;row=4356&amp;col=6&amp;number=4.2&amp;sourceID=14","4.2")</f>
        <v>4.2</v>
      </c>
      <c r="G4356" s="4" t="str">
        <f>HYPERLINK("http://141.218.60.56/~jnz1568/getInfo.php?workbook=14_04.xlsx&amp;sheet=U0&amp;row=4356&amp;col=7&amp;number=0.023&amp;sourceID=14","0.023")</f>
        <v>0.023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HYPERLINK("http://141.218.60.56/~jnz1568/getInfo.php?workbook=14_04.xlsx&amp;sheet=U0&amp;row=4357&amp;col=6&amp;number=4.3&amp;sourceID=14","4.3")</f>
        <v>4.3</v>
      </c>
      <c r="G4357" s="4" t="str">
        <f>HYPERLINK("http://141.218.60.56/~jnz1568/getInfo.php?workbook=14_04.xlsx&amp;sheet=U0&amp;row=4357&amp;col=7&amp;number=0.023&amp;sourceID=14","0.023")</f>
        <v>0.023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HYPERLINK("http://141.218.60.56/~jnz1568/getInfo.php?workbook=14_04.xlsx&amp;sheet=U0&amp;row=4358&amp;col=6&amp;number=4.4&amp;sourceID=14","4.4")</f>
        <v>4.4</v>
      </c>
      <c r="G4358" s="4" t="str">
        <f>HYPERLINK("http://141.218.60.56/~jnz1568/getInfo.php?workbook=14_04.xlsx&amp;sheet=U0&amp;row=4358&amp;col=7&amp;number=0.023&amp;sourceID=14","0.023")</f>
        <v>0.023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HYPERLINK("http://141.218.60.56/~jnz1568/getInfo.php?workbook=14_04.xlsx&amp;sheet=U0&amp;row=4359&amp;col=6&amp;number=4.5&amp;sourceID=14","4.5")</f>
        <v>4.5</v>
      </c>
      <c r="G4359" s="4" t="str">
        <f>HYPERLINK("http://141.218.60.56/~jnz1568/getInfo.php?workbook=14_04.xlsx&amp;sheet=U0&amp;row=4359&amp;col=7&amp;number=0.0229&amp;sourceID=14","0.0229")</f>
        <v>0.0229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HYPERLINK("http://141.218.60.56/~jnz1568/getInfo.php?workbook=14_04.xlsx&amp;sheet=U0&amp;row=4360&amp;col=6&amp;number=4.6&amp;sourceID=14","4.6")</f>
        <v>4.6</v>
      </c>
      <c r="G4360" s="4" t="str">
        <f>HYPERLINK("http://141.218.60.56/~jnz1568/getInfo.php?workbook=14_04.xlsx&amp;sheet=U0&amp;row=4360&amp;col=7&amp;number=0.0229&amp;sourceID=14","0.0229")</f>
        <v>0.0229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HYPERLINK("http://141.218.60.56/~jnz1568/getInfo.php?workbook=14_04.xlsx&amp;sheet=U0&amp;row=4361&amp;col=6&amp;number=4.7&amp;sourceID=14","4.7")</f>
        <v>4.7</v>
      </c>
      <c r="G4361" s="4" t="str">
        <f>HYPERLINK("http://141.218.60.56/~jnz1568/getInfo.php?workbook=14_04.xlsx&amp;sheet=U0&amp;row=4361&amp;col=7&amp;number=0.0229&amp;sourceID=14","0.0229")</f>
        <v>0.0229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HYPERLINK("http://141.218.60.56/~jnz1568/getInfo.php?workbook=14_04.xlsx&amp;sheet=U0&amp;row=4362&amp;col=6&amp;number=4.8&amp;sourceID=14","4.8")</f>
        <v>4.8</v>
      </c>
      <c r="G4362" s="4" t="str">
        <f>HYPERLINK("http://141.218.60.56/~jnz1568/getInfo.php?workbook=14_04.xlsx&amp;sheet=U0&amp;row=4362&amp;col=7&amp;number=0.0229&amp;sourceID=14","0.0229")</f>
        <v>0.0229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HYPERLINK("http://141.218.60.56/~jnz1568/getInfo.php?workbook=14_04.xlsx&amp;sheet=U0&amp;row=4363&amp;col=6&amp;number=4.9&amp;sourceID=14","4.9")</f>
        <v>4.9</v>
      </c>
      <c r="G4363" s="4" t="str">
        <f>HYPERLINK("http://141.218.60.56/~jnz1568/getInfo.php?workbook=14_04.xlsx&amp;sheet=U0&amp;row=4363&amp;col=7&amp;number=0.0229&amp;sourceID=14","0.0229")</f>
        <v>0.0229</v>
      </c>
    </row>
    <row r="4364" spans="1:7">
      <c r="A4364" s="3">
        <v>14</v>
      </c>
      <c r="B4364" s="3">
        <v>4</v>
      </c>
      <c r="C4364" s="3">
        <v>3</v>
      </c>
      <c r="D4364" s="3">
        <v>20</v>
      </c>
      <c r="E4364" s="3">
        <v>1</v>
      </c>
      <c r="F4364" s="4" t="str">
        <f>HYPERLINK("http://141.218.60.56/~jnz1568/getInfo.php?workbook=14_04.xlsx&amp;sheet=U0&amp;row=4364&amp;col=6&amp;number=3&amp;sourceID=14","3")</f>
        <v>3</v>
      </c>
      <c r="G4364" s="4" t="str">
        <f>HYPERLINK("http://141.218.60.56/~jnz1568/getInfo.php?workbook=14_04.xlsx&amp;sheet=U0&amp;row=4364&amp;col=7&amp;number=0.0177&amp;sourceID=14","0.0177")</f>
        <v>0.0177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HYPERLINK("http://141.218.60.56/~jnz1568/getInfo.php?workbook=14_04.xlsx&amp;sheet=U0&amp;row=4365&amp;col=6&amp;number=3.1&amp;sourceID=14","3.1")</f>
        <v>3.1</v>
      </c>
      <c r="G4365" s="4" t="str">
        <f>HYPERLINK("http://141.218.60.56/~jnz1568/getInfo.php?workbook=14_04.xlsx&amp;sheet=U0&amp;row=4365&amp;col=7&amp;number=0.0177&amp;sourceID=14","0.0177")</f>
        <v>0.0177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HYPERLINK("http://141.218.60.56/~jnz1568/getInfo.php?workbook=14_04.xlsx&amp;sheet=U0&amp;row=4366&amp;col=6&amp;number=3.2&amp;sourceID=14","3.2")</f>
        <v>3.2</v>
      </c>
      <c r="G4366" s="4" t="str">
        <f>HYPERLINK("http://141.218.60.56/~jnz1568/getInfo.php?workbook=14_04.xlsx&amp;sheet=U0&amp;row=4366&amp;col=7&amp;number=0.0177&amp;sourceID=14","0.0177")</f>
        <v>0.0177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HYPERLINK("http://141.218.60.56/~jnz1568/getInfo.php?workbook=14_04.xlsx&amp;sheet=U0&amp;row=4367&amp;col=6&amp;number=3.3&amp;sourceID=14","3.3")</f>
        <v>3.3</v>
      </c>
      <c r="G4367" s="4" t="str">
        <f>HYPERLINK("http://141.218.60.56/~jnz1568/getInfo.php?workbook=14_04.xlsx&amp;sheet=U0&amp;row=4367&amp;col=7&amp;number=0.0177&amp;sourceID=14","0.0177")</f>
        <v>0.0177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HYPERLINK("http://141.218.60.56/~jnz1568/getInfo.php?workbook=14_04.xlsx&amp;sheet=U0&amp;row=4368&amp;col=6&amp;number=3.4&amp;sourceID=14","3.4")</f>
        <v>3.4</v>
      </c>
      <c r="G4368" s="4" t="str">
        <f>HYPERLINK("http://141.218.60.56/~jnz1568/getInfo.php?workbook=14_04.xlsx&amp;sheet=U0&amp;row=4368&amp;col=7&amp;number=0.0177&amp;sourceID=14","0.0177")</f>
        <v>0.0177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HYPERLINK("http://141.218.60.56/~jnz1568/getInfo.php?workbook=14_04.xlsx&amp;sheet=U0&amp;row=4369&amp;col=6&amp;number=3.5&amp;sourceID=14","3.5")</f>
        <v>3.5</v>
      </c>
      <c r="G4369" s="4" t="str">
        <f>HYPERLINK("http://141.218.60.56/~jnz1568/getInfo.php?workbook=14_04.xlsx&amp;sheet=U0&amp;row=4369&amp;col=7&amp;number=0.0177&amp;sourceID=14","0.0177")</f>
        <v>0.0177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HYPERLINK("http://141.218.60.56/~jnz1568/getInfo.php?workbook=14_04.xlsx&amp;sheet=U0&amp;row=4370&amp;col=6&amp;number=3.6&amp;sourceID=14","3.6")</f>
        <v>3.6</v>
      </c>
      <c r="G4370" s="4" t="str">
        <f>HYPERLINK("http://141.218.60.56/~jnz1568/getInfo.php?workbook=14_04.xlsx&amp;sheet=U0&amp;row=4370&amp;col=7&amp;number=0.0177&amp;sourceID=14","0.0177")</f>
        <v>0.0177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HYPERLINK("http://141.218.60.56/~jnz1568/getInfo.php?workbook=14_04.xlsx&amp;sheet=U0&amp;row=4371&amp;col=6&amp;number=3.7&amp;sourceID=14","3.7")</f>
        <v>3.7</v>
      </c>
      <c r="G4371" s="4" t="str">
        <f>HYPERLINK("http://141.218.60.56/~jnz1568/getInfo.php?workbook=14_04.xlsx&amp;sheet=U0&amp;row=4371&amp;col=7&amp;number=0.0177&amp;sourceID=14","0.0177")</f>
        <v>0.0177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HYPERLINK("http://141.218.60.56/~jnz1568/getInfo.php?workbook=14_04.xlsx&amp;sheet=U0&amp;row=4372&amp;col=6&amp;number=3.8&amp;sourceID=14","3.8")</f>
        <v>3.8</v>
      </c>
      <c r="G4372" s="4" t="str">
        <f>HYPERLINK("http://141.218.60.56/~jnz1568/getInfo.php?workbook=14_04.xlsx&amp;sheet=U0&amp;row=4372&amp;col=7&amp;number=0.0177&amp;sourceID=14","0.0177")</f>
        <v>0.0177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HYPERLINK("http://141.218.60.56/~jnz1568/getInfo.php?workbook=14_04.xlsx&amp;sheet=U0&amp;row=4373&amp;col=6&amp;number=3.9&amp;sourceID=14","3.9")</f>
        <v>3.9</v>
      </c>
      <c r="G4373" s="4" t="str">
        <f>HYPERLINK("http://141.218.60.56/~jnz1568/getInfo.php?workbook=14_04.xlsx&amp;sheet=U0&amp;row=4373&amp;col=7&amp;number=0.0177&amp;sourceID=14","0.0177")</f>
        <v>0.0177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HYPERLINK("http://141.218.60.56/~jnz1568/getInfo.php?workbook=14_04.xlsx&amp;sheet=U0&amp;row=4374&amp;col=6&amp;number=4&amp;sourceID=14","4")</f>
        <v>4</v>
      </c>
      <c r="G4374" s="4" t="str">
        <f>HYPERLINK("http://141.218.60.56/~jnz1568/getInfo.php?workbook=14_04.xlsx&amp;sheet=U0&amp;row=4374&amp;col=7&amp;number=0.0177&amp;sourceID=14","0.0177")</f>
        <v>0.0177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HYPERLINK("http://141.218.60.56/~jnz1568/getInfo.php?workbook=14_04.xlsx&amp;sheet=U0&amp;row=4375&amp;col=6&amp;number=4.1&amp;sourceID=14","4.1")</f>
        <v>4.1</v>
      </c>
      <c r="G4375" s="4" t="str">
        <f>HYPERLINK("http://141.218.60.56/~jnz1568/getInfo.php?workbook=14_04.xlsx&amp;sheet=U0&amp;row=4375&amp;col=7&amp;number=0.0177&amp;sourceID=14","0.0177")</f>
        <v>0.0177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HYPERLINK("http://141.218.60.56/~jnz1568/getInfo.php?workbook=14_04.xlsx&amp;sheet=U0&amp;row=4376&amp;col=6&amp;number=4.2&amp;sourceID=14","4.2")</f>
        <v>4.2</v>
      </c>
      <c r="G4376" s="4" t="str">
        <f>HYPERLINK("http://141.218.60.56/~jnz1568/getInfo.php?workbook=14_04.xlsx&amp;sheet=U0&amp;row=4376&amp;col=7&amp;number=0.0177&amp;sourceID=14","0.0177")</f>
        <v>0.0177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HYPERLINK("http://141.218.60.56/~jnz1568/getInfo.php?workbook=14_04.xlsx&amp;sheet=U0&amp;row=4377&amp;col=6&amp;number=4.3&amp;sourceID=14","4.3")</f>
        <v>4.3</v>
      </c>
      <c r="G4377" s="4" t="str">
        <f>HYPERLINK("http://141.218.60.56/~jnz1568/getInfo.php?workbook=14_04.xlsx&amp;sheet=U0&amp;row=4377&amp;col=7&amp;number=0.0177&amp;sourceID=14","0.0177")</f>
        <v>0.0177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HYPERLINK("http://141.218.60.56/~jnz1568/getInfo.php?workbook=14_04.xlsx&amp;sheet=U0&amp;row=4378&amp;col=6&amp;number=4.4&amp;sourceID=14","4.4")</f>
        <v>4.4</v>
      </c>
      <c r="G4378" s="4" t="str">
        <f>HYPERLINK("http://141.218.60.56/~jnz1568/getInfo.php?workbook=14_04.xlsx&amp;sheet=U0&amp;row=4378&amp;col=7&amp;number=0.0176&amp;sourceID=14","0.0176")</f>
        <v>0.0176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HYPERLINK("http://141.218.60.56/~jnz1568/getInfo.php?workbook=14_04.xlsx&amp;sheet=U0&amp;row=4379&amp;col=6&amp;number=4.5&amp;sourceID=14","4.5")</f>
        <v>4.5</v>
      </c>
      <c r="G4379" s="4" t="str">
        <f>HYPERLINK("http://141.218.60.56/~jnz1568/getInfo.php?workbook=14_04.xlsx&amp;sheet=U0&amp;row=4379&amp;col=7&amp;number=0.0176&amp;sourceID=14","0.0176")</f>
        <v>0.0176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HYPERLINK("http://141.218.60.56/~jnz1568/getInfo.php?workbook=14_04.xlsx&amp;sheet=U0&amp;row=4380&amp;col=6&amp;number=4.6&amp;sourceID=14","4.6")</f>
        <v>4.6</v>
      </c>
      <c r="G4380" s="4" t="str">
        <f>HYPERLINK("http://141.218.60.56/~jnz1568/getInfo.php?workbook=14_04.xlsx&amp;sheet=U0&amp;row=4380&amp;col=7&amp;number=0.0176&amp;sourceID=14","0.0176")</f>
        <v>0.0176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HYPERLINK("http://141.218.60.56/~jnz1568/getInfo.php?workbook=14_04.xlsx&amp;sheet=U0&amp;row=4381&amp;col=6&amp;number=4.7&amp;sourceID=14","4.7")</f>
        <v>4.7</v>
      </c>
      <c r="G4381" s="4" t="str">
        <f>HYPERLINK("http://141.218.60.56/~jnz1568/getInfo.php?workbook=14_04.xlsx&amp;sheet=U0&amp;row=4381&amp;col=7&amp;number=0.0176&amp;sourceID=14","0.0176")</f>
        <v>0.0176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HYPERLINK("http://141.218.60.56/~jnz1568/getInfo.php?workbook=14_04.xlsx&amp;sheet=U0&amp;row=4382&amp;col=6&amp;number=4.8&amp;sourceID=14","4.8")</f>
        <v>4.8</v>
      </c>
      <c r="G4382" s="4" t="str">
        <f>HYPERLINK("http://141.218.60.56/~jnz1568/getInfo.php?workbook=14_04.xlsx&amp;sheet=U0&amp;row=4382&amp;col=7&amp;number=0.0175&amp;sourceID=14","0.0175")</f>
        <v>0.0175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HYPERLINK("http://141.218.60.56/~jnz1568/getInfo.php?workbook=14_04.xlsx&amp;sheet=U0&amp;row=4383&amp;col=6&amp;number=4.9&amp;sourceID=14","4.9")</f>
        <v>4.9</v>
      </c>
      <c r="G4383" s="4" t="str">
        <f>HYPERLINK("http://141.218.60.56/~jnz1568/getInfo.php?workbook=14_04.xlsx&amp;sheet=U0&amp;row=4383&amp;col=7&amp;number=0.0175&amp;sourceID=14","0.0175")</f>
        <v>0.0175</v>
      </c>
    </row>
    <row r="4384" spans="1:7">
      <c r="A4384" s="3">
        <v>14</v>
      </c>
      <c r="B4384" s="3">
        <v>4</v>
      </c>
      <c r="C4384" s="3">
        <v>3</v>
      </c>
      <c r="D4384" s="3">
        <v>21</v>
      </c>
      <c r="E4384" s="3">
        <v>1</v>
      </c>
      <c r="F4384" s="4" t="str">
        <f>HYPERLINK("http://141.218.60.56/~jnz1568/getInfo.php?workbook=14_04.xlsx&amp;sheet=U0&amp;row=4384&amp;col=6&amp;number=3&amp;sourceID=14","3")</f>
        <v>3</v>
      </c>
      <c r="G4384" s="4" t="str">
        <f>HYPERLINK("http://141.218.60.56/~jnz1568/getInfo.php?workbook=14_04.xlsx&amp;sheet=U0&amp;row=4384&amp;col=7&amp;number=0.00111&amp;sourceID=14","0.00111")</f>
        <v>0.00111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HYPERLINK("http://141.218.60.56/~jnz1568/getInfo.php?workbook=14_04.xlsx&amp;sheet=U0&amp;row=4385&amp;col=6&amp;number=3.1&amp;sourceID=14","3.1")</f>
        <v>3.1</v>
      </c>
      <c r="G4385" s="4" t="str">
        <f>HYPERLINK("http://141.218.60.56/~jnz1568/getInfo.php?workbook=14_04.xlsx&amp;sheet=U0&amp;row=4385&amp;col=7&amp;number=0.00111&amp;sourceID=14","0.00111")</f>
        <v>0.00111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HYPERLINK("http://141.218.60.56/~jnz1568/getInfo.php?workbook=14_04.xlsx&amp;sheet=U0&amp;row=4386&amp;col=6&amp;number=3.2&amp;sourceID=14","3.2")</f>
        <v>3.2</v>
      </c>
      <c r="G4386" s="4" t="str">
        <f>HYPERLINK("http://141.218.60.56/~jnz1568/getInfo.php?workbook=14_04.xlsx&amp;sheet=U0&amp;row=4386&amp;col=7&amp;number=0.00111&amp;sourceID=14","0.00111")</f>
        <v>0.00111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HYPERLINK("http://141.218.60.56/~jnz1568/getInfo.php?workbook=14_04.xlsx&amp;sheet=U0&amp;row=4387&amp;col=6&amp;number=3.3&amp;sourceID=14","3.3")</f>
        <v>3.3</v>
      </c>
      <c r="G4387" s="4" t="str">
        <f>HYPERLINK("http://141.218.60.56/~jnz1568/getInfo.php?workbook=14_04.xlsx&amp;sheet=U0&amp;row=4387&amp;col=7&amp;number=0.00111&amp;sourceID=14","0.00111")</f>
        <v>0.00111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HYPERLINK("http://141.218.60.56/~jnz1568/getInfo.php?workbook=14_04.xlsx&amp;sheet=U0&amp;row=4388&amp;col=6&amp;number=3.4&amp;sourceID=14","3.4")</f>
        <v>3.4</v>
      </c>
      <c r="G4388" s="4" t="str">
        <f>HYPERLINK("http://141.218.60.56/~jnz1568/getInfo.php?workbook=14_04.xlsx&amp;sheet=U0&amp;row=4388&amp;col=7&amp;number=0.00111&amp;sourceID=14","0.00111")</f>
        <v>0.00111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HYPERLINK("http://141.218.60.56/~jnz1568/getInfo.php?workbook=14_04.xlsx&amp;sheet=U0&amp;row=4389&amp;col=6&amp;number=3.5&amp;sourceID=14","3.5")</f>
        <v>3.5</v>
      </c>
      <c r="G4389" s="4" t="str">
        <f>HYPERLINK("http://141.218.60.56/~jnz1568/getInfo.php?workbook=14_04.xlsx&amp;sheet=U0&amp;row=4389&amp;col=7&amp;number=0.00111&amp;sourceID=14","0.00111")</f>
        <v>0.00111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HYPERLINK("http://141.218.60.56/~jnz1568/getInfo.php?workbook=14_04.xlsx&amp;sheet=U0&amp;row=4390&amp;col=6&amp;number=3.6&amp;sourceID=14","3.6")</f>
        <v>3.6</v>
      </c>
      <c r="G4390" s="4" t="str">
        <f>HYPERLINK("http://141.218.60.56/~jnz1568/getInfo.php?workbook=14_04.xlsx&amp;sheet=U0&amp;row=4390&amp;col=7&amp;number=0.00111&amp;sourceID=14","0.00111")</f>
        <v>0.00111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HYPERLINK("http://141.218.60.56/~jnz1568/getInfo.php?workbook=14_04.xlsx&amp;sheet=U0&amp;row=4391&amp;col=6&amp;number=3.7&amp;sourceID=14","3.7")</f>
        <v>3.7</v>
      </c>
      <c r="G4391" s="4" t="str">
        <f>HYPERLINK("http://141.218.60.56/~jnz1568/getInfo.php?workbook=14_04.xlsx&amp;sheet=U0&amp;row=4391&amp;col=7&amp;number=0.00111&amp;sourceID=14","0.00111")</f>
        <v>0.00111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HYPERLINK("http://141.218.60.56/~jnz1568/getInfo.php?workbook=14_04.xlsx&amp;sheet=U0&amp;row=4392&amp;col=6&amp;number=3.8&amp;sourceID=14","3.8")</f>
        <v>3.8</v>
      </c>
      <c r="G4392" s="4" t="str">
        <f>HYPERLINK("http://141.218.60.56/~jnz1568/getInfo.php?workbook=14_04.xlsx&amp;sheet=U0&amp;row=4392&amp;col=7&amp;number=0.0011&amp;sourceID=14","0.0011")</f>
        <v>0.0011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HYPERLINK("http://141.218.60.56/~jnz1568/getInfo.php?workbook=14_04.xlsx&amp;sheet=U0&amp;row=4393&amp;col=6&amp;number=3.9&amp;sourceID=14","3.9")</f>
        <v>3.9</v>
      </c>
      <c r="G4393" s="4" t="str">
        <f>HYPERLINK("http://141.218.60.56/~jnz1568/getInfo.php?workbook=14_04.xlsx&amp;sheet=U0&amp;row=4393&amp;col=7&amp;number=0.0011&amp;sourceID=14","0.0011")</f>
        <v>0.0011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HYPERLINK("http://141.218.60.56/~jnz1568/getInfo.php?workbook=14_04.xlsx&amp;sheet=U0&amp;row=4394&amp;col=6&amp;number=4&amp;sourceID=14","4")</f>
        <v>4</v>
      </c>
      <c r="G4394" s="4" t="str">
        <f>HYPERLINK("http://141.218.60.56/~jnz1568/getInfo.php?workbook=14_04.xlsx&amp;sheet=U0&amp;row=4394&amp;col=7&amp;number=0.0011&amp;sourceID=14","0.0011")</f>
        <v>0.0011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HYPERLINK("http://141.218.60.56/~jnz1568/getInfo.php?workbook=14_04.xlsx&amp;sheet=U0&amp;row=4395&amp;col=6&amp;number=4.1&amp;sourceID=14","4.1")</f>
        <v>4.1</v>
      </c>
      <c r="G4395" s="4" t="str">
        <f>HYPERLINK("http://141.218.60.56/~jnz1568/getInfo.php?workbook=14_04.xlsx&amp;sheet=U0&amp;row=4395&amp;col=7&amp;number=0.0011&amp;sourceID=14","0.0011")</f>
        <v>0.0011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HYPERLINK("http://141.218.60.56/~jnz1568/getInfo.php?workbook=14_04.xlsx&amp;sheet=U0&amp;row=4396&amp;col=6&amp;number=4.2&amp;sourceID=14","4.2")</f>
        <v>4.2</v>
      </c>
      <c r="G4396" s="4" t="str">
        <f>HYPERLINK("http://141.218.60.56/~jnz1568/getInfo.php?workbook=14_04.xlsx&amp;sheet=U0&amp;row=4396&amp;col=7&amp;number=0.0011&amp;sourceID=14","0.0011")</f>
        <v>0.0011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HYPERLINK("http://141.218.60.56/~jnz1568/getInfo.php?workbook=14_04.xlsx&amp;sheet=U0&amp;row=4397&amp;col=6&amp;number=4.3&amp;sourceID=14","4.3")</f>
        <v>4.3</v>
      </c>
      <c r="G4397" s="4" t="str">
        <f>HYPERLINK("http://141.218.60.56/~jnz1568/getInfo.php?workbook=14_04.xlsx&amp;sheet=U0&amp;row=4397&amp;col=7&amp;number=0.0011&amp;sourceID=14","0.0011")</f>
        <v>0.0011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HYPERLINK("http://141.218.60.56/~jnz1568/getInfo.php?workbook=14_04.xlsx&amp;sheet=U0&amp;row=4398&amp;col=6&amp;number=4.4&amp;sourceID=14","4.4")</f>
        <v>4.4</v>
      </c>
      <c r="G4398" s="4" t="str">
        <f>HYPERLINK("http://141.218.60.56/~jnz1568/getInfo.php?workbook=14_04.xlsx&amp;sheet=U0&amp;row=4398&amp;col=7&amp;number=0.0011&amp;sourceID=14","0.0011")</f>
        <v>0.0011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HYPERLINK("http://141.218.60.56/~jnz1568/getInfo.php?workbook=14_04.xlsx&amp;sheet=U0&amp;row=4399&amp;col=6&amp;number=4.5&amp;sourceID=14","4.5")</f>
        <v>4.5</v>
      </c>
      <c r="G4399" s="4" t="str">
        <f>HYPERLINK("http://141.218.60.56/~jnz1568/getInfo.php?workbook=14_04.xlsx&amp;sheet=U0&amp;row=4399&amp;col=7&amp;number=0.0011&amp;sourceID=14","0.0011")</f>
        <v>0.0011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HYPERLINK("http://141.218.60.56/~jnz1568/getInfo.php?workbook=14_04.xlsx&amp;sheet=U0&amp;row=4400&amp;col=6&amp;number=4.6&amp;sourceID=14","4.6")</f>
        <v>4.6</v>
      </c>
      <c r="G4400" s="4" t="str">
        <f>HYPERLINK("http://141.218.60.56/~jnz1568/getInfo.php?workbook=14_04.xlsx&amp;sheet=U0&amp;row=4400&amp;col=7&amp;number=0.0011&amp;sourceID=14","0.0011")</f>
        <v>0.0011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HYPERLINK("http://141.218.60.56/~jnz1568/getInfo.php?workbook=14_04.xlsx&amp;sheet=U0&amp;row=4401&amp;col=6&amp;number=4.7&amp;sourceID=14","4.7")</f>
        <v>4.7</v>
      </c>
      <c r="G4401" s="4" t="str">
        <f>HYPERLINK("http://141.218.60.56/~jnz1568/getInfo.php?workbook=14_04.xlsx&amp;sheet=U0&amp;row=4401&amp;col=7&amp;number=0.0011&amp;sourceID=14","0.0011")</f>
        <v>0.0011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HYPERLINK("http://141.218.60.56/~jnz1568/getInfo.php?workbook=14_04.xlsx&amp;sheet=U0&amp;row=4402&amp;col=6&amp;number=4.8&amp;sourceID=14","4.8")</f>
        <v>4.8</v>
      </c>
      <c r="G4402" s="4" t="str">
        <f>HYPERLINK("http://141.218.60.56/~jnz1568/getInfo.php?workbook=14_04.xlsx&amp;sheet=U0&amp;row=4402&amp;col=7&amp;number=0.0011&amp;sourceID=14","0.0011")</f>
        <v>0.0011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HYPERLINK("http://141.218.60.56/~jnz1568/getInfo.php?workbook=14_04.xlsx&amp;sheet=U0&amp;row=4403&amp;col=6&amp;number=4.9&amp;sourceID=14","4.9")</f>
        <v>4.9</v>
      </c>
      <c r="G4403" s="4" t="str">
        <f>HYPERLINK("http://141.218.60.56/~jnz1568/getInfo.php?workbook=14_04.xlsx&amp;sheet=U0&amp;row=4403&amp;col=7&amp;number=0.00109&amp;sourceID=14","0.00109")</f>
        <v>0.00109</v>
      </c>
    </row>
    <row r="4404" spans="1:7">
      <c r="A4404" s="3">
        <v>14</v>
      </c>
      <c r="B4404" s="3">
        <v>4</v>
      </c>
      <c r="C4404" s="3">
        <v>3</v>
      </c>
      <c r="D4404" s="3">
        <v>22</v>
      </c>
      <c r="E4404" s="3">
        <v>1</v>
      </c>
      <c r="F4404" s="4" t="str">
        <f>HYPERLINK("http://141.218.60.56/~jnz1568/getInfo.php?workbook=14_04.xlsx&amp;sheet=U0&amp;row=4404&amp;col=6&amp;number=3&amp;sourceID=14","3")</f>
        <v>3</v>
      </c>
      <c r="G4404" s="4" t="str">
        <f>HYPERLINK("http://141.218.60.56/~jnz1568/getInfo.php?workbook=14_04.xlsx&amp;sheet=U0&amp;row=4404&amp;col=7&amp;number=0.0614&amp;sourceID=14","0.0614")</f>
        <v>0.0614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HYPERLINK("http://141.218.60.56/~jnz1568/getInfo.php?workbook=14_04.xlsx&amp;sheet=U0&amp;row=4405&amp;col=6&amp;number=3.1&amp;sourceID=14","3.1")</f>
        <v>3.1</v>
      </c>
      <c r="G4405" s="4" t="str">
        <f>HYPERLINK("http://141.218.60.56/~jnz1568/getInfo.php?workbook=14_04.xlsx&amp;sheet=U0&amp;row=4405&amp;col=7&amp;number=0.0614&amp;sourceID=14","0.0614")</f>
        <v>0.0614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HYPERLINK("http://141.218.60.56/~jnz1568/getInfo.php?workbook=14_04.xlsx&amp;sheet=U0&amp;row=4406&amp;col=6&amp;number=3.2&amp;sourceID=14","3.2")</f>
        <v>3.2</v>
      </c>
      <c r="G4406" s="4" t="str">
        <f>HYPERLINK("http://141.218.60.56/~jnz1568/getInfo.php?workbook=14_04.xlsx&amp;sheet=U0&amp;row=4406&amp;col=7&amp;number=0.0614&amp;sourceID=14","0.0614")</f>
        <v>0.0614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HYPERLINK("http://141.218.60.56/~jnz1568/getInfo.php?workbook=14_04.xlsx&amp;sheet=U0&amp;row=4407&amp;col=6&amp;number=3.3&amp;sourceID=14","3.3")</f>
        <v>3.3</v>
      </c>
      <c r="G4407" s="4" t="str">
        <f>HYPERLINK("http://141.218.60.56/~jnz1568/getInfo.php?workbook=14_04.xlsx&amp;sheet=U0&amp;row=4407&amp;col=7&amp;number=0.0614&amp;sourceID=14","0.0614")</f>
        <v>0.0614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HYPERLINK("http://141.218.60.56/~jnz1568/getInfo.php?workbook=14_04.xlsx&amp;sheet=U0&amp;row=4408&amp;col=6&amp;number=3.4&amp;sourceID=14","3.4")</f>
        <v>3.4</v>
      </c>
      <c r="G4408" s="4" t="str">
        <f>HYPERLINK("http://141.218.60.56/~jnz1568/getInfo.php?workbook=14_04.xlsx&amp;sheet=U0&amp;row=4408&amp;col=7&amp;number=0.0614&amp;sourceID=14","0.0614")</f>
        <v>0.0614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HYPERLINK("http://141.218.60.56/~jnz1568/getInfo.php?workbook=14_04.xlsx&amp;sheet=U0&amp;row=4409&amp;col=6&amp;number=3.5&amp;sourceID=14","3.5")</f>
        <v>3.5</v>
      </c>
      <c r="G4409" s="4" t="str">
        <f>HYPERLINK("http://141.218.60.56/~jnz1568/getInfo.php?workbook=14_04.xlsx&amp;sheet=U0&amp;row=4409&amp;col=7&amp;number=0.0614&amp;sourceID=14","0.0614")</f>
        <v>0.0614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HYPERLINK("http://141.218.60.56/~jnz1568/getInfo.php?workbook=14_04.xlsx&amp;sheet=U0&amp;row=4410&amp;col=6&amp;number=3.6&amp;sourceID=14","3.6")</f>
        <v>3.6</v>
      </c>
      <c r="G4410" s="4" t="str">
        <f>HYPERLINK("http://141.218.60.56/~jnz1568/getInfo.php?workbook=14_04.xlsx&amp;sheet=U0&amp;row=4410&amp;col=7&amp;number=0.0614&amp;sourceID=14","0.0614")</f>
        <v>0.0614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HYPERLINK("http://141.218.60.56/~jnz1568/getInfo.php?workbook=14_04.xlsx&amp;sheet=U0&amp;row=4411&amp;col=6&amp;number=3.7&amp;sourceID=14","3.7")</f>
        <v>3.7</v>
      </c>
      <c r="G4411" s="4" t="str">
        <f>HYPERLINK("http://141.218.60.56/~jnz1568/getInfo.php?workbook=14_04.xlsx&amp;sheet=U0&amp;row=4411&amp;col=7&amp;number=0.0614&amp;sourceID=14","0.0614")</f>
        <v>0.0614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HYPERLINK("http://141.218.60.56/~jnz1568/getInfo.php?workbook=14_04.xlsx&amp;sheet=U0&amp;row=4412&amp;col=6&amp;number=3.8&amp;sourceID=14","3.8")</f>
        <v>3.8</v>
      </c>
      <c r="G4412" s="4" t="str">
        <f>HYPERLINK("http://141.218.60.56/~jnz1568/getInfo.php?workbook=14_04.xlsx&amp;sheet=U0&amp;row=4412&amp;col=7&amp;number=0.0615&amp;sourceID=14","0.0615")</f>
        <v>0.0615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HYPERLINK("http://141.218.60.56/~jnz1568/getInfo.php?workbook=14_04.xlsx&amp;sheet=U0&amp;row=4413&amp;col=6&amp;number=3.9&amp;sourceID=14","3.9")</f>
        <v>3.9</v>
      </c>
      <c r="G4413" s="4" t="str">
        <f>HYPERLINK("http://141.218.60.56/~jnz1568/getInfo.php?workbook=14_04.xlsx&amp;sheet=U0&amp;row=4413&amp;col=7&amp;number=0.0615&amp;sourceID=14","0.0615")</f>
        <v>0.0615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HYPERLINK("http://141.218.60.56/~jnz1568/getInfo.php?workbook=14_04.xlsx&amp;sheet=U0&amp;row=4414&amp;col=6&amp;number=4&amp;sourceID=14","4")</f>
        <v>4</v>
      </c>
      <c r="G4414" s="4" t="str">
        <f>HYPERLINK("http://141.218.60.56/~jnz1568/getInfo.php?workbook=14_04.xlsx&amp;sheet=U0&amp;row=4414&amp;col=7&amp;number=0.0615&amp;sourceID=14","0.0615")</f>
        <v>0.0615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HYPERLINK("http://141.218.60.56/~jnz1568/getInfo.php?workbook=14_04.xlsx&amp;sheet=U0&amp;row=4415&amp;col=6&amp;number=4.1&amp;sourceID=14","4.1")</f>
        <v>4.1</v>
      </c>
      <c r="G4415" s="4" t="str">
        <f>HYPERLINK("http://141.218.60.56/~jnz1568/getInfo.php?workbook=14_04.xlsx&amp;sheet=U0&amp;row=4415&amp;col=7&amp;number=0.0615&amp;sourceID=14","0.0615")</f>
        <v>0.0615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HYPERLINK("http://141.218.60.56/~jnz1568/getInfo.php?workbook=14_04.xlsx&amp;sheet=U0&amp;row=4416&amp;col=6&amp;number=4.2&amp;sourceID=14","4.2")</f>
        <v>4.2</v>
      </c>
      <c r="G4416" s="4" t="str">
        <f>HYPERLINK("http://141.218.60.56/~jnz1568/getInfo.php?workbook=14_04.xlsx&amp;sheet=U0&amp;row=4416&amp;col=7&amp;number=0.0615&amp;sourceID=14","0.0615")</f>
        <v>0.0615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HYPERLINK("http://141.218.60.56/~jnz1568/getInfo.php?workbook=14_04.xlsx&amp;sheet=U0&amp;row=4417&amp;col=6&amp;number=4.3&amp;sourceID=14","4.3")</f>
        <v>4.3</v>
      </c>
      <c r="G4417" s="4" t="str">
        <f>HYPERLINK("http://141.218.60.56/~jnz1568/getInfo.php?workbook=14_04.xlsx&amp;sheet=U0&amp;row=4417&amp;col=7&amp;number=0.0615&amp;sourceID=14","0.0615")</f>
        <v>0.0615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HYPERLINK("http://141.218.60.56/~jnz1568/getInfo.php?workbook=14_04.xlsx&amp;sheet=U0&amp;row=4418&amp;col=6&amp;number=4.4&amp;sourceID=14","4.4")</f>
        <v>4.4</v>
      </c>
      <c r="G4418" s="4" t="str">
        <f>HYPERLINK("http://141.218.60.56/~jnz1568/getInfo.php?workbook=14_04.xlsx&amp;sheet=U0&amp;row=4418&amp;col=7&amp;number=0.0615&amp;sourceID=14","0.0615")</f>
        <v>0.0615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HYPERLINK("http://141.218.60.56/~jnz1568/getInfo.php?workbook=14_04.xlsx&amp;sheet=U0&amp;row=4419&amp;col=6&amp;number=4.5&amp;sourceID=14","4.5")</f>
        <v>4.5</v>
      </c>
      <c r="G4419" s="4" t="str">
        <f>HYPERLINK("http://141.218.60.56/~jnz1568/getInfo.php?workbook=14_04.xlsx&amp;sheet=U0&amp;row=4419&amp;col=7&amp;number=0.0615&amp;sourceID=14","0.0615")</f>
        <v>0.0615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HYPERLINK("http://141.218.60.56/~jnz1568/getInfo.php?workbook=14_04.xlsx&amp;sheet=U0&amp;row=4420&amp;col=6&amp;number=4.6&amp;sourceID=14","4.6")</f>
        <v>4.6</v>
      </c>
      <c r="G4420" s="4" t="str">
        <f>HYPERLINK("http://141.218.60.56/~jnz1568/getInfo.php?workbook=14_04.xlsx&amp;sheet=U0&amp;row=4420&amp;col=7&amp;number=0.0616&amp;sourceID=14","0.0616")</f>
        <v>0.0616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HYPERLINK("http://141.218.60.56/~jnz1568/getInfo.php?workbook=14_04.xlsx&amp;sheet=U0&amp;row=4421&amp;col=6&amp;number=4.7&amp;sourceID=14","4.7")</f>
        <v>4.7</v>
      </c>
      <c r="G4421" s="4" t="str">
        <f>HYPERLINK("http://141.218.60.56/~jnz1568/getInfo.php?workbook=14_04.xlsx&amp;sheet=U0&amp;row=4421&amp;col=7&amp;number=0.0616&amp;sourceID=14","0.0616")</f>
        <v>0.0616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HYPERLINK("http://141.218.60.56/~jnz1568/getInfo.php?workbook=14_04.xlsx&amp;sheet=U0&amp;row=4422&amp;col=6&amp;number=4.8&amp;sourceID=14","4.8")</f>
        <v>4.8</v>
      </c>
      <c r="G4422" s="4" t="str">
        <f>HYPERLINK("http://141.218.60.56/~jnz1568/getInfo.php?workbook=14_04.xlsx&amp;sheet=U0&amp;row=4422&amp;col=7&amp;number=0.0616&amp;sourceID=14","0.0616")</f>
        <v>0.0616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HYPERLINK("http://141.218.60.56/~jnz1568/getInfo.php?workbook=14_04.xlsx&amp;sheet=U0&amp;row=4423&amp;col=6&amp;number=4.9&amp;sourceID=14","4.9")</f>
        <v>4.9</v>
      </c>
      <c r="G4423" s="4" t="str">
        <f>HYPERLINK("http://141.218.60.56/~jnz1568/getInfo.php?workbook=14_04.xlsx&amp;sheet=U0&amp;row=4423&amp;col=7&amp;number=0.0617&amp;sourceID=14","0.0617")</f>
        <v>0.0617</v>
      </c>
    </row>
    <row r="4424" spans="1:7">
      <c r="A4424" s="3">
        <v>14</v>
      </c>
      <c r="B4424" s="3">
        <v>4</v>
      </c>
      <c r="C4424" s="3">
        <v>3</v>
      </c>
      <c r="D4424" s="3">
        <v>23</v>
      </c>
      <c r="E4424" s="3">
        <v>1</v>
      </c>
      <c r="F4424" s="4" t="str">
        <f>HYPERLINK("http://141.218.60.56/~jnz1568/getInfo.php?workbook=14_04.xlsx&amp;sheet=U0&amp;row=4424&amp;col=6&amp;number=3&amp;sourceID=14","3")</f>
        <v>3</v>
      </c>
      <c r="G4424" s="4" t="str">
        <f>HYPERLINK("http://141.218.60.56/~jnz1568/getInfo.php?workbook=14_04.xlsx&amp;sheet=U0&amp;row=4424&amp;col=7&amp;number=0.00158&amp;sourceID=14","0.00158")</f>
        <v>0.00158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HYPERLINK("http://141.218.60.56/~jnz1568/getInfo.php?workbook=14_04.xlsx&amp;sheet=U0&amp;row=4425&amp;col=6&amp;number=3.1&amp;sourceID=14","3.1")</f>
        <v>3.1</v>
      </c>
      <c r="G4425" s="4" t="str">
        <f>HYPERLINK("http://141.218.60.56/~jnz1568/getInfo.php?workbook=14_04.xlsx&amp;sheet=U0&amp;row=4425&amp;col=7&amp;number=0.00158&amp;sourceID=14","0.00158")</f>
        <v>0.00158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HYPERLINK("http://141.218.60.56/~jnz1568/getInfo.php?workbook=14_04.xlsx&amp;sheet=U0&amp;row=4426&amp;col=6&amp;number=3.2&amp;sourceID=14","3.2")</f>
        <v>3.2</v>
      </c>
      <c r="G4426" s="4" t="str">
        <f>HYPERLINK("http://141.218.60.56/~jnz1568/getInfo.php?workbook=14_04.xlsx&amp;sheet=U0&amp;row=4426&amp;col=7&amp;number=0.00158&amp;sourceID=14","0.00158")</f>
        <v>0.00158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HYPERLINK("http://141.218.60.56/~jnz1568/getInfo.php?workbook=14_04.xlsx&amp;sheet=U0&amp;row=4427&amp;col=6&amp;number=3.3&amp;sourceID=14","3.3")</f>
        <v>3.3</v>
      </c>
      <c r="G4427" s="4" t="str">
        <f>HYPERLINK("http://141.218.60.56/~jnz1568/getInfo.php?workbook=14_04.xlsx&amp;sheet=U0&amp;row=4427&amp;col=7&amp;number=0.00158&amp;sourceID=14","0.00158")</f>
        <v>0.00158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HYPERLINK("http://141.218.60.56/~jnz1568/getInfo.php?workbook=14_04.xlsx&amp;sheet=U0&amp;row=4428&amp;col=6&amp;number=3.4&amp;sourceID=14","3.4")</f>
        <v>3.4</v>
      </c>
      <c r="G4428" s="4" t="str">
        <f>HYPERLINK("http://141.218.60.56/~jnz1568/getInfo.php?workbook=14_04.xlsx&amp;sheet=U0&amp;row=4428&amp;col=7&amp;number=0.00158&amp;sourceID=14","0.00158")</f>
        <v>0.00158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HYPERLINK("http://141.218.60.56/~jnz1568/getInfo.php?workbook=14_04.xlsx&amp;sheet=U0&amp;row=4429&amp;col=6&amp;number=3.5&amp;sourceID=14","3.5")</f>
        <v>3.5</v>
      </c>
      <c r="G4429" s="4" t="str">
        <f>HYPERLINK("http://141.218.60.56/~jnz1568/getInfo.php?workbook=14_04.xlsx&amp;sheet=U0&amp;row=4429&amp;col=7&amp;number=0.00158&amp;sourceID=14","0.00158")</f>
        <v>0.00158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HYPERLINK("http://141.218.60.56/~jnz1568/getInfo.php?workbook=14_04.xlsx&amp;sheet=U0&amp;row=4430&amp;col=6&amp;number=3.6&amp;sourceID=14","3.6")</f>
        <v>3.6</v>
      </c>
      <c r="G4430" s="4" t="str">
        <f>HYPERLINK("http://141.218.60.56/~jnz1568/getInfo.php?workbook=14_04.xlsx&amp;sheet=U0&amp;row=4430&amp;col=7&amp;number=0.00158&amp;sourceID=14","0.00158")</f>
        <v>0.00158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HYPERLINK("http://141.218.60.56/~jnz1568/getInfo.php?workbook=14_04.xlsx&amp;sheet=U0&amp;row=4431&amp;col=6&amp;number=3.7&amp;sourceID=14","3.7")</f>
        <v>3.7</v>
      </c>
      <c r="G4431" s="4" t="str">
        <f>HYPERLINK("http://141.218.60.56/~jnz1568/getInfo.php?workbook=14_04.xlsx&amp;sheet=U0&amp;row=4431&amp;col=7&amp;number=0.00158&amp;sourceID=14","0.00158")</f>
        <v>0.00158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HYPERLINK("http://141.218.60.56/~jnz1568/getInfo.php?workbook=14_04.xlsx&amp;sheet=U0&amp;row=4432&amp;col=6&amp;number=3.8&amp;sourceID=14","3.8")</f>
        <v>3.8</v>
      </c>
      <c r="G4432" s="4" t="str">
        <f>HYPERLINK("http://141.218.60.56/~jnz1568/getInfo.php?workbook=14_04.xlsx&amp;sheet=U0&amp;row=4432&amp;col=7&amp;number=0.00158&amp;sourceID=14","0.00158")</f>
        <v>0.00158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HYPERLINK("http://141.218.60.56/~jnz1568/getInfo.php?workbook=14_04.xlsx&amp;sheet=U0&amp;row=4433&amp;col=6&amp;number=3.9&amp;sourceID=14","3.9")</f>
        <v>3.9</v>
      </c>
      <c r="G4433" s="4" t="str">
        <f>HYPERLINK("http://141.218.60.56/~jnz1568/getInfo.php?workbook=14_04.xlsx&amp;sheet=U0&amp;row=4433&amp;col=7&amp;number=0.00158&amp;sourceID=14","0.00158")</f>
        <v>0.00158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HYPERLINK("http://141.218.60.56/~jnz1568/getInfo.php?workbook=14_04.xlsx&amp;sheet=U0&amp;row=4434&amp;col=6&amp;number=4&amp;sourceID=14","4")</f>
        <v>4</v>
      </c>
      <c r="G4434" s="4" t="str">
        <f>HYPERLINK("http://141.218.60.56/~jnz1568/getInfo.php?workbook=14_04.xlsx&amp;sheet=U0&amp;row=4434&amp;col=7&amp;number=0.00158&amp;sourceID=14","0.00158")</f>
        <v>0.00158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HYPERLINK("http://141.218.60.56/~jnz1568/getInfo.php?workbook=14_04.xlsx&amp;sheet=U0&amp;row=4435&amp;col=6&amp;number=4.1&amp;sourceID=14","4.1")</f>
        <v>4.1</v>
      </c>
      <c r="G4435" s="4" t="str">
        <f>HYPERLINK("http://141.218.60.56/~jnz1568/getInfo.php?workbook=14_04.xlsx&amp;sheet=U0&amp;row=4435&amp;col=7&amp;number=0.00158&amp;sourceID=14","0.00158")</f>
        <v>0.00158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HYPERLINK("http://141.218.60.56/~jnz1568/getInfo.php?workbook=14_04.xlsx&amp;sheet=U0&amp;row=4436&amp;col=6&amp;number=4.2&amp;sourceID=14","4.2")</f>
        <v>4.2</v>
      </c>
      <c r="G4436" s="4" t="str">
        <f>HYPERLINK("http://141.218.60.56/~jnz1568/getInfo.php?workbook=14_04.xlsx&amp;sheet=U0&amp;row=4436&amp;col=7&amp;number=0.00158&amp;sourceID=14","0.00158")</f>
        <v>0.00158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HYPERLINK("http://141.218.60.56/~jnz1568/getInfo.php?workbook=14_04.xlsx&amp;sheet=U0&amp;row=4437&amp;col=6&amp;number=4.3&amp;sourceID=14","4.3")</f>
        <v>4.3</v>
      </c>
      <c r="G4437" s="4" t="str">
        <f>HYPERLINK("http://141.218.60.56/~jnz1568/getInfo.php?workbook=14_04.xlsx&amp;sheet=U0&amp;row=4437&amp;col=7&amp;number=0.00158&amp;sourceID=14","0.00158")</f>
        <v>0.00158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HYPERLINK("http://141.218.60.56/~jnz1568/getInfo.php?workbook=14_04.xlsx&amp;sheet=U0&amp;row=4438&amp;col=6&amp;number=4.4&amp;sourceID=14","4.4")</f>
        <v>4.4</v>
      </c>
      <c r="G4438" s="4" t="str">
        <f>HYPERLINK("http://141.218.60.56/~jnz1568/getInfo.php?workbook=14_04.xlsx&amp;sheet=U0&amp;row=4438&amp;col=7&amp;number=0.00158&amp;sourceID=14","0.00158")</f>
        <v>0.00158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HYPERLINK("http://141.218.60.56/~jnz1568/getInfo.php?workbook=14_04.xlsx&amp;sheet=U0&amp;row=4439&amp;col=6&amp;number=4.5&amp;sourceID=14","4.5")</f>
        <v>4.5</v>
      </c>
      <c r="G4439" s="4" t="str">
        <f>HYPERLINK("http://141.218.60.56/~jnz1568/getInfo.php?workbook=14_04.xlsx&amp;sheet=U0&amp;row=4439&amp;col=7&amp;number=0.00158&amp;sourceID=14","0.00158")</f>
        <v>0.00158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HYPERLINK("http://141.218.60.56/~jnz1568/getInfo.php?workbook=14_04.xlsx&amp;sheet=U0&amp;row=4440&amp;col=6&amp;number=4.6&amp;sourceID=14","4.6")</f>
        <v>4.6</v>
      </c>
      <c r="G4440" s="4" t="str">
        <f>HYPERLINK("http://141.218.60.56/~jnz1568/getInfo.php?workbook=14_04.xlsx&amp;sheet=U0&amp;row=4440&amp;col=7&amp;number=0.00158&amp;sourceID=14","0.00158")</f>
        <v>0.00158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HYPERLINK("http://141.218.60.56/~jnz1568/getInfo.php?workbook=14_04.xlsx&amp;sheet=U0&amp;row=4441&amp;col=6&amp;number=4.7&amp;sourceID=14","4.7")</f>
        <v>4.7</v>
      </c>
      <c r="G4441" s="4" t="str">
        <f>HYPERLINK("http://141.218.60.56/~jnz1568/getInfo.php?workbook=14_04.xlsx&amp;sheet=U0&amp;row=4441&amp;col=7&amp;number=0.00158&amp;sourceID=14","0.00158")</f>
        <v>0.00158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HYPERLINK("http://141.218.60.56/~jnz1568/getInfo.php?workbook=14_04.xlsx&amp;sheet=U0&amp;row=4442&amp;col=6&amp;number=4.8&amp;sourceID=14","4.8")</f>
        <v>4.8</v>
      </c>
      <c r="G4442" s="4" t="str">
        <f>HYPERLINK("http://141.218.60.56/~jnz1568/getInfo.php?workbook=14_04.xlsx&amp;sheet=U0&amp;row=4442&amp;col=7&amp;number=0.00158&amp;sourceID=14","0.00158")</f>
        <v>0.00158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HYPERLINK("http://141.218.60.56/~jnz1568/getInfo.php?workbook=14_04.xlsx&amp;sheet=U0&amp;row=4443&amp;col=6&amp;number=4.9&amp;sourceID=14","4.9")</f>
        <v>4.9</v>
      </c>
      <c r="G4443" s="4" t="str">
        <f>HYPERLINK("http://141.218.60.56/~jnz1568/getInfo.php?workbook=14_04.xlsx&amp;sheet=U0&amp;row=4443&amp;col=7&amp;number=0.00157&amp;sourceID=14","0.00157")</f>
        <v>0.00157</v>
      </c>
    </row>
    <row r="4444" spans="1:7">
      <c r="A4444" s="3">
        <v>14</v>
      </c>
      <c r="B4444" s="3">
        <v>4</v>
      </c>
      <c r="C4444" s="3">
        <v>3</v>
      </c>
      <c r="D4444" s="3">
        <v>24</v>
      </c>
      <c r="E4444" s="3">
        <v>1</v>
      </c>
      <c r="F4444" s="4" t="str">
        <f>HYPERLINK("http://141.218.60.56/~jnz1568/getInfo.php?workbook=14_04.xlsx&amp;sheet=U0&amp;row=4444&amp;col=6&amp;number=3&amp;sourceID=14","3")</f>
        <v>3</v>
      </c>
      <c r="G4444" s="4" t="str">
        <f>HYPERLINK("http://141.218.60.56/~jnz1568/getInfo.php?workbook=14_04.xlsx&amp;sheet=U0&amp;row=4444&amp;col=7&amp;number=0.00183&amp;sourceID=14","0.00183")</f>
        <v>0.00183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HYPERLINK("http://141.218.60.56/~jnz1568/getInfo.php?workbook=14_04.xlsx&amp;sheet=U0&amp;row=4445&amp;col=6&amp;number=3.1&amp;sourceID=14","3.1")</f>
        <v>3.1</v>
      </c>
      <c r="G4445" s="4" t="str">
        <f>HYPERLINK("http://141.218.60.56/~jnz1568/getInfo.php?workbook=14_04.xlsx&amp;sheet=U0&amp;row=4445&amp;col=7&amp;number=0.00183&amp;sourceID=14","0.00183")</f>
        <v>0.00183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HYPERLINK("http://141.218.60.56/~jnz1568/getInfo.php?workbook=14_04.xlsx&amp;sheet=U0&amp;row=4446&amp;col=6&amp;number=3.2&amp;sourceID=14","3.2")</f>
        <v>3.2</v>
      </c>
      <c r="G4446" s="4" t="str">
        <f>HYPERLINK("http://141.218.60.56/~jnz1568/getInfo.php?workbook=14_04.xlsx&amp;sheet=U0&amp;row=4446&amp;col=7&amp;number=0.00183&amp;sourceID=14","0.00183")</f>
        <v>0.00183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HYPERLINK("http://141.218.60.56/~jnz1568/getInfo.php?workbook=14_04.xlsx&amp;sheet=U0&amp;row=4447&amp;col=6&amp;number=3.3&amp;sourceID=14","3.3")</f>
        <v>3.3</v>
      </c>
      <c r="G4447" s="4" t="str">
        <f>HYPERLINK("http://141.218.60.56/~jnz1568/getInfo.php?workbook=14_04.xlsx&amp;sheet=U0&amp;row=4447&amp;col=7&amp;number=0.00183&amp;sourceID=14","0.00183")</f>
        <v>0.00183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HYPERLINK("http://141.218.60.56/~jnz1568/getInfo.php?workbook=14_04.xlsx&amp;sheet=U0&amp;row=4448&amp;col=6&amp;number=3.4&amp;sourceID=14","3.4")</f>
        <v>3.4</v>
      </c>
      <c r="G4448" s="4" t="str">
        <f>HYPERLINK("http://141.218.60.56/~jnz1568/getInfo.php?workbook=14_04.xlsx&amp;sheet=U0&amp;row=4448&amp;col=7&amp;number=0.00183&amp;sourceID=14","0.00183")</f>
        <v>0.00183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HYPERLINK("http://141.218.60.56/~jnz1568/getInfo.php?workbook=14_04.xlsx&amp;sheet=U0&amp;row=4449&amp;col=6&amp;number=3.5&amp;sourceID=14","3.5")</f>
        <v>3.5</v>
      </c>
      <c r="G4449" s="4" t="str">
        <f>HYPERLINK("http://141.218.60.56/~jnz1568/getInfo.php?workbook=14_04.xlsx&amp;sheet=U0&amp;row=4449&amp;col=7&amp;number=0.00183&amp;sourceID=14","0.00183")</f>
        <v>0.00183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HYPERLINK("http://141.218.60.56/~jnz1568/getInfo.php?workbook=14_04.xlsx&amp;sheet=U0&amp;row=4450&amp;col=6&amp;number=3.6&amp;sourceID=14","3.6")</f>
        <v>3.6</v>
      </c>
      <c r="G4450" s="4" t="str">
        <f>HYPERLINK("http://141.218.60.56/~jnz1568/getInfo.php?workbook=14_04.xlsx&amp;sheet=U0&amp;row=4450&amp;col=7&amp;number=0.00183&amp;sourceID=14","0.00183")</f>
        <v>0.00183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HYPERLINK("http://141.218.60.56/~jnz1568/getInfo.php?workbook=14_04.xlsx&amp;sheet=U0&amp;row=4451&amp;col=6&amp;number=3.7&amp;sourceID=14","3.7")</f>
        <v>3.7</v>
      </c>
      <c r="G4451" s="4" t="str">
        <f>HYPERLINK("http://141.218.60.56/~jnz1568/getInfo.php?workbook=14_04.xlsx&amp;sheet=U0&amp;row=4451&amp;col=7&amp;number=0.00183&amp;sourceID=14","0.00183")</f>
        <v>0.00183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HYPERLINK("http://141.218.60.56/~jnz1568/getInfo.php?workbook=14_04.xlsx&amp;sheet=U0&amp;row=4452&amp;col=6&amp;number=3.8&amp;sourceID=14","3.8")</f>
        <v>3.8</v>
      </c>
      <c r="G4452" s="4" t="str">
        <f>HYPERLINK("http://141.218.60.56/~jnz1568/getInfo.php?workbook=14_04.xlsx&amp;sheet=U0&amp;row=4452&amp;col=7&amp;number=0.00183&amp;sourceID=14","0.00183")</f>
        <v>0.00183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HYPERLINK("http://141.218.60.56/~jnz1568/getInfo.php?workbook=14_04.xlsx&amp;sheet=U0&amp;row=4453&amp;col=6&amp;number=3.9&amp;sourceID=14","3.9")</f>
        <v>3.9</v>
      </c>
      <c r="G4453" s="4" t="str">
        <f>HYPERLINK("http://141.218.60.56/~jnz1568/getInfo.php?workbook=14_04.xlsx&amp;sheet=U0&amp;row=4453&amp;col=7&amp;number=0.00183&amp;sourceID=14","0.00183")</f>
        <v>0.00183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HYPERLINK("http://141.218.60.56/~jnz1568/getInfo.php?workbook=14_04.xlsx&amp;sheet=U0&amp;row=4454&amp;col=6&amp;number=4&amp;sourceID=14","4")</f>
        <v>4</v>
      </c>
      <c r="G4454" s="4" t="str">
        <f>HYPERLINK("http://141.218.60.56/~jnz1568/getInfo.php?workbook=14_04.xlsx&amp;sheet=U0&amp;row=4454&amp;col=7&amp;number=0.00183&amp;sourceID=14","0.00183")</f>
        <v>0.00183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HYPERLINK("http://141.218.60.56/~jnz1568/getInfo.php?workbook=14_04.xlsx&amp;sheet=U0&amp;row=4455&amp;col=6&amp;number=4.1&amp;sourceID=14","4.1")</f>
        <v>4.1</v>
      </c>
      <c r="G4455" s="4" t="str">
        <f>HYPERLINK("http://141.218.60.56/~jnz1568/getInfo.php?workbook=14_04.xlsx&amp;sheet=U0&amp;row=4455&amp;col=7&amp;number=0.00183&amp;sourceID=14","0.00183")</f>
        <v>0.00183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HYPERLINK("http://141.218.60.56/~jnz1568/getInfo.php?workbook=14_04.xlsx&amp;sheet=U0&amp;row=4456&amp;col=6&amp;number=4.2&amp;sourceID=14","4.2")</f>
        <v>4.2</v>
      </c>
      <c r="G4456" s="4" t="str">
        <f>HYPERLINK("http://141.218.60.56/~jnz1568/getInfo.php?workbook=14_04.xlsx&amp;sheet=U0&amp;row=4456&amp;col=7&amp;number=0.00183&amp;sourceID=14","0.00183")</f>
        <v>0.00183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HYPERLINK("http://141.218.60.56/~jnz1568/getInfo.php?workbook=14_04.xlsx&amp;sheet=U0&amp;row=4457&amp;col=6&amp;number=4.3&amp;sourceID=14","4.3")</f>
        <v>4.3</v>
      </c>
      <c r="G4457" s="4" t="str">
        <f>HYPERLINK("http://141.218.60.56/~jnz1568/getInfo.php?workbook=14_04.xlsx&amp;sheet=U0&amp;row=4457&amp;col=7&amp;number=0.00183&amp;sourceID=14","0.00183")</f>
        <v>0.00183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HYPERLINK("http://141.218.60.56/~jnz1568/getInfo.php?workbook=14_04.xlsx&amp;sheet=U0&amp;row=4458&amp;col=6&amp;number=4.4&amp;sourceID=14","4.4")</f>
        <v>4.4</v>
      </c>
      <c r="G4458" s="4" t="str">
        <f>HYPERLINK("http://141.218.60.56/~jnz1568/getInfo.php?workbook=14_04.xlsx&amp;sheet=U0&amp;row=4458&amp;col=7&amp;number=0.00183&amp;sourceID=14","0.00183")</f>
        <v>0.00183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HYPERLINK("http://141.218.60.56/~jnz1568/getInfo.php?workbook=14_04.xlsx&amp;sheet=U0&amp;row=4459&amp;col=6&amp;number=4.5&amp;sourceID=14","4.5")</f>
        <v>4.5</v>
      </c>
      <c r="G4459" s="4" t="str">
        <f>HYPERLINK("http://141.218.60.56/~jnz1568/getInfo.php?workbook=14_04.xlsx&amp;sheet=U0&amp;row=4459&amp;col=7&amp;number=0.00182&amp;sourceID=14","0.00182")</f>
        <v>0.00182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HYPERLINK("http://141.218.60.56/~jnz1568/getInfo.php?workbook=14_04.xlsx&amp;sheet=U0&amp;row=4460&amp;col=6&amp;number=4.6&amp;sourceID=14","4.6")</f>
        <v>4.6</v>
      </c>
      <c r="G4460" s="4" t="str">
        <f>HYPERLINK("http://141.218.60.56/~jnz1568/getInfo.php?workbook=14_04.xlsx&amp;sheet=U0&amp;row=4460&amp;col=7&amp;number=0.00182&amp;sourceID=14","0.00182")</f>
        <v>0.00182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HYPERLINK("http://141.218.60.56/~jnz1568/getInfo.php?workbook=14_04.xlsx&amp;sheet=U0&amp;row=4461&amp;col=6&amp;number=4.7&amp;sourceID=14","4.7")</f>
        <v>4.7</v>
      </c>
      <c r="G4461" s="4" t="str">
        <f>HYPERLINK("http://141.218.60.56/~jnz1568/getInfo.php?workbook=14_04.xlsx&amp;sheet=U0&amp;row=4461&amp;col=7&amp;number=0.00182&amp;sourceID=14","0.00182")</f>
        <v>0.00182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HYPERLINK("http://141.218.60.56/~jnz1568/getInfo.php?workbook=14_04.xlsx&amp;sheet=U0&amp;row=4462&amp;col=6&amp;number=4.8&amp;sourceID=14","4.8")</f>
        <v>4.8</v>
      </c>
      <c r="G4462" s="4" t="str">
        <f>HYPERLINK("http://141.218.60.56/~jnz1568/getInfo.php?workbook=14_04.xlsx&amp;sheet=U0&amp;row=4462&amp;col=7&amp;number=0.00182&amp;sourceID=14","0.00182")</f>
        <v>0.00182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HYPERLINK("http://141.218.60.56/~jnz1568/getInfo.php?workbook=14_04.xlsx&amp;sheet=U0&amp;row=4463&amp;col=6&amp;number=4.9&amp;sourceID=14","4.9")</f>
        <v>4.9</v>
      </c>
      <c r="G4463" s="4" t="str">
        <f>HYPERLINK("http://141.218.60.56/~jnz1568/getInfo.php?workbook=14_04.xlsx&amp;sheet=U0&amp;row=4463&amp;col=7&amp;number=0.00181&amp;sourceID=14","0.00181")</f>
        <v>0.00181</v>
      </c>
    </row>
    <row r="4464" spans="1:7">
      <c r="A4464" s="3">
        <v>14</v>
      </c>
      <c r="B4464" s="3">
        <v>4</v>
      </c>
      <c r="C4464" s="3">
        <v>3</v>
      </c>
      <c r="D4464" s="3">
        <v>25</v>
      </c>
      <c r="E4464" s="3">
        <v>1</v>
      </c>
      <c r="F4464" s="4" t="str">
        <f>HYPERLINK("http://141.218.60.56/~jnz1568/getInfo.php?workbook=14_04.xlsx&amp;sheet=U0&amp;row=4464&amp;col=6&amp;number=3&amp;sourceID=14","3")</f>
        <v>3</v>
      </c>
      <c r="G4464" s="4" t="str">
        <f>HYPERLINK("http://141.218.60.56/~jnz1568/getInfo.php?workbook=14_04.xlsx&amp;sheet=U0&amp;row=4464&amp;col=7&amp;number=0.00213&amp;sourceID=14","0.00213")</f>
        <v>0.00213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HYPERLINK("http://141.218.60.56/~jnz1568/getInfo.php?workbook=14_04.xlsx&amp;sheet=U0&amp;row=4465&amp;col=6&amp;number=3.1&amp;sourceID=14","3.1")</f>
        <v>3.1</v>
      </c>
      <c r="G4465" s="4" t="str">
        <f>HYPERLINK("http://141.218.60.56/~jnz1568/getInfo.php?workbook=14_04.xlsx&amp;sheet=U0&amp;row=4465&amp;col=7&amp;number=0.00213&amp;sourceID=14","0.00213")</f>
        <v>0.00213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HYPERLINK("http://141.218.60.56/~jnz1568/getInfo.php?workbook=14_04.xlsx&amp;sheet=U0&amp;row=4466&amp;col=6&amp;number=3.2&amp;sourceID=14","3.2")</f>
        <v>3.2</v>
      </c>
      <c r="G4466" s="4" t="str">
        <f>HYPERLINK("http://141.218.60.56/~jnz1568/getInfo.php?workbook=14_04.xlsx&amp;sheet=U0&amp;row=4466&amp;col=7&amp;number=0.00213&amp;sourceID=14","0.00213")</f>
        <v>0.00213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HYPERLINK("http://141.218.60.56/~jnz1568/getInfo.php?workbook=14_04.xlsx&amp;sheet=U0&amp;row=4467&amp;col=6&amp;number=3.3&amp;sourceID=14","3.3")</f>
        <v>3.3</v>
      </c>
      <c r="G4467" s="4" t="str">
        <f>HYPERLINK("http://141.218.60.56/~jnz1568/getInfo.php?workbook=14_04.xlsx&amp;sheet=U0&amp;row=4467&amp;col=7&amp;number=0.00213&amp;sourceID=14","0.00213")</f>
        <v>0.00213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HYPERLINK("http://141.218.60.56/~jnz1568/getInfo.php?workbook=14_04.xlsx&amp;sheet=U0&amp;row=4468&amp;col=6&amp;number=3.4&amp;sourceID=14","3.4")</f>
        <v>3.4</v>
      </c>
      <c r="G4468" s="4" t="str">
        <f>HYPERLINK("http://141.218.60.56/~jnz1568/getInfo.php?workbook=14_04.xlsx&amp;sheet=U0&amp;row=4468&amp;col=7&amp;number=0.00213&amp;sourceID=14","0.00213")</f>
        <v>0.00213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HYPERLINK("http://141.218.60.56/~jnz1568/getInfo.php?workbook=14_04.xlsx&amp;sheet=U0&amp;row=4469&amp;col=6&amp;number=3.5&amp;sourceID=14","3.5")</f>
        <v>3.5</v>
      </c>
      <c r="G4469" s="4" t="str">
        <f>HYPERLINK("http://141.218.60.56/~jnz1568/getInfo.php?workbook=14_04.xlsx&amp;sheet=U0&amp;row=4469&amp;col=7&amp;number=0.00213&amp;sourceID=14","0.00213")</f>
        <v>0.00213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HYPERLINK("http://141.218.60.56/~jnz1568/getInfo.php?workbook=14_04.xlsx&amp;sheet=U0&amp;row=4470&amp;col=6&amp;number=3.6&amp;sourceID=14","3.6")</f>
        <v>3.6</v>
      </c>
      <c r="G4470" s="4" t="str">
        <f>HYPERLINK("http://141.218.60.56/~jnz1568/getInfo.php?workbook=14_04.xlsx&amp;sheet=U0&amp;row=4470&amp;col=7&amp;number=0.00213&amp;sourceID=14","0.00213")</f>
        <v>0.00213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HYPERLINK("http://141.218.60.56/~jnz1568/getInfo.php?workbook=14_04.xlsx&amp;sheet=U0&amp;row=4471&amp;col=6&amp;number=3.7&amp;sourceID=14","3.7")</f>
        <v>3.7</v>
      </c>
      <c r="G4471" s="4" t="str">
        <f>HYPERLINK("http://141.218.60.56/~jnz1568/getInfo.php?workbook=14_04.xlsx&amp;sheet=U0&amp;row=4471&amp;col=7&amp;number=0.00213&amp;sourceID=14","0.00213")</f>
        <v>0.00213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HYPERLINK("http://141.218.60.56/~jnz1568/getInfo.php?workbook=14_04.xlsx&amp;sheet=U0&amp;row=4472&amp;col=6&amp;number=3.8&amp;sourceID=14","3.8")</f>
        <v>3.8</v>
      </c>
      <c r="G4472" s="4" t="str">
        <f>HYPERLINK("http://141.218.60.56/~jnz1568/getInfo.php?workbook=14_04.xlsx&amp;sheet=U0&amp;row=4472&amp;col=7&amp;number=0.00213&amp;sourceID=14","0.00213")</f>
        <v>0.00213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HYPERLINK("http://141.218.60.56/~jnz1568/getInfo.php?workbook=14_04.xlsx&amp;sheet=U0&amp;row=4473&amp;col=6&amp;number=3.9&amp;sourceID=14","3.9")</f>
        <v>3.9</v>
      </c>
      <c r="G4473" s="4" t="str">
        <f>HYPERLINK("http://141.218.60.56/~jnz1568/getInfo.php?workbook=14_04.xlsx&amp;sheet=U0&amp;row=4473&amp;col=7&amp;number=0.00213&amp;sourceID=14","0.00213")</f>
        <v>0.00213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HYPERLINK("http://141.218.60.56/~jnz1568/getInfo.php?workbook=14_04.xlsx&amp;sheet=U0&amp;row=4474&amp;col=6&amp;number=4&amp;sourceID=14","4")</f>
        <v>4</v>
      </c>
      <c r="G4474" s="4" t="str">
        <f>HYPERLINK("http://141.218.60.56/~jnz1568/getInfo.php?workbook=14_04.xlsx&amp;sheet=U0&amp;row=4474&amp;col=7&amp;number=0.00213&amp;sourceID=14","0.00213")</f>
        <v>0.00213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HYPERLINK("http://141.218.60.56/~jnz1568/getInfo.php?workbook=14_04.xlsx&amp;sheet=U0&amp;row=4475&amp;col=6&amp;number=4.1&amp;sourceID=14","4.1")</f>
        <v>4.1</v>
      </c>
      <c r="G4475" s="4" t="str">
        <f>HYPERLINK("http://141.218.60.56/~jnz1568/getInfo.php?workbook=14_04.xlsx&amp;sheet=U0&amp;row=4475&amp;col=7&amp;number=0.00213&amp;sourceID=14","0.00213")</f>
        <v>0.00213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HYPERLINK("http://141.218.60.56/~jnz1568/getInfo.php?workbook=14_04.xlsx&amp;sheet=U0&amp;row=4476&amp;col=6&amp;number=4.2&amp;sourceID=14","4.2")</f>
        <v>4.2</v>
      </c>
      <c r="G4476" s="4" t="str">
        <f>HYPERLINK("http://141.218.60.56/~jnz1568/getInfo.php?workbook=14_04.xlsx&amp;sheet=U0&amp;row=4476&amp;col=7&amp;number=0.00213&amp;sourceID=14","0.00213")</f>
        <v>0.00213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HYPERLINK("http://141.218.60.56/~jnz1568/getInfo.php?workbook=14_04.xlsx&amp;sheet=U0&amp;row=4477&amp;col=6&amp;number=4.3&amp;sourceID=14","4.3")</f>
        <v>4.3</v>
      </c>
      <c r="G4477" s="4" t="str">
        <f>HYPERLINK("http://141.218.60.56/~jnz1568/getInfo.php?workbook=14_04.xlsx&amp;sheet=U0&amp;row=4477&amp;col=7&amp;number=0.00213&amp;sourceID=14","0.00213")</f>
        <v>0.00213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HYPERLINK("http://141.218.60.56/~jnz1568/getInfo.php?workbook=14_04.xlsx&amp;sheet=U0&amp;row=4478&amp;col=6&amp;number=4.4&amp;sourceID=14","4.4")</f>
        <v>4.4</v>
      </c>
      <c r="G4478" s="4" t="str">
        <f>HYPERLINK("http://141.218.60.56/~jnz1568/getInfo.php?workbook=14_04.xlsx&amp;sheet=U0&amp;row=4478&amp;col=7&amp;number=0.00213&amp;sourceID=14","0.00213")</f>
        <v>0.00213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HYPERLINK("http://141.218.60.56/~jnz1568/getInfo.php?workbook=14_04.xlsx&amp;sheet=U0&amp;row=4479&amp;col=6&amp;number=4.5&amp;sourceID=14","4.5")</f>
        <v>4.5</v>
      </c>
      <c r="G4479" s="4" t="str">
        <f>HYPERLINK("http://141.218.60.56/~jnz1568/getInfo.php?workbook=14_04.xlsx&amp;sheet=U0&amp;row=4479&amp;col=7&amp;number=0.00213&amp;sourceID=14","0.00213")</f>
        <v>0.00213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HYPERLINK("http://141.218.60.56/~jnz1568/getInfo.php?workbook=14_04.xlsx&amp;sheet=U0&amp;row=4480&amp;col=6&amp;number=4.6&amp;sourceID=14","4.6")</f>
        <v>4.6</v>
      </c>
      <c r="G4480" s="4" t="str">
        <f>HYPERLINK("http://141.218.60.56/~jnz1568/getInfo.php?workbook=14_04.xlsx&amp;sheet=U0&amp;row=4480&amp;col=7&amp;number=0.00214&amp;sourceID=14","0.00214")</f>
        <v>0.00214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HYPERLINK("http://141.218.60.56/~jnz1568/getInfo.php?workbook=14_04.xlsx&amp;sheet=U0&amp;row=4481&amp;col=6&amp;number=4.7&amp;sourceID=14","4.7")</f>
        <v>4.7</v>
      </c>
      <c r="G4481" s="4" t="str">
        <f>HYPERLINK("http://141.218.60.56/~jnz1568/getInfo.php?workbook=14_04.xlsx&amp;sheet=U0&amp;row=4481&amp;col=7&amp;number=0.00214&amp;sourceID=14","0.00214")</f>
        <v>0.00214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HYPERLINK("http://141.218.60.56/~jnz1568/getInfo.php?workbook=14_04.xlsx&amp;sheet=U0&amp;row=4482&amp;col=6&amp;number=4.8&amp;sourceID=14","4.8")</f>
        <v>4.8</v>
      </c>
      <c r="G4482" s="4" t="str">
        <f>HYPERLINK("http://141.218.60.56/~jnz1568/getInfo.php?workbook=14_04.xlsx&amp;sheet=U0&amp;row=4482&amp;col=7&amp;number=0.00214&amp;sourceID=14","0.00214")</f>
        <v>0.00214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HYPERLINK("http://141.218.60.56/~jnz1568/getInfo.php?workbook=14_04.xlsx&amp;sheet=U0&amp;row=4483&amp;col=6&amp;number=4.9&amp;sourceID=14","4.9")</f>
        <v>4.9</v>
      </c>
      <c r="G4483" s="4" t="str">
        <f>HYPERLINK("http://141.218.60.56/~jnz1568/getInfo.php?workbook=14_04.xlsx&amp;sheet=U0&amp;row=4483&amp;col=7&amp;number=0.00214&amp;sourceID=14","0.00214")</f>
        <v>0.00214</v>
      </c>
    </row>
    <row r="4484" spans="1:7">
      <c r="A4484" s="3">
        <v>14</v>
      </c>
      <c r="B4484" s="3">
        <v>4</v>
      </c>
      <c r="C4484" s="3">
        <v>3</v>
      </c>
      <c r="D4484" s="3">
        <v>26</v>
      </c>
      <c r="E4484" s="3">
        <v>1</v>
      </c>
      <c r="F4484" s="4" t="str">
        <f>HYPERLINK("http://141.218.60.56/~jnz1568/getInfo.php?workbook=14_04.xlsx&amp;sheet=U0&amp;row=4484&amp;col=6&amp;number=3&amp;sourceID=14","3")</f>
        <v>3</v>
      </c>
      <c r="G4484" s="4" t="str">
        <f>HYPERLINK("http://141.218.60.56/~jnz1568/getInfo.php?workbook=14_04.xlsx&amp;sheet=U0&amp;row=4484&amp;col=7&amp;number=0.00176&amp;sourceID=14","0.00176")</f>
        <v>0.00176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HYPERLINK("http://141.218.60.56/~jnz1568/getInfo.php?workbook=14_04.xlsx&amp;sheet=U0&amp;row=4485&amp;col=6&amp;number=3.1&amp;sourceID=14","3.1")</f>
        <v>3.1</v>
      </c>
      <c r="G4485" s="4" t="str">
        <f>HYPERLINK("http://141.218.60.56/~jnz1568/getInfo.php?workbook=14_04.xlsx&amp;sheet=U0&amp;row=4485&amp;col=7&amp;number=0.00176&amp;sourceID=14","0.00176")</f>
        <v>0.00176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HYPERLINK("http://141.218.60.56/~jnz1568/getInfo.php?workbook=14_04.xlsx&amp;sheet=U0&amp;row=4486&amp;col=6&amp;number=3.2&amp;sourceID=14","3.2")</f>
        <v>3.2</v>
      </c>
      <c r="G4486" s="4" t="str">
        <f>HYPERLINK("http://141.218.60.56/~jnz1568/getInfo.php?workbook=14_04.xlsx&amp;sheet=U0&amp;row=4486&amp;col=7&amp;number=0.00176&amp;sourceID=14","0.00176")</f>
        <v>0.00176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HYPERLINK("http://141.218.60.56/~jnz1568/getInfo.php?workbook=14_04.xlsx&amp;sheet=U0&amp;row=4487&amp;col=6&amp;number=3.3&amp;sourceID=14","3.3")</f>
        <v>3.3</v>
      </c>
      <c r="G4487" s="4" t="str">
        <f>HYPERLINK("http://141.218.60.56/~jnz1568/getInfo.php?workbook=14_04.xlsx&amp;sheet=U0&amp;row=4487&amp;col=7&amp;number=0.00176&amp;sourceID=14","0.00176")</f>
        <v>0.00176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HYPERLINK("http://141.218.60.56/~jnz1568/getInfo.php?workbook=14_04.xlsx&amp;sheet=U0&amp;row=4488&amp;col=6&amp;number=3.4&amp;sourceID=14","3.4")</f>
        <v>3.4</v>
      </c>
      <c r="G4488" s="4" t="str">
        <f>HYPERLINK("http://141.218.60.56/~jnz1568/getInfo.php?workbook=14_04.xlsx&amp;sheet=U0&amp;row=4488&amp;col=7&amp;number=0.00176&amp;sourceID=14","0.00176")</f>
        <v>0.00176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HYPERLINK("http://141.218.60.56/~jnz1568/getInfo.php?workbook=14_04.xlsx&amp;sheet=U0&amp;row=4489&amp;col=6&amp;number=3.5&amp;sourceID=14","3.5")</f>
        <v>3.5</v>
      </c>
      <c r="G4489" s="4" t="str">
        <f>HYPERLINK("http://141.218.60.56/~jnz1568/getInfo.php?workbook=14_04.xlsx&amp;sheet=U0&amp;row=4489&amp;col=7&amp;number=0.00176&amp;sourceID=14","0.00176")</f>
        <v>0.00176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HYPERLINK("http://141.218.60.56/~jnz1568/getInfo.php?workbook=14_04.xlsx&amp;sheet=U0&amp;row=4490&amp;col=6&amp;number=3.6&amp;sourceID=14","3.6")</f>
        <v>3.6</v>
      </c>
      <c r="G4490" s="4" t="str">
        <f>HYPERLINK("http://141.218.60.56/~jnz1568/getInfo.php?workbook=14_04.xlsx&amp;sheet=U0&amp;row=4490&amp;col=7&amp;number=0.00176&amp;sourceID=14","0.00176")</f>
        <v>0.00176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HYPERLINK("http://141.218.60.56/~jnz1568/getInfo.php?workbook=14_04.xlsx&amp;sheet=U0&amp;row=4491&amp;col=6&amp;number=3.7&amp;sourceID=14","3.7")</f>
        <v>3.7</v>
      </c>
      <c r="G4491" s="4" t="str">
        <f>HYPERLINK("http://141.218.60.56/~jnz1568/getInfo.php?workbook=14_04.xlsx&amp;sheet=U0&amp;row=4491&amp;col=7&amp;number=0.00176&amp;sourceID=14","0.00176")</f>
        <v>0.00176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HYPERLINK("http://141.218.60.56/~jnz1568/getInfo.php?workbook=14_04.xlsx&amp;sheet=U0&amp;row=4492&amp;col=6&amp;number=3.8&amp;sourceID=14","3.8")</f>
        <v>3.8</v>
      </c>
      <c r="G4492" s="4" t="str">
        <f>HYPERLINK("http://141.218.60.56/~jnz1568/getInfo.php?workbook=14_04.xlsx&amp;sheet=U0&amp;row=4492&amp;col=7&amp;number=0.00176&amp;sourceID=14","0.00176")</f>
        <v>0.00176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HYPERLINK("http://141.218.60.56/~jnz1568/getInfo.php?workbook=14_04.xlsx&amp;sheet=U0&amp;row=4493&amp;col=6&amp;number=3.9&amp;sourceID=14","3.9")</f>
        <v>3.9</v>
      </c>
      <c r="G4493" s="4" t="str">
        <f>HYPERLINK("http://141.218.60.56/~jnz1568/getInfo.php?workbook=14_04.xlsx&amp;sheet=U0&amp;row=4493&amp;col=7&amp;number=0.00176&amp;sourceID=14","0.00176")</f>
        <v>0.00176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HYPERLINK("http://141.218.60.56/~jnz1568/getInfo.php?workbook=14_04.xlsx&amp;sheet=U0&amp;row=4494&amp;col=6&amp;number=4&amp;sourceID=14","4")</f>
        <v>4</v>
      </c>
      <c r="G4494" s="4" t="str">
        <f>HYPERLINK("http://141.218.60.56/~jnz1568/getInfo.php?workbook=14_04.xlsx&amp;sheet=U0&amp;row=4494&amp;col=7&amp;number=0.00176&amp;sourceID=14","0.00176")</f>
        <v>0.00176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HYPERLINK("http://141.218.60.56/~jnz1568/getInfo.php?workbook=14_04.xlsx&amp;sheet=U0&amp;row=4495&amp;col=6&amp;number=4.1&amp;sourceID=14","4.1")</f>
        <v>4.1</v>
      </c>
      <c r="G4495" s="4" t="str">
        <f>HYPERLINK("http://141.218.60.56/~jnz1568/getInfo.php?workbook=14_04.xlsx&amp;sheet=U0&amp;row=4495&amp;col=7&amp;number=0.00177&amp;sourceID=14","0.00177")</f>
        <v>0.00177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HYPERLINK("http://141.218.60.56/~jnz1568/getInfo.php?workbook=14_04.xlsx&amp;sheet=U0&amp;row=4496&amp;col=6&amp;number=4.2&amp;sourceID=14","4.2")</f>
        <v>4.2</v>
      </c>
      <c r="G4496" s="4" t="str">
        <f>HYPERLINK("http://141.218.60.56/~jnz1568/getInfo.php?workbook=14_04.xlsx&amp;sheet=U0&amp;row=4496&amp;col=7&amp;number=0.00177&amp;sourceID=14","0.00177")</f>
        <v>0.00177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HYPERLINK("http://141.218.60.56/~jnz1568/getInfo.php?workbook=14_04.xlsx&amp;sheet=U0&amp;row=4497&amp;col=6&amp;number=4.3&amp;sourceID=14","4.3")</f>
        <v>4.3</v>
      </c>
      <c r="G4497" s="4" t="str">
        <f>HYPERLINK("http://141.218.60.56/~jnz1568/getInfo.php?workbook=14_04.xlsx&amp;sheet=U0&amp;row=4497&amp;col=7&amp;number=0.00177&amp;sourceID=14","0.00177")</f>
        <v>0.00177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HYPERLINK("http://141.218.60.56/~jnz1568/getInfo.php?workbook=14_04.xlsx&amp;sheet=U0&amp;row=4498&amp;col=6&amp;number=4.4&amp;sourceID=14","4.4")</f>
        <v>4.4</v>
      </c>
      <c r="G4498" s="4" t="str">
        <f>HYPERLINK("http://141.218.60.56/~jnz1568/getInfo.php?workbook=14_04.xlsx&amp;sheet=U0&amp;row=4498&amp;col=7&amp;number=0.00177&amp;sourceID=14","0.00177")</f>
        <v>0.00177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HYPERLINK("http://141.218.60.56/~jnz1568/getInfo.php?workbook=14_04.xlsx&amp;sheet=U0&amp;row=4499&amp;col=6&amp;number=4.5&amp;sourceID=14","4.5")</f>
        <v>4.5</v>
      </c>
      <c r="G4499" s="4" t="str">
        <f>HYPERLINK("http://141.218.60.56/~jnz1568/getInfo.php?workbook=14_04.xlsx&amp;sheet=U0&amp;row=4499&amp;col=7&amp;number=0.00178&amp;sourceID=14","0.00178")</f>
        <v>0.00178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HYPERLINK("http://141.218.60.56/~jnz1568/getInfo.php?workbook=14_04.xlsx&amp;sheet=U0&amp;row=4500&amp;col=6&amp;number=4.6&amp;sourceID=14","4.6")</f>
        <v>4.6</v>
      </c>
      <c r="G4500" s="4" t="str">
        <f>HYPERLINK("http://141.218.60.56/~jnz1568/getInfo.php?workbook=14_04.xlsx&amp;sheet=U0&amp;row=4500&amp;col=7&amp;number=0.00178&amp;sourceID=14","0.00178")</f>
        <v>0.00178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HYPERLINK("http://141.218.60.56/~jnz1568/getInfo.php?workbook=14_04.xlsx&amp;sheet=U0&amp;row=4501&amp;col=6&amp;number=4.7&amp;sourceID=14","4.7")</f>
        <v>4.7</v>
      </c>
      <c r="G4501" s="4" t="str">
        <f>HYPERLINK("http://141.218.60.56/~jnz1568/getInfo.php?workbook=14_04.xlsx&amp;sheet=U0&amp;row=4501&amp;col=7&amp;number=0.00179&amp;sourceID=14","0.00179")</f>
        <v>0.00179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HYPERLINK("http://141.218.60.56/~jnz1568/getInfo.php?workbook=14_04.xlsx&amp;sheet=U0&amp;row=4502&amp;col=6&amp;number=4.8&amp;sourceID=14","4.8")</f>
        <v>4.8</v>
      </c>
      <c r="G4502" s="4" t="str">
        <f>HYPERLINK("http://141.218.60.56/~jnz1568/getInfo.php?workbook=14_04.xlsx&amp;sheet=U0&amp;row=4502&amp;col=7&amp;number=0.00179&amp;sourceID=14","0.00179")</f>
        <v>0.00179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HYPERLINK("http://141.218.60.56/~jnz1568/getInfo.php?workbook=14_04.xlsx&amp;sheet=U0&amp;row=4503&amp;col=6&amp;number=4.9&amp;sourceID=14","4.9")</f>
        <v>4.9</v>
      </c>
      <c r="G4503" s="4" t="str">
        <f>HYPERLINK("http://141.218.60.56/~jnz1568/getInfo.php?workbook=14_04.xlsx&amp;sheet=U0&amp;row=4503&amp;col=7&amp;number=0.0018&amp;sourceID=14","0.0018")</f>
        <v>0.0018</v>
      </c>
    </row>
    <row r="4504" spans="1:7">
      <c r="A4504" s="3">
        <v>14</v>
      </c>
      <c r="B4504" s="3">
        <v>4</v>
      </c>
      <c r="C4504" s="3">
        <v>3</v>
      </c>
      <c r="D4504" s="3">
        <v>27</v>
      </c>
      <c r="E4504" s="3">
        <v>1</v>
      </c>
      <c r="F4504" s="4" t="str">
        <f>HYPERLINK("http://141.218.60.56/~jnz1568/getInfo.php?workbook=14_04.xlsx&amp;sheet=U0&amp;row=4504&amp;col=6&amp;number=3&amp;sourceID=14","3")</f>
        <v>3</v>
      </c>
      <c r="G4504" s="4" t="str">
        <f>HYPERLINK("http://141.218.60.56/~jnz1568/getInfo.php?workbook=14_04.xlsx&amp;sheet=U0&amp;row=4504&amp;col=7&amp;number=0.00265&amp;sourceID=14","0.00265")</f>
        <v>0.00265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HYPERLINK("http://141.218.60.56/~jnz1568/getInfo.php?workbook=14_04.xlsx&amp;sheet=U0&amp;row=4505&amp;col=6&amp;number=3.1&amp;sourceID=14","3.1")</f>
        <v>3.1</v>
      </c>
      <c r="G4505" s="4" t="str">
        <f>HYPERLINK("http://141.218.60.56/~jnz1568/getInfo.php?workbook=14_04.xlsx&amp;sheet=U0&amp;row=4505&amp;col=7&amp;number=0.00265&amp;sourceID=14","0.00265")</f>
        <v>0.00265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HYPERLINK("http://141.218.60.56/~jnz1568/getInfo.php?workbook=14_04.xlsx&amp;sheet=U0&amp;row=4506&amp;col=6&amp;number=3.2&amp;sourceID=14","3.2")</f>
        <v>3.2</v>
      </c>
      <c r="G4506" s="4" t="str">
        <f>HYPERLINK("http://141.218.60.56/~jnz1568/getInfo.php?workbook=14_04.xlsx&amp;sheet=U0&amp;row=4506&amp;col=7&amp;number=0.00265&amp;sourceID=14","0.00265")</f>
        <v>0.00265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HYPERLINK("http://141.218.60.56/~jnz1568/getInfo.php?workbook=14_04.xlsx&amp;sheet=U0&amp;row=4507&amp;col=6&amp;number=3.3&amp;sourceID=14","3.3")</f>
        <v>3.3</v>
      </c>
      <c r="G4507" s="4" t="str">
        <f>HYPERLINK("http://141.218.60.56/~jnz1568/getInfo.php?workbook=14_04.xlsx&amp;sheet=U0&amp;row=4507&amp;col=7&amp;number=0.00265&amp;sourceID=14","0.00265")</f>
        <v>0.00265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HYPERLINK("http://141.218.60.56/~jnz1568/getInfo.php?workbook=14_04.xlsx&amp;sheet=U0&amp;row=4508&amp;col=6&amp;number=3.4&amp;sourceID=14","3.4")</f>
        <v>3.4</v>
      </c>
      <c r="G4508" s="4" t="str">
        <f>HYPERLINK("http://141.218.60.56/~jnz1568/getInfo.php?workbook=14_04.xlsx&amp;sheet=U0&amp;row=4508&amp;col=7&amp;number=0.00265&amp;sourceID=14","0.00265")</f>
        <v>0.00265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HYPERLINK("http://141.218.60.56/~jnz1568/getInfo.php?workbook=14_04.xlsx&amp;sheet=U0&amp;row=4509&amp;col=6&amp;number=3.5&amp;sourceID=14","3.5")</f>
        <v>3.5</v>
      </c>
      <c r="G4509" s="4" t="str">
        <f>HYPERLINK("http://141.218.60.56/~jnz1568/getInfo.php?workbook=14_04.xlsx&amp;sheet=U0&amp;row=4509&amp;col=7&amp;number=0.00266&amp;sourceID=14","0.00266")</f>
        <v>0.00266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HYPERLINK("http://141.218.60.56/~jnz1568/getInfo.php?workbook=14_04.xlsx&amp;sheet=U0&amp;row=4510&amp;col=6&amp;number=3.6&amp;sourceID=14","3.6")</f>
        <v>3.6</v>
      </c>
      <c r="G4510" s="4" t="str">
        <f>HYPERLINK("http://141.218.60.56/~jnz1568/getInfo.php?workbook=14_04.xlsx&amp;sheet=U0&amp;row=4510&amp;col=7&amp;number=0.00266&amp;sourceID=14","0.00266")</f>
        <v>0.00266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HYPERLINK("http://141.218.60.56/~jnz1568/getInfo.php?workbook=14_04.xlsx&amp;sheet=U0&amp;row=4511&amp;col=6&amp;number=3.7&amp;sourceID=14","3.7")</f>
        <v>3.7</v>
      </c>
      <c r="G4511" s="4" t="str">
        <f>HYPERLINK("http://141.218.60.56/~jnz1568/getInfo.php?workbook=14_04.xlsx&amp;sheet=U0&amp;row=4511&amp;col=7&amp;number=0.00266&amp;sourceID=14","0.00266")</f>
        <v>0.00266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HYPERLINK("http://141.218.60.56/~jnz1568/getInfo.php?workbook=14_04.xlsx&amp;sheet=U0&amp;row=4512&amp;col=6&amp;number=3.8&amp;sourceID=14","3.8")</f>
        <v>3.8</v>
      </c>
      <c r="G4512" s="4" t="str">
        <f>HYPERLINK("http://141.218.60.56/~jnz1568/getInfo.php?workbook=14_04.xlsx&amp;sheet=U0&amp;row=4512&amp;col=7&amp;number=0.00267&amp;sourceID=14","0.00267")</f>
        <v>0.00267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HYPERLINK("http://141.218.60.56/~jnz1568/getInfo.php?workbook=14_04.xlsx&amp;sheet=U0&amp;row=4513&amp;col=6&amp;number=3.9&amp;sourceID=14","3.9")</f>
        <v>3.9</v>
      </c>
      <c r="G4513" s="4" t="str">
        <f>HYPERLINK("http://141.218.60.56/~jnz1568/getInfo.php?workbook=14_04.xlsx&amp;sheet=U0&amp;row=4513&amp;col=7&amp;number=0.00268&amp;sourceID=14","0.00268")</f>
        <v>0.00268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HYPERLINK("http://141.218.60.56/~jnz1568/getInfo.php?workbook=14_04.xlsx&amp;sheet=U0&amp;row=4514&amp;col=6&amp;number=4&amp;sourceID=14","4")</f>
        <v>4</v>
      </c>
      <c r="G4514" s="4" t="str">
        <f>HYPERLINK("http://141.218.60.56/~jnz1568/getInfo.php?workbook=14_04.xlsx&amp;sheet=U0&amp;row=4514&amp;col=7&amp;number=0.00269&amp;sourceID=14","0.00269")</f>
        <v>0.00269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HYPERLINK("http://141.218.60.56/~jnz1568/getInfo.php?workbook=14_04.xlsx&amp;sheet=U0&amp;row=4515&amp;col=6&amp;number=4.1&amp;sourceID=14","4.1")</f>
        <v>4.1</v>
      </c>
      <c r="G4515" s="4" t="str">
        <f>HYPERLINK("http://141.218.60.56/~jnz1568/getInfo.php?workbook=14_04.xlsx&amp;sheet=U0&amp;row=4515&amp;col=7&amp;number=0.0027&amp;sourceID=14","0.0027")</f>
        <v>0.0027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HYPERLINK("http://141.218.60.56/~jnz1568/getInfo.php?workbook=14_04.xlsx&amp;sheet=U0&amp;row=4516&amp;col=6&amp;number=4.2&amp;sourceID=14","4.2")</f>
        <v>4.2</v>
      </c>
      <c r="G4516" s="4" t="str">
        <f>HYPERLINK("http://141.218.60.56/~jnz1568/getInfo.php?workbook=14_04.xlsx&amp;sheet=U0&amp;row=4516&amp;col=7&amp;number=0.00271&amp;sourceID=14","0.00271")</f>
        <v>0.00271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HYPERLINK("http://141.218.60.56/~jnz1568/getInfo.php?workbook=14_04.xlsx&amp;sheet=U0&amp;row=4517&amp;col=6&amp;number=4.3&amp;sourceID=14","4.3")</f>
        <v>4.3</v>
      </c>
      <c r="G4517" s="4" t="str">
        <f>HYPERLINK("http://141.218.60.56/~jnz1568/getInfo.php?workbook=14_04.xlsx&amp;sheet=U0&amp;row=4517&amp;col=7&amp;number=0.00273&amp;sourceID=14","0.00273")</f>
        <v>0.00273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HYPERLINK("http://141.218.60.56/~jnz1568/getInfo.php?workbook=14_04.xlsx&amp;sheet=U0&amp;row=4518&amp;col=6&amp;number=4.4&amp;sourceID=14","4.4")</f>
        <v>4.4</v>
      </c>
      <c r="G4518" s="4" t="str">
        <f>HYPERLINK("http://141.218.60.56/~jnz1568/getInfo.php?workbook=14_04.xlsx&amp;sheet=U0&amp;row=4518&amp;col=7&amp;number=0.00275&amp;sourceID=14","0.00275")</f>
        <v>0.00275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HYPERLINK("http://141.218.60.56/~jnz1568/getInfo.php?workbook=14_04.xlsx&amp;sheet=U0&amp;row=4519&amp;col=6&amp;number=4.5&amp;sourceID=14","4.5")</f>
        <v>4.5</v>
      </c>
      <c r="G4519" s="4" t="str">
        <f>HYPERLINK("http://141.218.60.56/~jnz1568/getInfo.php?workbook=14_04.xlsx&amp;sheet=U0&amp;row=4519&amp;col=7&amp;number=0.00278&amp;sourceID=14","0.00278")</f>
        <v>0.00278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HYPERLINK("http://141.218.60.56/~jnz1568/getInfo.php?workbook=14_04.xlsx&amp;sheet=U0&amp;row=4520&amp;col=6&amp;number=4.6&amp;sourceID=14","4.6")</f>
        <v>4.6</v>
      </c>
      <c r="G4520" s="4" t="str">
        <f>HYPERLINK("http://141.218.60.56/~jnz1568/getInfo.php?workbook=14_04.xlsx&amp;sheet=U0&amp;row=4520&amp;col=7&amp;number=0.00281&amp;sourceID=14","0.00281")</f>
        <v>0.00281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HYPERLINK("http://141.218.60.56/~jnz1568/getInfo.php?workbook=14_04.xlsx&amp;sheet=U0&amp;row=4521&amp;col=6&amp;number=4.7&amp;sourceID=14","4.7")</f>
        <v>4.7</v>
      </c>
      <c r="G4521" s="4" t="str">
        <f>HYPERLINK("http://141.218.60.56/~jnz1568/getInfo.php?workbook=14_04.xlsx&amp;sheet=U0&amp;row=4521&amp;col=7&amp;number=0.00286&amp;sourceID=14","0.00286")</f>
        <v>0.00286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HYPERLINK("http://141.218.60.56/~jnz1568/getInfo.php?workbook=14_04.xlsx&amp;sheet=U0&amp;row=4522&amp;col=6&amp;number=4.8&amp;sourceID=14","4.8")</f>
        <v>4.8</v>
      </c>
      <c r="G4522" s="4" t="str">
        <f>HYPERLINK("http://141.218.60.56/~jnz1568/getInfo.php?workbook=14_04.xlsx&amp;sheet=U0&amp;row=4522&amp;col=7&amp;number=0.00291&amp;sourceID=14","0.00291")</f>
        <v>0.00291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HYPERLINK("http://141.218.60.56/~jnz1568/getInfo.php?workbook=14_04.xlsx&amp;sheet=U0&amp;row=4523&amp;col=6&amp;number=4.9&amp;sourceID=14","4.9")</f>
        <v>4.9</v>
      </c>
      <c r="G4523" s="4" t="str">
        <f>HYPERLINK("http://141.218.60.56/~jnz1568/getInfo.php?workbook=14_04.xlsx&amp;sheet=U0&amp;row=4523&amp;col=7&amp;number=0.00298&amp;sourceID=14","0.00298")</f>
        <v>0.00298</v>
      </c>
    </row>
    <row r="4524" spans="1:7">
      <c r="A4524" s="3">
        <v>14</v>
      </c>
      <c r="B4524" s="3">
        <v>4</v>
      </c>
      <c r="C4524" s="3">
        <v>3</v>
      </c>
      <c r="D4524" s="3">
        <v>28</v>
      </c>
      <c r="E4524" s="3">
        <v>1</v>
      </c>
      <c r="F4524" s="4" t="str">
        <f>HYPERLINK("http://141.218.60.56/~jnz1568/getInfo.php?workbook=14_04.xlsx&amp;sheet=U0&amp;row=4524&amp;col=6&amp;number=3&amp;sourceID=14","3")</f>
        <v>3</v>
      </c>
      <c r="G4524" s="4" t="str">
        <f>HYPERLINK("http://141.218.60.56/~jnz1568/getInfo.php?workbook=14_04.xlsx&amp;sheet=U0&amp;row=4524&amp;col=7&amp;number=0.00168&amp;sourceID=14","0.00168")</f>
        <v>0.00168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HYPERLINK("http://141.218.60.56/~jnz1568/getInfo.php?workbook=14_04.xlsx&amp;sheet=U0&amp;row=4525&amp;col=6&amp;number=3.1&amp;sourceID=14","3.1")</f>
        <v>3.1</v>
      </c>
      <c r="G4525" s="4" t="str">
        <f>HYPERLINK("http://141.218.60.56/~jnz1568/getInfo.php?workbook=14_04.xlsx&amp;sheet=U0&amp;row=4525&amp;col=7&amp;number=0.00168&amp;sourceID=14","0.00168")</f>
        <v>0.00168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HYPERLINK("http://141.218.60.56/~jnz1568/getInfo.php?workbook=14_04.xlsx&amp;sheet=U0&amp;row=4526&amp;col=6&amp;number=3.2&amp;sourceID=14","3.2")</f>
        <v>3.2</v>
      </c>
      <c r="G4526" s="4" t="str">
        <f>HYPERLINK("http://141.218.60.56/~jnz1568/getInfo.php?workbook=14_04.xlsx&amp;sheet=U0&amp;row=4526&amp;col=7&amp;number=0.00168&amp;sourceID=14","0.00168")</f>
        <v>0.00168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HYPERLINK("http://141.218.60.56/~jnz1568/getInfo.php?workbook=14_04.xlsx&amp;sheet=U0&amp;row=4527&amp;col=6&amp;number=3.3&amp;sourceID=14","3.3")</f>
        <v>3.3</v>
      </c>
      <c r="G4527" s="4" t="str">
        <f>HYPERLINK("http://141.218.60.56/~jnz1568/getInfo.php?workbook=14_04.xlsx&amp;sheet=U0&amp;row=4527&amp;col=7&amp;number=0.00168&amp;sourceID=14","0.00168")</f>
        <v>0.00168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HYPERLINK("http://141.218.60.56/~jnz1568/getInfo.php?workbook=14_04.xlsx&amp;sheet=U0&amp;row=4528&amp;col=6&amp;number=3.4&amp;sourceID=14","3.4")</f>
        <v>3.4</v>
      </c>
      <c r="G4528" s="4" t="str">
        <f>HYPERLINK("http://141.218.60.56/~jnz1568/getInfo.php?workbook=14_04.xlsx&amp;sheet=U0&amp;row=4528&amp;col=7&amp;number=0.00168&amp;sourceID=14","0.00168")</f>
        <v>0.00168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HYPERLINK("http://141.218.60.56/~jnz1568/getInfo.php?workbook=14_04.xlsx&amp;sheet=U0&amp;row=4529&amp;col=6&amp;number=3.5&amp;sourceID=14","3.5")</f>
        <v>3.5</v>
      </c>
      <c r="G4529" s="4" t="str">
        <f>HYPERLINK("http://141.218.60.56/~jnz1568/getInfo.php?workbook=14_04.xlsx&amp;sheet=U0&amp;row=4529&amp;col=7&amp;number=0.00168&amp;sourceID=14","0.00168")</f>
        <v>0.00168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HYPERLINK("http://141.218.60.56/~jnz1568/getInfo.php?workbook=14_04.xlsx&amp;sheet=U0&amp;row=4530&amp;col=6&amp;number=3.6&amp;sourceID=14","3.6")</f>
        <v>3.6</v>
      </c>
      <c r="G4530" s="4" t="str">
        <f>HYPERLINK("http://141.218.60.56/~jnz1568/getInfo.php?workbook=14_04.xlsx&amp;sheet=U0&amp;row=4530&amp;col=7&amp;number=0.00168&amp;sourceID=14","0.00168")</f>
        <v>0.00168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HYPERLINK("http://141.218.60.56/~jnz1568/getInfo.php?workbook=14_04.xlsx&amp;sheet=U0&amp;row=4531&amp;col=6&amp;number=3.7&amp;sourceID=14","3.7")</f>
        <v>3.7</v>
      </c>
      <c r="G4531" s="4" t="str">
        <f>HYPERLINK("http://141.218.60.56/~jnz1568/getInfo.php?workbook=14_04.xlsx&amp;sheet=U0&amp;row=4531&amp;col=7&amp;number=0.00168&amp;sourceID=14","0.00168")</f>
        <v>0.00168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HYPERLINK("http://141.218.60.56/~jnz1568/getInfo.php?workbook=14_04.xlsx&amp;sheet=U0&amp;row=4532&amp;col=6&amp;number=3.8&amp;sourceID=14","3.8")</f>
        <v>3.8</v>
      </c>
      <c r="G4532" s="4" t="str">
        <f>HYPERLINK("http://141.218.60.56/~jnz1568/getInfo.php?workbook=14_04.xlsx&amp;sheet=U0&amp;row=4532&amp;col=7&amp;number=0.00168&amp;sourceID=14","0.00168")</f>
        <v>0.00168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HYPERLINK("http://141.218.60.56/~jnz1568/getInfo.php?workbook=14_04.xlsx&amp;sheet=U0&amp;row=4533&amp;col=6&amp;number=3.9&amp;sourceID=14","3.9")</f>
        <v>3.9</v>
      </c>
      <c r="G4533" s="4" t="str">
        <f>HYPERLINK("http://141.218.60.56/~jnz1568/getInfo.php?workbook=14_04.xlsx&amp;sheet=U0&amp;row=4533&amp;col=7&amp;number=0.00168&amp;sourceID=14","0.00168")</f>
        <v>0.00168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HYPERLINK("http://141.218.60.56/~jnz1568/getInfo.php?workbook=14_04.xlsx&amp;sheet=U0&amp;row=4534&amp;col=6&amp;number=4&amp;sourceID=14","4")</f>
        <v>4</v>
      </c>
      <c r="G4534" s="4" t="str">
        <f>HYPERLINK("http://141.218.60.56/~jnz1568/getInfo.php?workbook=14_04.xlsx&amp;sheet=U0&amp;row=4534&amp;col=7&amp;number=0.00168&amp;sourceID=14","0.00168")</f>
        <v>0.00168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HYPERLINK("http://141.218.60.56/~jnz1568/getInfo.php?workbook=14_04.xlsx&amp;sheet=U0&amp;row=4535&amp;col=6&amp;number=4.1&amp;sourceID=14","4.1")</f>
        <v>4.1</v>
      </c>
      <c r="G4535" s="4" t="str">
        <f>HYPERLINK("http://141.218.60.56/~jnz1568/getInfo.php?workbook=14_04.xlsx&amp;sheet=U0&amp;row=4535&amp;col=7&amp;number=0.00168&amp;sourceID=14","0.00168")</f>
        <v>0.00168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HYPERLINK("http://141.218.60.56/~jnz1568/getInfo.php?workbook=14_04.xlsx&amp;sheet=U0&amp;row=4536&amp;col=6&amp;number=4.2&amp;sourceID=14","4.2")</f>
        <v>4.2</v>
      </c>
      <c r="G4536" s="4" t="str">
        <f>HYPERLINK("http://141.218.60.56/~jnz1568/getInfo.php?workbook=14_04.xlsx&amp;sheet=U0&amp;row=4536&amp;col=7&amp;number=0.00168&amp;sourceID=14","0.00168")</f>
        <v>0.00168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HYPERLINK("http://141.218.60.56/~jnz1568/getInfo.php?workbook=14_04.xlsx&amp;sheet=U0&amp;row=4537&amp;col=6&amp;number=4.3&amp;sourceID=14","4.3")</f>
        <v>4.3</v>
      </c>
      <c r="G4537" s="4" t="str">
        <f>HYPERLINK("http://141.218.60.56/~jnz1568/getInfo.php?workbook=14_04.xlsx&amp;sheet=U0&amp;row=4537&amp;col=7&amp;number=0.00168&amp;sourceID=14","0.00168")</f>
        <v>0.00168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HYPERLINK("http://141.218.60.56/~jnz1568/getInfo.php?workbook=14_04.xlsx&amp;sheet=U0&amp;row=4538&amp;col=6&amp;number=4.4&amp;sourceID=14","4.4")</f>
        <v>4.4</v>
      </c>
      <c r="G4538" s="4" t="str">
        <f>HYPERLINK("http://141.218.60.56/~jnz1568/getInfo.php?workbook=14_04.xlsx&amp;sheet=U0&amp;row=4538&amp;col=7&amp;number=0.00168&amp;sourceID=14","0.00168")</f>
        <v>0.00168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HYPERLINK("http://141.218.60.56/~jnz1568/getInfo.php?workbook=14_04.xlsx&amp;sheet=U0&amp;row=4539&amp;col=6&amp;number=4.5&amp;sourceID=14","4.5")</f>
        <v>4.5</v>
      </c>
      <c r="G4539" s="4" t="str">
        <f>HYPERLINK("http://141.218.60.56/~jnz1568/getInfo.php?workbook=14_04.xlsx&amp;sheet=U0&amp;row=4539&amp;col=7&amp;number=0.00168&amp;sourceID=14","0.00168")</f>
        <v>0.00168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HYPERLINK("http://141.218.60.56/~jnz1568/getInfo.php?workbook=14_04.xlsx&amp;sheet=U0&amp;row=4540&amp;col=6&amp;number=4.6&amp;sourceID=14","4.6")</f>
        <v>4.6</v>
      </c>
      <c r="G4540" s="4" t="str">
        <f>HYPERLINK("http://141.218.60.56/~jnz1568/getInfo.php?workbook=14_04.xlsx&amp;sheet=U0&amp;row=4540&amp;col=7&amp;number=0.00167&amp;sourceID=14","0.00167")</f>
        <v>0.00167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HYPERLINK("http://141.218.60.56/~jnz1568/getInfo.php?workbook=14_04.xlsx&amp;sheet=U0&amp;row=4541&amp;col=6&amp;number=4.7&amp;sourceID=14","4.7")</f>
        <v>4.7</v>
      </c>
      <c r="G4541" s="4" t="str">
        <f>HYPERLINK("http://141.218.60.56/~jnz1568/getInfo.php?workbook=14_04.xlsx&amp;sheet=U0&amp;row=4541&amp;col=7&amp;number=0.00167&amp;sourceID=14","0.00167")</f>
        <v>0.00167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HYPERLINK("http://141.218.60.56/~jnz1568/getInfo.php?workbook=14_04.xlsx&amp;sheet=U0&amp;row=4542&amp;col=6&amp;number=4.8&amp;sourceID=14","4.8")</f>
        <v>4.8</v>
      </c>
      <c r="G4542" s="4" t="str">
        <f>HYPERLINK("http://141.218.60.56/~jnz1568/getInfo.php?workbook=14_04.xlsx&amp;sheet=U0&amp;row=4542&amp;col=7&amp;number=0.00167&amp;sourceID=14","0.00167")</f>
        <v>0.00167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HYPERLINK("http://141.218.60.56/~jnz1568/getInfo.php?workbook=14_04.xlsx&amp;sheet=U0&amp;row=4543&amp;col=6&amp;number=4.9&amp;sourceID=14","4.9")</f>
        <v>4.9</v>
      </c>
      <c r="G4543" s="4" t="str">
        <f>HYPERLINK("http://141.218.60.56/~jnz1568/getInfo.php?workbook=14_04.xlsx&amp;sheet=U0&amp;row=4543&amp;col=7&amp;number=0.00167&amp;sourceID=14","0.00167")</f>
        <v>0.00167</v>
      </c>
    </row>
    <row r="4544" spans="1:7">
      <c r="A4544" s="3">
        <v>14</v>
      </c>
      <c r="B4544" s="3">
        <v>4</v>
      </c>
      <c r="C4544" s="3">
        <v>3</v>
      </c>
      <c r="D4544" s="3">
        <v>29</v>
      </c>
      <c r="E4544" s="3">
        <v>1</v>
      </c>
      <c r="F4544" s="4" t="str">
        <f>HYPERLINK("http://141.218.60.56/~jnz1568/getInfo.php?workbook=14_04.xlsx&amp;sheet=U0&amp;row=4544&amp;col=6&amp;number=3&amp;sourceID=14","3")</f>
        <v>3</v>
      </c>
      <c r="G4544" s="4" t="str">
        <f>HYPERLINK("http://141.218.60.56/~jnz1568/getInfo.php?workbook=14_04.xlsx&amp;sheet=U0&amp;row=4544&amp;col=7&amp;number=0.00357&amp;sourceID=14","0.00357")</f>
        <v>0.00357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HYPERLINK("http://141.218.60.56/~jnz1568/getInfo.php?workbook=14_04.xlsx&amp;sheet=U0&amp;row=4545&amp;col=6&amp;number=3.1&amp;sourceID=14","3.1")</f>
        <v>3.1</v>
      </c>
      <c r="G4545" s="4" t="str">
        <f>HYPERLINK("http://141.218.60.56/~jnz1568/getInfo.php?workbook=14_04.xlsx&amp;sheet=U0&amp;row=4545&amp;col=7&amp;number=0.00357&amp;sourceID=14","0.00357")</f>
        <v>0.00357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HYPERLINK("http://141.218.60.56/~jnz1568/getInfo.php?workbook=14_04.xlsx&amp;sheet=U0&amp;row=4546&amp;col=6&amp;number=3.2&amp;sourceID=14","3.2")</f>
        <v>3.2</v>
      </c>
      <c r="G4546" s="4" t="str">
        <f>HYPERLINK("http://141.218.60.56/~jnz1568/getInfo.php?workbook=14_04.xlsx&amp;sheet=U0&amp;row=4546&amp;col=7&amp;number=0.00357&amp;sourceID=14","0.00357")</f>
        <v>0.00357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HYPERLINK("http://141.218.60.56/~jnz1568/getInfo.php?workbook=14_04.xlsx&amp;sheet=U0&amp;row=4547&amp;col=6&amp;number=3.3&amp;sourceID=14","3.3")</f>
        <v>3.3</v>
      </c>
      <c r="G4547" s="4" t="str">
        <f>HYPERLINK("http://141.218.60.56/~jnz1568/getInfo.php?workbook=14_04.xlsx&amp;sheet=U0&amp;row=4547&amp;col=7&amp;number=0.00357&amp;sourceID=14","0.00357")</f>
        <v>0.00357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HYPERLINK("http://141.218.60.56/~jnz1568/getInfo.php?workbook=14_04.xlsx&amp;sheet=U0&amp;row=4548&amp;col=6&amp;number=3.4&amp;sourceID=14","3.4")</f>
        <v>3.4</v>
      </c>
      <c r="G4548" s="4" t="str">
        <f>HYPERLINK("http://141.218.60.56/~jnz1568/getInfo.php?workbook=14_04.xlsx&amp;sheet=U0&amp;row=4548&amp;col=7&amp;number=0.00357&amp;sourceID=14","0.00357")</f>
        <v>0.00357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HYPERLINK("http://141.218.60.56/~jnz1568/getInfo.php?workbook=14_04.xlsx&amp;sheet=U0&amp;row=4549&amp;col=6&amp;number=3.5&amp;sourceID=14","3.5")</f>
        <v>3.5</v>
      </c>
      <c r="G4549" s="4" t="str">
        <f>HYPERLINK("http://141.218.60.56/~jnz1568/getInfo.php?workbook=14_04.xlsx&amp;sheet=U0&amp;row=4549&amp;col=7&amp;number=0.00357&amp;sourceID=14","0.00357")</f>
        <v>0.00357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HYPERLINK("http://141.218.60.56/~jnz1568/getInfo.php?workbook=14_04.xlsx&amp;sheet=U0&amp;row=4550&amp;col=6&amp;number=3.6&amp;sourceID=14","3.6")</f>
        <v>3.6</v>
      </c>
      <c r="G4550" s="4" t="str">
        <f>HYPERLINK("http://141.218.60.56/~jnz1568/getInfo.php?workbook=14_04.xlsx&amp;sheet=U0&amp;row=4550&amp;col=7&amp;number=0.00358&amp;sourceID=14","0.00358")</f>
        <v>0.00358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HYPERLINK("http://141.218.60.56/~jnz1568/getInfo.php?workbook=14_04.xlsx&amp;sheet=U0&amp;row=4551&amp;col=6&amp;number=3.7&amp;sourceID=14","3.7")</f>
        <v>3.7</v>
      </c>
      <c r="G4551" s="4" t="str">
        <f>HYPERLINK("http://141.218.60.56/~jnz1568/getInfo.php?workbook=14_04.xlsx&amp;sheet=U0&amp;row=4551&amp;col=7&amp;number=0.00358&amp;sourceID=14","0.00358")</f>
        <v>0.00358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HYPERLINK("http://141.218.60.56/~jnz1568/getInfo.php?workbook=14_04.xlsx&amp;sheet=U0&amp;row=4552&amp;col=6&amp;number=3.8&amp;sourceID=14","3.8")</f>
        <v>3.8</v>
      </c>
      <c r="G4552" s="4" t="str">
        <f>HYPERLINK("http://141.218.60.56/~jnz1568/getInfo.php?workbook=14_04.xlsx&amp;sheet=U0&amp;row=4552&amp;col=7&amp;number=0.00358&amp;sourceID=14","0.00358")</f>
        <v>0.00358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HYPERLINK("http://141.218.60.56/~jnz1568/getInfo.php?workbook=14_04.xlsx&amp;sheet=U0&amp;row=4553&amp;col=6&amp;number=3.9&amp;sourceID=14","3.9")</f>
        <v>3.9</v>
      </c>
      <c r="G4553" s="4" t="str">
        <f>HYPERLINK("http://141.218.60.56/~jnz1568/getInfo.php?workbook=14_04.xlsx&amp;sheet=U0&amp;row=4553&amp;col=7&amp;number=0.00359&amp;sourceID=14","0.00359")</f>
        <v>0.00359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HYPERLINK("http://141.218.60.56/~jnz1568/getInfo.php?workbook=14_04.xlsx&amp;sheet=U0&amp;row=4554&amp;col=6&amp;number=4&amp;sourceID=14","4")</f>
        <v>4</v>
      </c>
      <c r="G4554" s="4" t="str">
        <f>HYPERLINK("http://141.218.60.56/~jnz1568/getInfo.php?workbook=14_04.xlsx&amp;sheet=U0&amp;row=4554&amp;col=7&amp;number=0.00359&amp;sourceID=14","0.00359")</f>
        <v>0.00359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HYPERLINK("http://141.218.60.56/~jnz1568/getInfo.php?workbook=14_04.xlsx&amp;sheet=U0&amp;row=4555&amp;col=6&amp;number=4.1&amp;sourceID=14","4.1")</f>
        <v>4.1</v>
      </c>
      <c r="G4555" s="4" t="str">
        <f>HYPERLINK("http://141.218.60.56/~jnz1568/getInfo.php?workbook=14_04.xlsx&amp;sheet=U0&amp;row=4555&amp;col=7&amp;number=0.0036&amp;sourceID=14","0.0036")</f>
        <v>0.0036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HYPERLINK("http://141.218.60.56/~jnz1568/getInfo.php?workbook=14_04.xlsx&amp;sheet=U0&amp;row=4556&amp;col=6&amp;number=4.2&amp;sourceID=14","4.2")</f>
        <v>4.2</v>
      </c>
      <c r="G4556" s="4" t="str">
        <f>HYPERLINK("http://141.218.60.56/~jnz1568/getInfo.php?workbook=14_04.xlsx&amp;sheet=U0&amp;row=4556&amp;col=7&amp;number=0.00361&amp;sourceID=14","0.00361")</f>
        <v>0.00361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HYPERLINK("http://141.218.60.56/~jnz1568/getInfo.php?workbook=14_04.xlsx&amp;sheet=U0&amp;row=4557&amp;col=6&amp;number=4.3&amp;sourceID=14","4.3")</f>
        <v>4.3</v>
      </c>
      <c r="G4557" s="4" t="str">
        <f>HYPERLINK("http://141.218.60.56/~jnz1568/getInfo.php?workbook=14_04.xlsx&amp;sheet=U0&amp;row=4557&amp;col=7&amp;number=0.00362&amp;sourceID=14","0.00362")</f>
        <v>0.00362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HYPERLINK("http://141.218.60.56/~jnz1568/getInfo.php?workbook=14_04.xlsx&amp;sheet=U0&amp;row=4558&amp;col=6&amp;number=4.4&amp;sourceID=14","4.4")</f>
        <v>4.4</v>
      </c>
      <c r="G4558" s="4" t="str">
        <f>HYPERLINK("http://141.218.60.56/~jnz1568/getInfo.php?workbook=14_04.xlsx&amp;sheet=U0&amp;row=4558&amp;col=7&amp;number=0.00363&amp;sourceID=14","0.00363")</f>
        <v>0.00363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HYPERLINK("http://141.218.60.56/~jnz1568/getInfo.php?workbook=14_04.xlsx&amp;sheet=U0&amp;row=4559&amp;col=6&amp;number=4.5&amp;sourceID=14","4.5")</f>
        <v>4.5</v>
      </c>
      <c r="G4559" s="4" t="str">
        <f>HYPERLINK("http://141.218.60.56/~jnz1568/getInfo.php?workbook=14_04.xlsx&amp;sheet=U0&amp;row=4559&amp;col=7&amp;number=0.00364&amp;sourceID=14","0.00364")</f>
        <v>0.00364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HYPERLINK("http://141.218.60.56/~jnz1568/getInfo.php?workbook=14_04.xlsx&amp;sheet=U0&amp;row=4560&amp;col=6&amp;number=4.6&amp;sourceID=14","4.6")</f>
        <v>4.6</v>
      </c>
      <c r="G4560" s="4" t="str">
        <f>HYPERLINK("http://141.218.60.56/~jnz1568/getInfo.php?workbook=14_04.xlsx&amp;sheet=U0&amp;row=4560&amp;col=7&amp;number=0.00366&amp;sourceID=14","0.00366")</f>
        <v>0.00366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HYPERLINK("http://141.218.60.56/~jnz1568/getInfo.php?workbook=14_04.xlsx&amp;sheet=U0&amp;row=4561&amp;col=6&amp;number=4.7&amp;sourceID=14","4.7")</f>
        <v>4.7</v>
      </c>
      <c r="G4561" s="4" t="str">
        <f>HYPERLINK("http://141.218.60.56/~jnz1568/getInfo.php?workbook=14_04.xlsx&amp;sheet=U0&amp;row=4561&amp;col=7&amp;number=0.00369&amp;sourceID=14","0.00369")</f>
        <v>0.00369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HYPERLINK("http://141.218.60.56/~jnz1568/getInfo.php?workbook=14_04.xlsx&amp;sheet=U0&amp;row=4562&amp;col=6&amp;number=4.8&amp;sourceID=14","4.8")</f>
        <v>4.8</v>
      </c>
      <c r="G4562" s="4" t="str">
        <f>HYPERLINK("http://141.218.60.56/~jnz1568/getInfo.php?workbook=14_04.xlsx&amp;sheet=U0&amp;row=4562&amp;col=7&amp;number=0.00372&amp;sourceID=14","0.00372")</f>
        <v>0.00372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HYPERLINK("http://141.218.60.56/~jnz1568/getInfo.php?workbook=14_04.xlsx&amp;sheet=U0&amp;row=4563&amp;col=6&amp;number=4.9&amp;sourceID=14","4.9")</f>
        <v>4.9</v>
      </c>
      <c r="G4563" s="4" t="str">
        <f>HYPERLINK("http://141.218.60.56/~jnz1568/getInfo.php?workbook=14_04.xlsx&amp;sheet=U0&amp;row=4563&amp;col=7&amp;number=0.00376&amp;sourceID=14","0.00376")</f>
        <v>0.00376</v>
      </c>
    </row>
    <row r="4564" spans="1:7">
      <c r="A4564" s="3">
        <v>14</v>
      </c>
      <c r="B4564" s="3">
        <v>4</v>
      </c>
      <c r="C4564" s="3">
        <v>3</v>
      </c>
      <c r="D4564" s="3">
        <v>30</v>
      </c>
      <c r="E4564" s="3">
        <v>1</v>
      </c>
      <c r="F4564" s="4" t="str">
        <f>HYPERLINK("http://141.218.60.56/~jnz1568/getInfo.php?workbook=14_04.xlsx&amp;sheet=U0&amp;row=4564&amp;col=6&amp;number=3&amp;sourceID=14","3")</f>
        <v>3</v>
      </c>
      <c r="G4564" s="4" t="str">
        <f>HYPERLINK("http://141.218.60.56/~jnz1568/getInfo.php?workbook=14_04.xlsx&amp;sheet=U0&amp;row=4564&amp;col=7&amp;number=0.00191&amp;sourceID=14","0.00191")</f>
        <v>0.00191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HYPERLINK("http://141.218.60.56/~jnz1568/getInfo.php?workbook=14_04.xlsx&amp;sheet=U0&amp;row=4565&amp;col=6&amp;number=3.1&amp;sourceID=14","3.1")</f>
        <v>3.1</v>
      </c>
      <c r="G4565" s="4" t="str">
        <f>HYPERLINK("http://141.218.60.56/~jnz1568/getInfo.php?workbook=14_04.xlsx&amp;sheet=U0&amp;row=4565&amp;col=7&amp;number=0.00191&amp;sourceID=14","0.00191")</f>
        <v>0.00191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HYPERLINK("http://141.218.60.56/~jnz1568/getInfo.php?workbook=14_04.xlsx&amp;sheet=U0&amp;row=4566&amp;col=6&amp;number=3.2&amp;sourceID=14","3.2")</f>
        <v>3.2</v>
      </c>
      <c r="G4566" s="4" t="str">
        <f>HYPERLINK("http://141.218.60.56/~jnz1568/getInfo.php?workbook=14_04.xlsx&amp;sheet=U0&amp;row=4566&amp;col=7&amp;number=0.00191&amp;sourceID=14","0.00191")</f>
        <v>0.00191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HYPERLINK("http://141.218.60.56/~jnz1568/getInfo.php?workbook=14_04.xlsx&amp;sheet=U0&amp;row=4567&amp;col=6&amp;number=3.3&amp;sourceID=14","3.3")</f>
        <v>3.3</v>
      </c>
      <c r="G4567" s="4" t="str">
        <f>HYPERLINK("http://141.218.60.56/~jnz1568/getInfo.php?workbook=14_04.xlsx&amp;sheet=U0&amp;row=4567&amp;col=7&amp;number=0.00191&amp;sourceID=14","0.00191")</f>
        <v>0.00191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HYPERLINK("http://141.218.60.56/~jnz1568/getInfo.php?workbook=14_04.xlsx&amp;sheet=U0&amp;row=4568&amp;col=6&amp;number=3.4&amp;sourceID=14","3.4")</f>
        <v>3.4</v>
      </c>
      <c r="G4568" s="4" t="str">
        <f>HYPERLINK("http://141.218.60.56/~jnz1568/getInfo.php?workbook=14_04.xlsx&amp;sheet=U0&amp;row=4568&amp;col=7&amp;number=0.00191&amp;sourceID=14","0.00191")</f>
        <v>0.00191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HYPERLINK("http://141.218.60.56/~jnz1568/getInfo.php?workbook=14_04.xlsx&amp;sheet=U0&amp;row=4569&amp;col=6&amp;number=3.5&amp;sourceID=14","3.5")</f>
        <v>3.5</v>
      </c>
      <c r="G4569" s="4" t="str">
        <f>HYPERLINK("http://141.218.60.56/~jnz1568/getInfo.php?workbook=14_04.xlsx&amp;sheet=U0&amp;row=4569&amp;col=7&amp;number=0.00191&amp;sourceID=14","0.00191")</f>
        <v>0.00191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HYPERLINK("http://141.218.60.56/~jnz1568/getInfo.php?workbook=14_04.xlsx&amp;sheet=U0&amp;row=4570&amp;col=6&amp;number=3.6&amp;sourceID=14","3.6")</f>
        <v>3.6</v>
      </c>
      <c r="G4570" s="4" t="str">
        <f>HYPERLINK("http://141.218.60.56/~jnz1568/getInfo.php?workbook=14_04.xlsx&amp;sheet=U0&amp;row=4570&amp;col=7&amp;number=0.00192&amp;sourceID=14","0.00192")</f>
        <v>0.00192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HYPERLINK("http://141.218.60.56/~jnz1568/getInfo.php?workbook=14_04.xlsx&amp;sheet=U0&amp;row=4571&amp;col=6&amp;number=3.7&amp;sourceID=14","3.7")</f>
        <v>3.7</v>
      </c>
      <c r="G4571" s="4" t="str">
        <f>HYPERLINK("http://141.218.60.56/~jnz1568/getInfo.php?workbook=14_04.xlsx&amp;sheet=U0&amp;row=4571&amp;col=7&amp;number=0.00192&amp;sourceID=14","0.00192")</f>
        <v>0.00192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HYPERLINK("http://141.218.60.56/~jnz1568/getInfo.php?workbook=14_04.xlsx&amp;sheet=U0&amp;row=4572&amp;col=6&amp;number=3.8&amp;sourceID=14","3.8")</f>
        <v>3.8</v>
      </c>
      <c r="G4572" s="4" t="str">
        <f>HYPERLINK("http://141.218.60.56/~jnz1568/getInfo.php?workbook=14_04.xlsx&amp;sheet=U0&amp;row=4572&amp;col=7&amp;number=0.00192&amp;sourceID=14","0.00192")</f>
        <v>0.00192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HYPERLINK("http://141.218.60.56/~jnz1568/getInfo.php?workbook=14_04.xlsx&amp;sheet=U0&amp;row=4573&amp;col=6&amp;number=3.9&amp;sourceID=14","3.9")</f>
        <v>3.9</v>
      </c>
      <c r="G4573" s="4" t="str">
        <f>HYPERLINK("http://141.218.60.56/~jnz1568/getInfo.php?workbook=14_04.xlsx&amp;sheet=U0&amp;row=4573&amp;col=7&amp;number=0.00192&amp;sourceID=14","0.00192")</f>
        <v>0.00192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HYPERLINK("http://141.218.60.56/~jnz1568/getInfo.php?workbook=14_04.xlsx&amp;sheet=U0&amp;row=4574&amp;col=6&amp;number=4&amp;sourceID=14","4")</f>
        <v>4</v>
      </c>
      <c r="G4574" s="4" t="str">
        <f>HYPERLINK("http://141.218.60.56/~jnz1568/getInfo.php?workbook=14_04.xlsx&amp;sheet=U0&amp;row=4574&amp;col=7&amp;number=0.00193&amp;sourceID=14","0.00193")</f>
        <v>0.00193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HYPERLINK("http://141.218.60.56/~jnz1568/getInfo.php?workbook=14_04.xlsx&amp;sheet=U0&amp;row=4575&amp;col=6&amp;number=4.1&amp;sourceID=14","4.1")</f>
        <v>4.1</v>
      </c>
      <c r="G4575" s="4" t="str">
        <f>HYPERLINK("http://141.218.60.56/~jnz1568/getInfo.php?workbook=14_04.xlsx&amp;sheet=U0&amp;row=4575&amp;col=7&amp;number=0.00193&amp;sourceID=14","0.00193")</f>
        <v>0.00193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HYPERLINK("http://141.218.60.56/~jnz1568/getInfo.php?workbook=14_04.xlsx&amp;sheet=U0&amp;row=4576&amp;col=6&amp;number=4.2&amp;sourceID=14","4.2")</f>
        <v>4.2</v>
      </c>
      <c r="G4576" s="4" t="str">
        <f>HYPERLINK("http://141.218.60.56/~jnz1568/getInfo.php?workbook=14_04.xlsx&amp;sheet=U0&amp;row=4576&amp;col=7&amp;number=0.00194&amp;sourceID=14","0.00194")</f>
        <v>0.00194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HYPERLINK("http://141.218.60.56/~jnz1568/getInfo.php?workbook=14_04.xlsx&amp;sheet=U0&amp;row=4577&amp;col=6&amp;number=4.3&amp;sourceID=14","4.3")</f>
        <v>4.3</v>
      </c>
      <c r="G4577" s="4" t="str">
        <f>HYPERLINK("http://141.218.60.56/~jnz1568/getInfo.php?workbook=14_04.xlsx&amp;sheet=U0&amp;row=4577&amp;col=7&amp;number=0.00195&amp;sourceID=14","0.00195")</f>
        <v>0.00195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HYPERLINK("http://141.218.60.56/~jnz1568/getInfo.php?workbook=14_04.xlsx&amp;sheet=U0&amp;row=4578&amp;col=6&amp;number=4.4&amp;sourceID=14","4.4")</f>
        <v>4.4</v>
      </c>
      <c r="G4578" s="4" t="str">
        <f>HYPERLINK("http://141.218.60.56/~jnz1568/getInfo.php?workbook=14_04.xlsx&amp;sheet=U0&amp;row=4578&amp;col=7&amp;number=0.00195&amp;sourceID=14","0.00195")</f>
        <v>0.00195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HYPERLINK("http://141.218.60.56/~jnz1568/getInfo.php?workbook=14_04.xlsx&amp;sheet=U0&amp;row=4579&amp;col=6&amp;number=4.5&amp;sourceID=14","4.5")</f>
        <v>4.5</v>
      </c>
      <c r="G4579" s="4" t="str">
        <f>HYPERLINK("http://141.218.60.56/~jnz1568/getInfo.php?workbook=14_04.xlsx&amp;sheet=U0&amp;row=4579&amp;col=7&amp;number=0.00197&amp;sourceID=14","0.00197")</f>
        <v>0.00197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HYPERLINK("http://141.218.60.56/~jnz1568/getInfo.php?workbook=14_04.xlsx&amp;sheet=U0&amp;row=4580&amp;col=6&amp;number=4.6&amp;sourceID=14","4.6")</f>
        <v>4.6</v>
      </c>
      <c r="G4580" s="4" t="str">
        <f>HYPERLINK("http://141.218.60.56/~jnz1568/getInfo.php?workbook=14_04.xlsx&amp;sheet=U0&amp;row=4580&amp;col=7&amp;number=0.00198&amp;sourceID=14","0.00198")</f>
        <v>0.00198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HYPERLINK("http://141.218.60.56/~jnz1568/getInfo.php?workbook=14_04.xlsx&amp;sheet=U0&amp;row=4581&amp;col=6&amp;number=4.7&amp;sourceID=14","4.7")</f>
        <v>4.7</v>
      </c>
      <c r="G4581" s="4" t="str">
        <f>HYPERLINK("http://141.218.60.56/~jnz1568/getInfo.php?workbook=14_04.xlsx&amp;sheet=U0&amp;row=4581&amp;col=7&amp;number=0.002&amp;sourceID=14","0.002")</f>
        <v>0.002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HYPERLINK("http://141.218.60.56/~jnz1568/getInfo.php?workbook=14_04.xlsx&amp;sheet=U0&amp;row=4582&amp;col=6&amp;number=4.8&amp;sourceID=14","4.8")</f>
        <v>4.8</v>
      </c>
      <c r="G4582" s="4" t="str">
        <f>HYPERLINK("http://141.218.60.56/~jnz1568/getInfo.php?workbook=14_04.xlsx&amp;sheet=U0&amp;row=4582&amp;col=7&amp;number=0.00202&amp;sourceID=14","0.00202")</f>
        <v>0.00202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HYPERLINK("http://141.218.60.56/~jnz1568/getInfo.php?workbook=14_04.xlsx&amp;sheet=U0&amp;row=4583&amp;col=6&amp;number=4.9&amp;sourceID=14","4.9")</f>
        <v>4.9</v>
      </c>
      <c r="G4583" s="4" t="str">
        <f>HYPERLINK("http://141.218.60.56/~jnz1568/getInfo.php?workbook=14_04.xlsx&amp;sheet=U0&amp;row=4583&amp;col=7&amp;number=0.00205&amp;sourceID=14","0.00205")</f>
        <v>0.00205</v>
      </c>
    </row>
    <row r="4584" spans="1:7">
      <c r="A4584" s="3">
        <v>14</v>
      </c>
      <c r="B4584" s="3">
        <v>4</v>
      </c>
      <c r="C4584" s="3">
        <v>3</v>
      </c>
      <c r="D4584" s="3">
        <v>31</v>
      </c>
      <c r="E4584" s="3">
        <v>1</v>
      </c>
      <c r="F4584" s="4" t="str">
        <f>HYPERLINK("http://141.218.60.56/~jnz1568/getInfo.php?workbook=14_04.xlsx&amp;sheet=U0&amp;row=4584&amp;col=6&amp;number=3&amp;sourceID=14","3")</f>
        <v>3</v>
      </c>
      <c r="G4584" s="4" t="str">
        <f>HYPERLINK("http://141.218.60.56/~jnz1568/getInfo.php?workbook=14_04.xlsx&amp;sheet=U0&amp;row=4584&amp;col=7&amp;number=0.00215&amp;sourceID=14","0.00215")</f>
        <v>0.00215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HYPERLINK("http://141.218.60.56/~jnz1568/getInfo.php?workbook=14_04.xlsx&amp;sheet=U0&amp;row=4585&amp;col=6&amp;number=3.1&amp;sourceID=14","3.1")</f>
        <v>3.1</v>
      </c>
      <c r="G4585" s="4" t="str">
        <f>HYPERLINK("http://141.218.60.56/~jnz1568/getInfo.php?workbook=14_04.xlsx&amp;sheet=U0&amp;row=4585&amp;col=7&amp;number=0.00215&amp;sourceID=14","0.00215")</f>
        <v>0.00215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HYPERLINK("http://141.218.60.56/~jnz1568/getInfo.php?workbook=14_04.xlsx&amp;sheet=U0&amp;row=4586&amp;col=6&amp;number=3.2&amp;sourceID=14","3.2")</f>
        <v>3.2</v>
      </c>
      <c r="G4586" s="4" t="str">
        <f>HYPERLINK("http://141.218.60.56/~jnz1568/getInfo.php?workbook=14_04.xlsx&amp;sheet=U0&amp;row=4586&amp;col=7&amp;number=0.00215&amp;sourceID=14","0.00215")</f>
        <v>0.00215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HYPERLINK("http://141.218.60.56/~jnz1568/getInfo.php?workbook=14_04.xlsx&amp;sheet=U0&amp;row=4587&amp;col=6&amp;number=3.3&amp;sourceID=14","3.3")</f>
        <v>3.3</v>
      </c>
      <c r="G4587" s="4" t="str">
        <f>HYPERLINK("http://141.218.60.56/~jnz1568/getInfo.php?workbook=14_04.xlsx&amp;sheet=U0&amp;row=4587&amp;col=7&amp;number=0.00215&amp;sourceID=14","0.00215")</f>
        <v>0.00215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HYPERLINK("http://141.218.60.56/~jnz1568/getInfo.php?workbook=14_04.xlsx&amp;sheet=U0&amp;row=4588&amp;col=6&amp;number=3.4&amp;sourceID=14","3.4")</f>
        <v>3.4</v>
      </c>
      <c r="G4588" s="4" t="str">
        <f>HYPERLINK("http://141.218.60.56/~jnz1568/getInfo.php?workbook=14_04.xlsx&amp;sheet=U0&amp;row=4588&amp;col=7&amp;number=0.00215&amp;sourceID=14","0.00215")</f>
        <v>0.00215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HYPERLINK("http://141.218.60.56/~jnz1568/getInfo.php?workbook=14_04.xlsx&amp;sheet=U0&amp;row=4589&amp;col=6&amp;number=3.5&amp;sourceID=14","3.5")</f>
        <v>3.5</v>
      </c>
      <c r="G4589" s="4" t="str">
        <f>HYPERLINK("http://141.218.60.56/~jnz1568/getInfo.php?workbook=14_04.xlsx&amp;sheet=U0&amp;row=4589&amp;col=7&amp;number=0.00215&amp;sourceID=14","0.00215")</f>
        <v>0.00215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HYPERLINK("http://141.218.60.56/~jnz1568/getInfo.php?workbook=14_04.xlsx&amp;sheet=U0&amp;row=4590&amp;col=6&amp;number=3.6&amp;sourceID=14","3.6")</f>
        <v>3.6</v>
      </c>
      <c r="G4590" s="4" t="str">
        <f>HYPERLINK("http://141.218.60.56/~jnz1568/getInfo.php?workbook=14_04.xlsx&amp;sheet=U0&amp;row=4590&amp;col=7&amp;number=0.00215&amp;sourceID=14","0.00215")</f>
        <v>0.00215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HYPERLINK("http://141.218.60.56/~jnz1568/getInfo.php?workbook=14_04.xlsx&amp;sheet=U0&amp;row=4591&amp;col=6&amp;number=3.7&amp;sourceID=14","3.7")</f>
        <v>3.7</v>
      </c>
      <c r="G4591" s="4" t="str">
        <f>HYPERLINK("http://141.218.60.56/~jnz1568/getInfo.php?workbook=14_04.xlsx&amp;sheet=U0&amp;row=4591&amp;col=7&amp;number=0.00215&amp;sourceID=14","0.00215")</f>
        <v>0.00215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HYPERLINK("http://141.218.60.56/~jnz1568/getInfo.php?workbook=14_04.xlsx&amp;sheet=U0&amp;row=4592&amp;col=6&amp;number=3.8&amp;sourceID=14","3.8")</f>
        <v>3.8</v>
      </c>
      <c r="G4592" s="4" t="str">
        <f>HYPERLINK("http://141.218.60.56/~jnz1568/getInfo.php?workbook=14_04.xlsx&amp;sheet=U0&amp;row=4592&amp;col=7&amp;number=0.00215&amp;sourceID=14","0.00215")</f>
        <v>0.00215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HYPERLINK("http://141.218.60.56/~jnz1568/getInfo.php?workbook=14_04.xlsx&amp;sheet=U0&amp;row=4593&amp;col=6&amp;number=3.9&amp;sourceID=14","3.9")</f>
        <v>3.9</v>
      </c>
      <c r="G4593" s="4" t="str">
        <f>HYPERLINK("http://141.218.60.56/~jnz1568/getInfo.php?workbook=14_04.xlsx&amp;sheet=U0&amp;row=4593&amp;col=7&amp;number=0.00215&amp;sourceID=14","0.00215")</f>
        <v>0.00215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HYPERLINK("http://141.218.60.56/~jnz1568/getInfo.php?workbook=14_04.xlsx&amp;sheet=U0&amp;row=4594&amp;col=6&amp;number=4&amp;sourceID=14","4")</f>
        <v>4</v>
      </c>
      <c r="G4594" s="4" t="str">
        <f>HYPERLINK("http://141.218.60.56/~jnz1568/getInfo.php?workbook=14_04.xlsx&amp;sheet=U0&amp;row=4594&amp;col=7&amp;number=0.00216&amp;sourceID=14","0.00216")</f>
        <v>0.00216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HYPERLINK("http://141.218.60.56/~jnz1568/getInfo.php?workbook=14_04.xlsx&amp;sheet=U0&amp;row=4595&amp;col=6&amp;number=4.1&amp;sourceID=14","4.1")</f>
        <v>4.1</v>
      </c>
      <c r="G4595" s="4" t="str">
        <f>HYPERLINK("http://141.218.60.56/~jnz1568/getInfo.php?workbook=14_04.xlsx&amp;sheet=U0&amp;row=4595&amp;col=7&amp;number=0.00216&amp;sourceID=14","0.00216")</f>
        <v>0.00216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HYPERLINK("http://141.218.60.56/~jnz1568/getInfo.php?workbook=14_04.xlsx&amp;sheet=U0&amp;row=4596&amp;col=6&amp;number=4.2&amp;sourceID=14","4.2")</f>
        <v>4.2</v>
      </c>
      <c r="G4596" s="4" t="str">
        <f>HYPERLINK("http://141.218.60.56/~jnz1568/getInfo.php?workbook=14_04.xlsx&amp;sheet=U0&amp;row=4596&amp;col=7&amp;number=0.00216&amp;sourceID=14","0.00216")</f>
        <v>0.00216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HYPERLINK("http://141.218.60.56/~jnz1568/getInfo.php?workbook=14_04.xlsx&amp;sheet=U0&amp;row=4597&amp;col=6&amp;number=4.3&amp;sourceID=14","4.3")</f>
        <v>4.3</v>
      </c>
      <c r="G4597" s="4" t="str">
        <f>HYPERLINK("http://141.218.60.56/~jnz1568/getInfo.php?workbook=14_04.xlsx&amp;sheet=U0&amp;row=4597&amp;col=7&amp;number=0.00216&amp;sourceID=14","0.00216")</f>
        <v>0.00216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HYPERLINK("http://141.218.60.56/~jnz1568/getInfo.php?workbook=14_04.xlsx&amp;sheet=U0&amp;row=4598&amp;col=6&amp;number=4.4&amp;sourceID=14","4.4")</f>
        <v>4.4</v>
      </c>
      <c r="G4598" s="4" t="str">
        <f>HYPERLINK("http://141.218.60.56/~jnz1568/getInfo.php?workbook=14_04.xlsx&amp;sheet=U0&amp;row=4598&amp;col=7&amp;number=0.00216&amp;sourceID=14","0.00216")</f>
        <v>0.00216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HYPERLINK("http://141.218.60.56/~jnz1568/getInfo.php?workbook=14_04.xlsx&amp;sheet=U0&amp;row=4599&amp;col=6&amp;number=4.5&amp;sourceID=14","4.5")</f>
        <v>4.5</v>
      </c>
      <c r="G4599" s="4" t="str">
        <f>HYPERLINK("http://141.218.60.56/~jnz1568/getInfo.php?workbook=14_04.xlsx&amp;sheet=U0&amp;row=4599&amp;col=7&amp;number=0.00217&amp;sourceID=14","0.00217")</f>
        <v>0.00217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HYPERLINK("http://141.218.60.56/~jnz1568/getInfo.php?workbook=14_04.xlsx&amp;sheet=U0&amp;row=4600&amp;col=6&amp;number=4.6&amp;sourceID=14","4.6")</f>
        <v>4.6</v>
      </c>
      <c r="G4600" s="4" t="str">
        <f>HYPERLINK("http://141.218.60.56/~jnz1568/getInfo.php?workbook=14_04.xlsx&amp;sheet=U0&amp;row=4600&amp;col=7&amp;number=0.00217&amp;sourceID=14","0.00217")</f>
        <v>0.00217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HYPERLINK("http://141.218.60.56/~jnz1568/getInfo.php?workbook=14_04.xlsx&amp;sheet=U0&amp;row=4601&amp;col=6&amp;number=4.7&amp;sourceID=14","4.7")</f>
        <v>4.7</v>
      </c>
      <c r="G4601" s="4" t="str">
        <f>HYPERLINK("http://141.218.60.56/~jnz1568/getInfo.php?workbook=14_04.xlsx&amp;sheet=U0&amp;row=4601&amp;col=7&amp;number=0.00218&amp;sourceID=14","0.00218")</f>
        <v>0.00218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HYPERLINK("http://141.218.60.56/~jnz1568/getInfo.php?workbook=14_04.xlsx&amp;sheet=U0&amp;row=4602&amp;col=6&amp;number=4.8&amp;sourceID=14","4.8")</f>
        <v>4.8</v>
      </c>
      <c r="G4602" s="4" t="str">
        <f>HYPERLINK("http://141.218.60.56/~jnz1568/getInfo.php?workbook=14_04.xlsx&amp;sheet=U0&amp;row=4602&amp;col=7&amp;number=0.00219&amp;sourceID=14","0.00219")</f>
        <v>0.00219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HYPERLINK("http://141.218.60.56/~jnz1568/getInfo.php?workbook=14_04.xlsx&amp;sheet=U0&amp;row=4603&amp;col=6&amp;number=4.9&amp;sourceID=14","4.9")</f>
        <v>4.9</v>
      </c>
      <c r="G4603" s="4" t="str">
        <f>HYPERLINK("http://141.218.60.56/~jnz1568/getInfo.php?workbook=14_04.xlsx&amp;sheet=U0&amp;row=4603&amp;col=7&amp;number=0.0022&amp;sourceID=14","0.0022")</f>
        <v>0.0022</v>
      </c>
    </row>
    <row r="4604" spans="1:7">
      <c r="A4604" s="3">
        <v>14</v>
      </c>
      <c r="B4604" s="3">
        <v>4</v>
      </c>
      <c r="C4604" s="3">
        <v>3</v>
      </c>
      <c r="D4604" s="3">
        <v>32</v>
      </c>
      <c r="E4604" s="3">
        <v>1</v>
      </c>
      <c r="F4604" s="4" t="str">
        <f>HYPERLINK("http://141.218.60.56/~jnz1568/getInfo.php?workbook=14_04.xlsx&amp;sheet=U0&amp;row=4604&amp;col=6&amp;number=3&amp;sourceID=14","3")</f>
        <v>3</v>
      </c>
      <c r="G4604" s="4" t="str">
        <f>HYPERLINK("http://141.218.60.56/~jnz1568/getInfo.php?workbook=14_04.xlsx&amp;sheet=U0&amp;row=4604&amp;col=7&amp;number=0.00326&amp;sourceID=14","0.00326")</f>
        <v>0.00326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HYPERLINK("http://141.218.60.56/~jnz1568/getInfo.php?workbook=14_04.xlsx&amp;sheet=U0&amp;row=4605&amp;col=6&amp;number=3.1&amp;sourceID=14","3.1")</f>
        <v>3.1</v>
      </c>
      <c r="G4605" s="4" t="str">
        <f>HYPERLINK("http://141.218.60.56/~jnz1568/getInfo.php?workbook=14_04.xlsx&amp;sheet=U0&amp;row=4605&amp;col=7&amp;number=0.00326&amp;sourceID=14","0.00326")</f>
        <v>0.00326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HYPERLINK("http://141.218.60.56/~jnz1568/getInfo.php?workbook=14_04.xlsx&amp;sheet=U0&amp;row=4606&amp;col=6&amp;number=3.2&amp;sourceID=14","3.2")</f>
        <v>3.2</v>
      </c>
      <c r="G4606" s="4" t="str">
        <f>HYPERLINK("http://141.218.60.56/~jnz1568/getInfo.php?workbook=14_04.xlsx&amp;sheet=U0&amp;row=4606&amp;col=7&amp;number=0.00326&amp;sourceID=14","0.00326")</f>
        <v>0.00326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HYPERLINK("http://141.218.60.56/~jnz1568/getInfo.php?workbook=14_04.xlsx&amp;sheet=U0&amp;row=4607&amp;col=6&amp;number=3.3&amp;sourceID=14","3.3")</f>
        <v>3.3</v>
      </c>
      <c r="G4607" s="4" t="str">
        <f>HYPERLINK("http://141.218.60.56/~jnz1568/getInfo.php?workbook=14_04.xlsx&amp;sheet=U0&amp;row=4607&amp;col=7&amp;number=0.00326&amp;sourceID=14","0.00326")</f>
        <v>0.00326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HYPERLINK("http://141.218.60.56/~jnz1568/getInfo.php?workbook=14_04.xlsx&amp;sheet=U0&amp;row=4608&amp;col=6&amp;number=3.4&amp;sourceID=14","3.4")</f>
        <v>3.4</v>
      </c>
      <c r="G4608" s="4" t="str">
        <f>HYPERLINK("http://141.218.60.56/~jnz1568/getInfo.php?workbook=14_04.xlsx&amp;sheet=U0&amp;row=4608&amp;col=7&amp;number=0.00326&amp;sourceID=14","0.00326")</f>
        <v>0.00326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HYPERLINK("http://141.218.60.56/~jnz1568/getInfo.php?workbook=14_04.xlsx&amp;sheet=U0&amp;row=4609&amp;col=6&amp;number=3.5&amp;sourceID=14","3.5")</f>
        <v>3.5</v>
      </c>
      <c r="G4609" s="4" t="str">
        <f>HYPERLINK("http://141.218.60.56/~jnz1568/getInfo.php?workbook=14_04.xlsx&amp;sheet=U0&amp;row=4609&amp;col=7&amp;number=0.00326&amp;sourceID=14","0.00326")</f>
        <v>0.00326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HYPERLINK("http://141.218.60.56/~jnz1568/getInfo.php?workbook=14_04.xlsx&amp;sheet=U0&amp;row=4610&amp;col=6&amp;number=3.6&amp;sourceID=14","3.6")</f>
        <v>3.6</v>
      </c>
      <c r="G4610" s="4" t="str">
        <f>HYPERLINK("http://141.218.60.56/~jnz1568/getInfo.php?workbook=14_04.xlsx&amp;sheet=U0&amp;row=4610&amp;col=7&amp;number=0.00326&amp;sourceID=14","0.00326")</f>
        <v>0.00326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HYPERLINK("http://141.218.60.56/~jnz1568/getInfo.php?workbook=14_04.xlsx&amp;sheet=U0&amp;row=4611&amp;col=6&amp;number=3.7&amp;sourceID=14","3.7")</f>
        <v>3.7</v>
      </c>
      <c r="G4611" s="4" t="str">
        <f>HYPERLINK("http://141.218.60.56/~jnz1568/getInfo.php?workbook=14_04.xlsx&amp;sheet=U0&amp;row=4611&amp;col=7&amp;number=0.00327&amp;sourceID=14","0.00327")</f>
        <v>0.00327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HYPERLINK("http://141.218.60.56/~jnz1568/getInfo.php?workbook=14_04.xlsx&amp;sheet=U0&amp;row=4612&amp;col=6&amp;number=3.8&amp;sourceID=14","3.8")</f>
        <v>3.8</v>
      </c>
      <c r="G4612" s="4" t="str">
        <f>HYPERLINK("http://141.218.60.56/~jnz1568/getInfo.php?workbook=14_04.xlsx&amp;sheet=U0&amp;row=4612&amp;col=7&amp;number=0.00327&amp;sourceID=14","0.00327")</f>
        <v>0.00327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HYPERLINK("http://141.218.60.56/~jnz1568/getInfo.php?workbook=14_04.xlsx&amp;sheet=U0&amp;row=4613&amp;col=6&amp;number=3.9&amp;sourceID=14","3.9")</f>
        <v>3.9</v>
      </c>
      <c r="G4613" s="4" t="str">
        <f>HYPERLINK("http://141.218.60.56/~jnz1568/getInfo.php?workbook=14_04.xlsx&amp;sheet=U0&amp;row=4613&amp;col=7&amp;number=0.00327&amp;sourceID=14","0.00327")</f>
        <v>0.00327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HYPERLINK("http://141.218.60.56/~jnz1568/getInfo.php?workbook=14_04.xlsx&amp;sheet=U0&amp;row=4614&amp;col=6&amp;number=4&amp;sourceID=14","4")</f>
        <v>4</v>
      </c>
      <c r="G4614" s="4" t="str">
        <f>HYPERLINK("http://141.218.60.56/~jnz1568/getInfo.php?workbook=14_04.xlsx&amp;sheet=U0&amp;row=4614&amp;col=7&amp;number=0.00327&amp;sourceID=14","0.00327")</f>
        <v>0.00327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HYPERLINK("http://141.218.60.56/~jnz1568/getInfo.php?workbook=14_04.xlsx&amp;sheet=U0&amp;row=4615&amp;col=6&amp;number=4.1&amp;sourceID=14","4.1")</f>
        <v>4.1</v>
      </c>
      <c r="G4615" s="4" t="str">
        <f>HYPERLINK("http://141.218.60.56/~jnz1568/getInfo.php?workbook=14_04.xlsx&amp;sheet=U0&amp;row=4615&amp;col=7&amp;number=0.00328&amp;sourceID=14","0.00328")</f>
        <v>0.00328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HYPERLINK("http://141.218.60.56/~jnz1568/getInfo.php?workbook=14_04.xlsx&amp;sheet=U0&amp;row=4616&amp;col=6&amp;number=4.2&amp;sourceID=14","4.2")</f>
        <v>4.2</v>
      </c>
      <c r="G4616" s="4" t="str">
        <f>HYPERLINK("http://141.218.60.56/~jnz1568/getInfo.php?workbook=14_04.xlsx&amp;sheet=U0&amp;row=4616&amp;col=7&amp;number=0.00328&amp;sourceID=14","0.00328")</f>
        <v>0.00328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HYPERLINK("http://141.218.60.56/~jnz1568/getInfo.php?workbook=14_04.xlsx&amp;sheet=U0&amp;row=4617&amp;col=6&amp;number=4.3&amp;sourceID=14","4.3")</f>
        <v>4.3</v>
      </c>
      <c r="G4617" s="4" t="str">
        <f>HYPERLINK("http://141.218.60.56/~jnz1568/getInfo.php?workbook=14_04.xlsx&amp;sheet=U0&amp;row=4617&amp;col=7&amp;number=0.00329&amp;sourceID=14","0.00329")</f>
        <v>0.00329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HYPERLINK("http://141.218.60.56/~jnz1568/getInfo.php?workbook=14_04.xlsx&amp;sheet=U0&amp;row=4618&amp;col=6&amp;number=4.4&amp;sourceID=14","4.4")</f>
        <v>4.4</v>
      </c>
      <c r="G4618" s="4" t="str">
        <f>HYPERLINK("http://141.218.60.56/~jnz1568/getInfo.php?workbook=14_04.xlsx&amp;sheet=U0&amp;row=4618&amp;col=7&amp;number=0.0033&amp;sourceID=14","0.0033")</f>
        <v>0.0033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HYPERLINK("http://141.218.60.56/~jnz1568/getInfo.php?workbook=14_04.xlsx&amp;sheet=U0&amp;row=4619&amp;col=6&amp;number=4.5&amp;sourceID=14","4.5")</f>
        <v>4.5</v>
      </c>
      <c r="G4619" s="4" t="str">
        <f>HYPERLINK("http://141.218.60.56/~jnz1568/getInfo.php?workbook=14_04.xlsx&amp;sheet=U0&amp;row=4619&amp;col=7&amp;number=0.00331&amp;sourceID=14","0.00331")</f>
        <v>0.00331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HYPERLINK("http://141.218.60.56/~jnz1568/getInfo.php?workbook=14_04.xlsx&amp;sheet=U0&amp;row=4620&amp;col=6&amp;number=4.6&amp;sourceID=14","4.6")</f>
        <v>4.6</v>
      </c>
      <c r="G4620" s="4" t="str">
        <f>HYPERLINK("http://141.218.60.56/~jnz1568/getInfo.php?workbook=14_04.xlsx&amp;sheet=U0&amp;row=4620&amp;col=7&amp;number=0.00332&amp;sourceID=14","0.00332")</f>
        <v>0.00332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HYPERLINK("http://141.218.60.56/~jnz1568/getInfo.php?workbook=14_04.xlsx&amp;sheet=U0&amp;row=4621&amp;col=6&amp;number=4.7&amp;sourceID=14","4.7")</f>
        <v>4.7</v>
      </c>
      <c r="G4621" s="4" t="str">
        <f>HYPERLINK("http://141.218.60.56/~jnz1568/getInfo.php?workbook=14_04.xlsx&amp;sheet=U0&amp;row=4621&amp;col=7&amp;number=0.00334&amp;sourceID=14","0.00334")</f>
        <v>0.00334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HYPERLINK("http://141.218.60.56/~jnz1568/getInfo.php?workbook=14_04.xlsx&amp;sheet=U0&amp;row=4622&amp;col=6&amp;number=4.8&amp;sourceID=14","4.8")</f>
        <v>4.8</v>
      </c>
      <c r="G4622" s="4" t="str">
        <f>HYPERLINK("http://141.218.60.56/~jnz1568/getInfo.php?workbook=14_04.xlsx&amp;sheet=U0&amp;row=4622&amp;col=7&amp;number=0.00336&amp;sourceID=14","0.00336")</f>
        <v>0.00336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HYPERLINK("http://141.218.60.56/~jnz1568/getInfo.php?workbook=14_04.xlsx&amp;sheet=U0&amp;row=4623&amp;col=6&amp;number=4.9&amp;sourceID=14","4.9")</f>
        <v>4.9</v>
      </c>
      <c r="G4623" s="4" t="str">
        <f>HYPERLINK("http://141.218.60.56/~jnz1568/getInfo.php?workbook=14_04.xlsx&amp;sheet=U0&amp;row=4623&amp;col=7&amp;number=0.00339&amp;sourceID=14","0.00339")</f>
        <v>0.00339</v>
      </c>
    </row>
    <row r="4624" spans="1:7">
      <c r="A4624" s="3">
        <v>14</v>
      </c>
      <c r="B4624" s="3">
        <v>4</v>
      </c>
      <c r="C4624" s="3">
        <v>3</v>
      </c>
      <c r="D4624" s="3">
        <v>33</v>
      </c>
      <c r="E4624" s="3">
        <v>1</v>
      </c>
      <c r="F4624" s="4" t="str">
        <f>HYPERLINK("http://141.218.60.56/~jnz1568/getInfo.php?workbook=14_04.xlsx&amp;sheet=U0&amp;row=4624&amp;col=6&amp;number=3&amp;sourceID=14","3")</f>
        <v>3</v>
      </c>
      <c r="G4624" s="4" t="str">
        <f>HYPERLINK("http://141.218.60.56/~jnz1568/getInfo.php?workbook=14_04.xlsx&amp;sheet=U0&amp;row=4624&amp;col=7&amp;number=0.0193&amp;sourceID=14","0.0193")</f>
        <v>0.0193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HYPERLINK("http://141.218.60.56/~jnz1568/getInfo.php?workbook=14_04.xlsx&amp;sheet=U0&amp;row=4625&amp;col=6&amp;number=3.1&amp;sourceID=14","3.1")</f>
        <v>3.1</v>
      </c>
      <c r="G4625" s="4" t="str">
        <f>HYPERLINK("http://141.218.60.56/~jnz1568/getInfo.php?workbook=14_04.xlsx&amp;sheet=U0&amp;row=4625&amp;col=7&amp;number=0.0193&amp;sourceID=14","0.0193")</f>
        <v>0.0193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HYPERLINK("http://141.218.60.56/~jnz1568/getInfo.php?workbook=14_04.xlsx&amp;sheet=U0&amp;row=4626&amp;col=6&amp;number=3.2&amp;sourceID=14","3.2")</f>
        <v>3.2</v>
      </c>
      <c r="G4626" s="4" t="str">
        <f>HYPERLINK("http://141.218.60.56/~jnz1568/getInfo.php?workbook=14_04.xlsx&amp;sheet=U0&amp;row=4626&amp;col=7&amp;number=0.0193&amp;sourceID=14","0.0193")</f>
        <v>0.0193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HYPERLINK("http://141.218.60.56/~jnz1568/getInfo.php?workbook=14_04.xlsx&amp;sheet=U0&amp;row=4627&amp;col=6&amp;number=3.3&amp;sourceID=14","3.3")</f>
        <v>3.3</v>
      </c>
      <c r="G4627" s="4" t="str">
        <f>HYPERLINK("http://141.218.60.56/~jnz1568/getInfo.php?workbook=14_04.xlsx&amp;sheet=U0&amp;row=4627&amp;col=7&amp;number=0.0193&amp;sourceID=14","0.0193")</f>
        <v>0.0193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HYPERLINK("http://141.218.60.56/~jnz1568/getInfo.php?workbook=14_04.xlsx&amp;sheet=U0&amp;row=4628&amp;col=6&amp;number=3.4&amp;sourceID=14","3.4")</f>
        <v>3.4</v>
      </c>
      <c r="G4628" s="4" t="str">
        <f>HYPERLINK("http://141.218.60.56/~jnz1568/getInfo.php?workbook=14_04.xlsx&amp;sheet=U0&amp;row=4628&amp;col=7&amp;number=0.0193&amp;sourceID=14","0.0193")</f>
        <v>0.0193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HYPERLINK("http://141.218.60.56/~jnz1568/getInfo.php?workbook=14_04.xlsx&amp;sheet=U0&amp;row=4629&amp;col=6&amp;number=3.5&amp;sourceID=14","3.5")</f>
        <v>3.5</v>
      </c>
      <c r="G4629" s="4" t="str">
        <f>HYPERLINK("http://141.218.60.56/~jnz1568/getInfo.php?workbook=14_04.xlsx&amp;sheet=U0&amp;row=4629&amp;col=7&amp;number=0.0193&amp;sourceID=14","0.0193")</f>
        <v>0.0193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HYPERLINK("http://141.218.60.56/~jnz1568/getInfo.php?workbook=14_04.xlsx&amp;sheet=U0&amp;row=4630&amp;col=6&amp;number=3.6&amp;sourceID=14","3.6")</f>
        <v>3.6</v>
      </c>
      <c r="G4630" s="4" t="str">
        <f>HYPERLINK("http://141.218.60.56/~jnz1568/getInfo.php?workbook=14_04.xlsx&amp;sheet=U0&amp;row=4630&amp;col=7&amp;number=0.0193&amp;sourceID=14","0.0193")</f>
        <v>0.0193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HYPERLINK("http://141.218.60.56/~jnz1568/getInfo.php?workbook=14_04.xlsx&amp;sheet=U0&amp;row=4631&amp;col=6&amp;number=3.7&amp;sourceID=14","3.7")</f>
        <v>3.7</v>
      </c>
      <c r="G4631" s="4" t="str">
        <f>HYPERLINK("http://141.218.60.56/~jnz1568/getInfo.php?workbook=14_04.xlsx&amp;sheet=U0&amp;row=4631&amp;col=7&amp;number=0.0193&amp;sourceID=14","0.0193")</f>
        <v>0.0193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HYPERLINK("http://141.218.60.56/~jnz1568/getInfo.php?workbook=14_04.xlsx&amp;sheet=U0&amp;row=4632&amp;col=6&amp;number=3.8&amp;sourceID=14","3.8")</f>
        <v>3.8</v>
      </c>
      <c r="G4632" s="4" t="str">
        <f>HYPERLINK("http://141.218.60.56/~jnz1568/getInfo.php?workbook=14_04.xlsx&amp;sheet=U0&amp;row=4632&amp;col=7&amp;number=0.0193&amp;sourceID=14","0.0193")</f>
        <v>0.0193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HYPERLINK("http://141.218.60.56/~jnz1568/getInfo.php?workbook=14_04.xlsx&amp;sheet=U0&amp;row=4633&amp;col=6&amp;number=3.9&amp;sourceID=14","3.9")</f>
        <v>3.9</v>
      </c>
      <c r="G4633" s="4" t="str">
        <f>HYPERLINK("http://141.218.60.56/~jnz1568/getInfo.php?workbook=14_04.xlsx&amp;sheet=U0&amp;row=4633&amp;col=7&amp;number=0.0193&amp;sourceID=14","0.0193")</f>
        <v>0.0193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HYPERLINK("http://141.218.60.56/~jnz1568/getInfo.php?workbook=14_04.xlsx&amp;sheet=U0&amp;row=4634&amp;col=6&amp;number=4&amp;sourceID=14","4")</f>
        <v>4</v>
      </c>
      <c r="G4634" s="4" t="str">
        <f>HYPERLINK("http://141.218.60.56/~jnz1568/getInfo.php?workbook=14_04.xlsx&amp;sheet=U0&amp;row=4634&amp;col=7&amp;number=0.0193&amp;sourceID=14","0.0193")</f>
        <v>0.0193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HYPERLINK("http://141.218.60.56/~jnz1568/getInfo.php?workbook=14_04.xlsx&amp;sheet=U0&amp;row=4635&amp;col=6&amp;number=4.1&amp;sourceID=14","4.1")</f>
        <v>4.1</v>
      </c>
      <c r="G4635" s="4" t="str">
        <f>HYPERLINK("http://141.218.60.56/~jnz1568/getInfo.php?workbook=14_04.xlsx&amp;sheet=U0&amp;row=4635&amp;col=7&amp;number=0.0193&amp;sourceID=14","0.0193")</f>
        <v>0.0193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HYPERLINK("http://141.218.60.56/~jnz1568/getInfo.php?workbook=14_04.xlsx&amp;sheet=U0&amp;row=4636&amp;col=6&amp;number=4.2&amp;sourceID=14","4.2")</f>
        <v>4.2</v>
      </c>
      <c r="G4636" s="4" t="str">
        <f>HYPERLINK("http://141.218.60.56/~jnz1568/getInfo.php?workbook=14_04.xlsx&amp;sheet=U0&amp;row=4636&amp;col=7&amp;number=0.0193&amp;sourceID=14","0.0193")</f>
        <v>0.0193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HYPERLINK("http://141.218.60.56/~jnz1568/getInfo.php?workbook=14_04.xlsx&amp;sheet=U0&amp;row=4637&amp;col=6&amp;number=4.3&amp;sourceID=14","4.3")</f>
        <v>4.3</v>
      </c>
      <c r="G4637" s="4" t="str">
        <f>HYPERLINK("http://141.218.60.56/~jnz1568/getInfo.php?workbook=14_04.xlsx&amp;sheet=U0&amp;row=4637&amp;col=7&amp;number=0.0193&amp;sourceID=14","0.0193")</f>
        <v>0.0193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HYPERLINK("http://141.218.60.56/~jnz1568/getInfo.php?workbook=14_04.xlsx&amp;sheet=U0&amp;row=4638&amp;col=6&amp;number=4.4&amp;sourceID=14","4.4")</f>
        <v>4.4</v>
      </c>
      <c r="G4638" s="4" t="str">
        <f>HYPERLINK("http://141.218.60.56/~jnz1568/getInfo.php?workbook=14_04.xlsx&amp;sheet=U0&amp;row=4638&amp;col=7&amp;number=0.0193&amp;sourceID=14","0.0193")</f>
        <v>0.0193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HYPERLINK("http://141.218.60.56/~jnz1568/getInfo.php?workbook=14_04.xlsx&amp;sheet=U0&amp;row=4639&amp;col=6&amp;number=4.5&amp;sourceID=14","4.5")</f>
        <v>4.5</v>
      </c>
      <c r="G4639" s="4" t="str">
        <f>HYPERLINK("http://141.218.60.56/~jnz1568/getInfo.php?workbook=14_04.xlsx&amp;sheet=U0&amp;row=4639&amp;col=7&amp;number=0.0193&amp;sourceID=14","0.0193")</f>
        <v>0.0193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HYPERLINK("http://141.218.60.56/~jnz1568/getInfo.php?workbook=14_04.xlsx&amp;sheet=U0&amp;row=4640&amp;col=6&amp;number=4.6&amp;sourceID=14","4.6")</f>
        <v>4.6</v>
      </c>
      <c r="G4640" s="4" t="str">
        <f>HYPERLINK("http://141.218.60.56/~jnz1568/getInfo.php?workbook=14_04.xlsx&amp;sheet=U0&amp;row=4640&amp;col=7&amp;number=0.0193&amp;sourceID=14","0.0193")</f>
        <v>0.0193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HYPERLINK("http://141.218.60.56/~jnz1568/getInfo.php?workbook=14_04.xlsx&amp;sheet=U0&amp;row=4641&amp;col=6&amp;number=4.7&amp;sourceID=14","4.7")</f>
        <v>4.7</v>
      </c>
      <c r="G4641" s="4" t="str">
        <f>HYPERLINK("http://141.218.60.56/~jnz1568/getInfo.php?workbook=14_04.xlsx&amp;sheet=U0&amp;row=4641&amp;col=7&amp;number=0.0193&amp;sourceID=14","0.0193")</f>
        <v>0.0193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HYPERLINK("http://141.218.60.56/~jnz1568/getInfo.php?workbook=14_04.xlsx&amp;sheet=U0&amp;row=4642&amp;col=6&amp;number=4.8&amp;sourceID=14","4.8")</f>
        <v>4.8</v>
      </c>
      <c r="G4642" s="4" t="str">
        <f>HYPERLINK("http://141.218.60.56/~jnz1568/getInfo.php?workbook=14_04.xlsx&amp;sheet=U0&amp;row=4642&amp;col=7&amp;number=0.0193&amp;sourceID=14","0.0193")</f>
        <v>0.0193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HYPERLINK("http://141.218.60.56/~jnz1568/getInfo.php?workbook=14_04.xlsx&amp;sheet=U0&amp;row=4643&amp;col=6&amp;number=4.9&amp;sourceID=14","4.9")</f>
        <v>4.9</v>
      </c>
      <c r="G4643" s="4" t="str">
        <f>HYPERLINK("http://141.218.60.56/~jnz1568/getInfo.php?workbook=14_04.xlsx&amp;sheet=U0&amp;row=4643&amp;col=7&amp;number=0.0194&amp;sourceID=14","0.0194")</f>
        <v>0.0194</v>
      </c>
    </row>
    <row r="4644" spans="1:7">
      <c r="A4644" s="3">
        <v>14</v>
      </c>
      <c r="B4644" s="3">
        <v>4</v>
      </c>
      <c r="C4644" s="3">
        <v>3</v>
      </c>
      <c r="D4644" s="3">
        <v>34</v>
      </c>
      <c r="E4644" s="3">
        <v>1</v>
      </c>
      <c r="F4644" s="4" t="str">
        <f>HYPERLINK("http://141.218.60.56/~jnz1568/getInfo.php?workbook=14_04.xlsx&amp;sheet=U0&amp;row=4644&amp;col=6&amp;number=3&amp;sourceID=14","3")</f>
        <v>3</v>
      </c>
      <c r="G4644" s="4" t="str">
        <f>HYPERLINK("http://141.218.60.56/~jnz1568/getInfo.php?workbook=14_04.xlsx&amp;sheet=U0&amp;row=4644&amp;col=7&amp;number=0.0356&amp;sourceID=14","0.0356")</f>
        <v>0.0356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HYPERLINK("http://141.218.60.56/~jnz1568/getInfo.php?workbook=14_04.xlsx&amp;sheet=U0&amp;row=4645&amp;col=6&amp;number=3.1&amp;sourceID=14","3.1")</f>
        <v>3.1</v>
      </c>
      <c r="G4645" s="4" t="str">
        <f>HYPERLINK("http://141.218.60.56/~jnz1568/getInfo.php?workbook=14_04.xlsx&amp;sheet=U0&amp;row=4645&amp;col=7&amp;number=0.0356&amp;sourceID=14","0.0356")</f>
        <v>0.0356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HYPERLINK("http://141.218.60.56/~jnz1568/getInfo.php?workbook=14_04.xlsx&amp;sheet=U0&amp;row=4646&amp;col=6&amp;number=3.2&amp;sourceID=14","3.2")</f>
        <v>3.2</v>
      </c>
      <c r="G4646" s="4" t="str">
        <f>HYPERLINK("http://141.218.60.56/~jnz1568/getInfo.php?workbook=14_04.xlsx&amp;sheet=U0&amp;row=4646&amp;col=7&amp;number=0.0356&amp;sourceID=14","0.0356")</f>
        <v>0.0356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HYPERLINK("http://141.218.60.56/~jnz1568/getInfo.php?workbook=14_04.xlsx&amp;sheet=U0&amp;row=4647&amp;col=6&amp;number=3.3&amp;sourceID=14","3.3")</f>
        <v>3.3</v>
      </c>
      <c r="G4647" s="4" t="str">
        <f>HYPERLINK("http://141.218.60.56/~jnz1568/getInfo.php?workbook=14_04.xlsx&amp;sheet=U0&amp;row=4647&amp;col=7&amp;number=0.0356&amp;sourceID=14","0.0356")</f>
        <v>0.0356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HYPERLINK("http://141.218.60.56/~jnz1568/getInfo.php?workbook=14_04.xlsx&amp;sheet=U0&amp;row=4648&amp;col=6&amp;number=3.4&amp;sourceID=14","3.4")</f>
        <v>3.4</v>
      </c>
      <c r="G4648" s="4" t="str">
        <f>HYPERLINK("http://141.218.60.56/~jnz1568/getInfo.php?workbook=14_04.xlsx&amp;sheet=U0&amp;row=4648&amp;col=7&amp;number=0.0356&amp;sourceID=14","0.0356")</f>
        <v>0.0356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HYPERLINK("http://141.218.60.56/~jnz1568/getInfo.php?workbook=14_04.xlsx&amp;sheet=U0&amp;row=4649&amp;col=6&amp;number=3.5&amp;sourceID=14","3.5")</f>
        <v>3.5</v>
      </c>
      <c r="G4649" s="4" t="str">
        <f>HYPERLINK("http://141.218.60.56/~jnz1568/getInfo.php?workbook=14_04.xlsx&amp;sheet=U0&amp;row=4649&amp;col=7&amp;number=0.0356&amp;sourceID=14","0.0356")</f>
        <v>0.0356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HYPERLINK("http://141.218.60.56/~jnz1568/getInfo.php?workbook=14_04.xlsx&amp;sheet=U0&amp;row=4650&amp;col=6&amp;number=3.6&amp;sourceID=14","3.6")</f>
        <v>3.6</v>
      </c>
      <c r="G4650" s="4" t="str">
        <f>HYPERLINK("http://141.218.60.56/~jnz1568/getInfo.php?workbook=14_04.xlsx&amp;sheet=U0&amp;row=4650&amp;col=7&amp;number=0.0357&amp;sourceID=14","0.0357")</f>
        <v>0.0357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HYPERLINK("http://141.218.60.56/~jnz1568/getInfo.php?workbook=14_04.xlsx&amp;sheet=U0&amp;row=4651&amp;col=6&amp;number=3.7&amp;sourceID=14","3.7")</f>
        <v>3.7</v>
      </c>
      <c r="G4651" s="4" t="str">
        <f>HYPERLINK("http://141.218.60.56/~jnz1568/getInfo.php?workbook=14_04.xlsx&amp;sheet=U0&amp;row=4651&amp;col=7&amp;number=0.0357&amp;sourceID=14","0.0357")</f>
        <v>0.0357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HYPERLINK("http://141.218.60.56/~jnz1568/getInfo.php?workbook=14_04.xlsx&amp;sheet=U0&amp;row=4652&amp;col=6&amp;number=3.8&amp;sourceID=14","3.8")</f>
        <v>3.8</v>
      </c>
      <c r="G4652" s="4" t="str">
        <f>HYPERLINK("http://141.218.60.56/~jnz1568/getInfo.php?workbook=14_04.xlsx&amp;sheet=U0&amp;row=4652&amp;col=7&amp;number=0.0357&amp;sourceID=14","0.0357")</f>
        <v>0.0357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HYPERLINK("http://141.218.60.56/~jnz1568/getInfo.php?workbook=14_04.xlsx&amp;sheet=U0&amp;row=4653&amp;col=6&amp;number=3.9&amp;sourceID=14","3.9")</f>
        <v>3.9</v>
      </c>
      <c r="G4653" s="4" t="str">
        <f>HYPERLINK("http://141.218.60.56/~jnz1568/getInfo.php?workbook=14_04.xlsx&amp;sheet=U0&amp;row=4653&amp;col=7&amp;number=0.0357&amp;sourceID=14","0.0357")</f>
        <v>0.0357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HYPERLINK("http://141.218.60.56/~jnz1568/getInfo.php?workbook=14_04.xlsx&amp;sheet=U0&amp;row=4654&amp;col=6&amp;number=4&amp;sourceID=14","4")</f>
        <v>4</v>
      </c>
      <c r="G4654" s="4" t="str">
        <f>HYPERLINK("http://141.218.60.56/~jnz1568/getInfo.php?workbook=14_04.xlsx&amp;sheet=U0&amp;row=4654&amp;col=7&amp;number=0.0357&amp;sourceID=14","0.0357")</f>
        <v>0.0357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HYPERLINK("http://141.218.60.56/~jnz1568/getInfo.php?workbook=14_04.xlsx&amp;sheet=U0&amp;row=4655&amp;col=6&amp;number=4.1&amp;sourceID=14","4.1")</f>
        <v>4.1</v>
      </c>
      <c r="G4655" s="4" t="str">
        <f>HYPERLINK("http://141.218.60.56/~jnz1568/getInfo.php?workbook=14_04.xlsx&amp;sheet=U0&amp;row=4655&amp;col=7&amp;number=0.0357&amp;sourceID=14","0.0357")</f>
        <v>0.0357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HYPERLINK("http://141.218.60.56/~jnz1568/getInfo.php?workbook=14_04.xlsx&amp;sheet=U0&amp;row=4656&amp;col=6&amp;number=4.2&amp;sourceID=14","4.2")</f>
        <v>4.2</v>
      </c>
      <c r="G4656" s="4" t="str">
        <f>HYPERLINK("http://141.218.60.56/~jnz1568/getInfo.php?workbook=14_04.xlsx&amp;sheet=U0&amp;row=4656&amp;col=7&amp;number=0.0357&amp;sourceID=14","0.0357")</f>
        <v>0.0357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HYPERLINK("http://141.218.60.56/~jnz1568/getInfo.php?workbook=14_04.xlsx&amp;sheet=U0&amp;row=4657&amp;col=6&amp;number=4.3&amp;sourceID=14","4.3")</f>
        <v>4.3</v>
      </c>
      <c r="G4657" s="4" t="str">
        <f>HYPERLINK("http://141.218.60.56/~jnz1568/getInfo.php?workbook=14_04.xlsx&amp;sheet=U0&amp;row=4657&amp;col=7&amp;number=0.0358&amp;sourceID=14","0.0358")</f>
        <v>0.0358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HYPERLINK("http://141.218.60.56/~jnz1568/getInfo.php?workbook=14_04.xlsx&amp;sheet=U0&amp;row=4658&amp;col=6&amp;number=4.4&amp;sourceID=14","4.4")</f>
        <v>4.4</v>
      </c>
      <c r="G4658" s="4" t="str">
        <f>HYPERLINK("http://141.218.60.56/~jnz1568/getInfo.php?workbook=14_04.xlsx&amp;sheet=U0&amp;row=4658&amp;col=7&amp;number=0.0358&amp;sourceID=14","0.0358")</f>
        <v>0.0358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HYPERLINK("http://141.218.60.56/~jnz1568/getInfo.php?workbook=14_04.xlsx&amp;sheet=U0&amp;row=4659&amp;col=6&amp;number=4.5&amp;sourceID=14","4.5")</f>
        <v>4.5</v>
      </c>
      <c r="G4659" s="4" t="str">
        <f>HYPERLINK("http://141.218.60.56/~jnz1568/getInfo.php?workbook=14_04.xlsx&amp;sheet=U0&amp;row=4659&amp;col=7&amp;number=0.0358&amp;sourceID=14","0.0358")</f>
        <v>0.0358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HYPERLINK("http://141.218.60.56/~jnz1568/getInfo.php?workbook=14_04.xlsx&amp;sheet=U0&amp;row=4660&amp;col=6&amp;number=4.6&amp;sourceID=14","4.6")</f>
        <v>4.6</v>
      </c>
      <c r="G4660" s="4" t="str">
        <f>HYPERLINK("http://141.218.60.56/~jnz1568/getInfo.php?workbook=14_04.xlsx&amp;sheet=U0&amp;row=4660&amp;col=7&amp;number=0.0359&amp;sourceID=14","0.0359")</f>
        <v>0.0359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HYPERLINK("http://141.218.60.56/~jnz1568/getInfo.php?workbook=14_04.xlsx&amp;sheet=U0&amp;row=4661&amp;col=6&amp;number=4.7&amp;sourceID=14","4.7")</f>
        <v>4.7</v>
      </c>
      <c r="G4661" s="4" t="str">
        <f>HYPERLINK("http://141.218.60.56/~jnz1568/getInfo.php?workbook=14_04.xlsx&amp;sheet=U0&amp;row=4661&amp;col=7&amp;number=0.0359&amp;sourceID=14","0.0359")</f>
        <v>0.0359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HYPERLINK("http://141.218.60.56/~jnz1568/getInfo.php?workbook=14_04.xlsx&amp;sheet=U0&amp;row=4662&amp;col=6&amp;number=4.8&amp;sourceID=14","4.8")</f>
        <v>4.8</v>
      </c>
      <c r="G4662" s="4" t="str">
        <f>HYPERLINK("http://141.218.60.56/~jnz1568/getInfo.php?workbook=14_04.xlsx&amp;sheet=U0&amp;row=4662&amp;col=7&amp;number=0.036&amp;sourceID=14","0.036")</f>
        <v>0.036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HYPERLINK("http://141.218.60.56/~jnz1568/getInfo.php?workbook=14_04.xlsx&amp;sheet=U0&amp;row=4663&amp;col=6&amp;number=4.9&amp;sourceID=14","4.9")</f>
        <v>4.9</v>
      </c>
      <c r="G4663" s="4" t="str">
        <f>HYPERLINK("http://141.218.60.56/~jnz1568/getInfo.php?workbook=14_04.xlsx&amp;sheet=U0&amp;row=4663&amp;col=7&amp;number=0.0361&amp;sourceID=14","0.0361")</f>
        <v>0.0361</v>
      </c>
    </row>
    <row r="4664" spans="1:7">
      <c r="A4664" s="3">
        <v>14</v>
      </c>
      <c r="B4664" s="3">
        <v>4</v>
      </c>
      <c r="C4664" s="3">
        <v>3</v>
      </c>
      <c r="D4664" s="3">
        <v>35</v>
      </c>
      <c r="E4664" s="3">
        <v>1</v>
      </c>
      <c r="F4664" s="4" t="str">
        <f>HYPERLINK("http://141.218.60.56/~jnz1568/getInfo.php?workbook=14_04.xlsx&amp;sheet=U0&amp;row=4664&amp;col=6&amp;number=3&amp;sourceID=14","3")</f>
        <v>3</v>
      </c>
      <c r="G4664" s="4" t="str">
        <f>HYPERLINK("http://141.218.60.56/~jnz1568/getInfo.php?workbook=14_04.xlsx&amp;sheet=U0&amp;row=4664&amp;col=7&amp;number=0.00588&amp;sourceID=14","0.00588")</f>
        <v>0.00588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HYPERLINK("http://141.218.60.56/~jnz1568/getInfo.php?workbook=14_04.xlsx&amp;sheet=U0&amp;row=4665&amp;col=6&amp;number=3.1&amp;sourceID=14","3.1")</f>
        <v>3.1</v>
      </c>
      <c r="G4665" s="4" t="str">
        <f>HYPERLINK("http://141.218.60.56/~jnz1568/getInfo.php?workbook=14_04.xlsx&amp;sheet=U0&amp;row=4665&amp;col=7&amp;number=0.00588&amp;sourceID=14","0.00588")</f>
        <v>0.00588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HYPERLINK("http://141.218.60.56/~jnz1568/getInfo.php?workbook=14_04.xlsx&amp;sheet=U0&amp;row=4666&amp;col=6&amp;number=3.2&amp;sourceID=14","3.2")</f>
        <v>3.2</v>
      </c>
      <c r="G4666" s="4" t="str">
        <f>HYPERLINK("http://141.218.60.56/~jnz1568/getInfo.php?workbook=14_04.xlsx&amp;sheet=U0&amp;row=4666&amp;col=7&amp;number=0.00588&amp;sourceID=14","0.00588")</f>
        <v>0.00588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HYPERLINK("http://141.218.60.56/~jnz1568/getInfo.php?workbook=14_04.xlsx&amp;sheet=U0&amp;row=4667&amp;col=6&amp;number=3.3&amp;sourceID=14","3.3")</f>
        <v>3.3</v>
      </c>
      <c r="G4667" s="4" t="str">
        <f>HYPERLINK("http://141.218.60.56/~jnz1568/getInfo.php?workbook=14_04.xlsx&amp;sheet=U0&amp;row=4667&amp;col=7&amp;number=0.00588&amp;sourceID=14","0.00588")</f>
        <v>0.00588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HYPERLINK("http://141.218.60.56/~jnz1568/getInfo.php?workbook=14_04.xlsx&amp;sheet=U0&amp;row=4668&amp;col=6&amp;number=3.4&amp;sourceID=14","3.4")</f>
        <v>3.4</v>
      </c>
      <c r="G4668" s="4" t="str">
        <f>HYPERLINK("http://141.218.60.56/~jnz1568/getInfo.php?workbook=14_04.xlsx&amp;sheet=U0&amp;row=4668&amp;col=7&amp;number=0.00588&amp;sourceID=14","0.00588")</f>
        <v>0.00588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HYPERLINK("http://141.218.60.56/~jnz1568/getInfo.php?workbook=14_04.xlsx&amp;sheet=U0&amp;row=4669&amp;col=6&amp;number=3.5&amp;sourceID=14","3.5")</f>
        <v>3.5</v>
      </c>
      <c r="G4669" s="4" t="str">
        <f>HYPERLINK("http://141.218.60.56/~jnz1568/getInfo.php?workbook=14_04.xlsx&amp;sheet=U0&amp;row=4669&amp;col=7&amp;number=0.00588&amp;sourceID=14","0.00588")</f>
        <v>0.00588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HYPERLINK("http://141.218.60.56/~jnz1568/getInfo.php?workbook=14_04.xlsx&amp;sheet=U0&amp;row=4670&amp;col=6&amp;number=3.6&amp;sourceID=14","3.6")</f>
        <v>3.6</v>
      </c>
      <c r="G4670" s="4" t="str">
        <f>HYPERLINK("http://141.218.60.56/~jnz1568/getInfo.php?workbook=14_04.xlsx&amp;sheet=U0&amp;row=4670&amp;col=7&amp;number=0.00588&amp;sourceID=14","0.00588")</f>
        <v>0.00588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HYPERLINK("http://141.218.60.56/~jnz1568/getInfo.php?workbook=14_04.xlsx&amp;sheet=U0&amp;row=4671&amp;col=6&amp;number=3.7&amp;sourceID=14","3.7")</f>
        <v>3.7</v>
      </c>
      <c r="G4671" s="4" t="str">
        <f>HYPERLINK("http://141.218.60.56/~jnz1568/getInfo.php?workbook=14_04.xlsx&amp;sheet=U0&amp;row=4671&amp;col=7&amp;number=0.00588&amp;sourceID=14","0.00588")</f>
        <v>0.00588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HYPERLINK("http://141.218.60.56/~jnz1568/getInfo.php?workbook=14_04.xlsx&amp;sheet=U0&amp;row=4672&amp;col=6&amp;number=3.8&amp;sourceID=14","3.8")</f>
        <v>3.8</v>
      </c>
      <c r="G4672" s="4" t="str">
        <f>HYPERLINK("http://141.218.60.56/~jnz1568/getInfo.php?workbook=14_04.xlsx&amp;sheet=U0&amp;row=4672&amp;col=7&amp;number=0.00588&amp;sourceID=14","0.00588")</f>
        <v>0.00588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HYPERLINK("http://141.218.60.56/~jnz1568/getInfo.php?workbook=14_04.xlsx&amp;sheet=U0&amp;row=4673&amp;col=6&amp;number=3.9&amp;sourceID=14","3.9")</f>
        <v>3.9</v>
      </c>
      <c r="G4673" s="4" t="str">
        <f>HYPERLINK("http://141.218.60.56/~jnz1568/getInfo.php?workbook=14_04.xlsx&amp;sheet=U0&amp;row=4673&amp;col=7&amp;number=0.00588&amp;sourceID=14","0.00588")</f>
        <v>0.00588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HYPERLINK("http://141.218.60.56/~jnz1568/getInfo.php?workbook=14_04.xlsx&amp;sheet=U0&amp;row=4674&amp;col=6&amp;number=4&amp;sourceID=14","4")</f>
        <v>4</v>
      </c>
      <c r="G4674" s="4" t="str">
        <f>HYPERLINK("http://141.218.60.56/~jnz1568/getInfo.php?workbook=14_04.xlsx&amp;sheet=U0&amp;row=4674&amp;col=7&amp;number=0.00588&amp;sourceID=14","0.00588")</f>
        <v>0.00588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HYPERLINK("http://141.218.60.56/~jnz1568/getInfo.php?workbook=14_04.xlsx&amp;sheet=U0&amp;row=4675&amp;col=6&amp;number=4.1&amp;sourceID=14","4.1")</f>
        <v>4.1</v>
      </c>
      <c r="G4675" s="4" t="str">
        <f>HYPERLINK("http://141.218.60.56/~jnz1568/getInfo.php?workbook=14_04.xlsx&amp;sheet=U0&amp;row=4675&amp;col=7&amp;number=0.00588&amp;sourceID=14","0.00588")</f>
        <v>0.00588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HYPERLINK("http://141.218.60.56/~jnz1568/getInfo.php?workbook=14_04.xlsx&amp;sheet=U0&amp;row=4676&amp;col=6&amp;number=4.2&amp;sourceID=14","4.2")</f>
        <v>4.2</v>
      </c>
      <c r="G4676" s="4" t="str">
        <f>HYPERLINK("http://141.218.60.56/~jnz1568/getInfo.php?workbook=14_04.xlsx&amp;sheet=U0&amp;row=4676&amp;col=7&amp;number=0.00588&amp;sourceID=14","0.00588")</f>
        <v>0.00588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HYPERLINK("http://141.218.60.56/~jnz1568/getInfo.php?workbook=14_04.xlsx&amp;sheet=U0&amp;row=4677&amp;col=6&amp;number=4.3&amp;sourceID=14","4.3")</f>
        <v>4.3</v>
      </c>
      <c r="G4677" s="4" t="str">
        <f>HYPERLINK("http://141.218.60.56/~jnz1568/getInfo.php?workbook=14_04.xlsx&amp;sheet=U0&amp;row=4677&amp;col=7&amp;number=0.00587&amp;sourceID=14","0.00587")</f>
        <v>0.00587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HYPERLINK("http://141.218.60.56/~jnz1568/getInfo.php?workbook=14_04.xlsx&amp;sheet=U0&amp;row=4678&amp;col=6&amp;number=4.4&amp;sourceID=14","4.4")</f>
        <v>4.4</v>
      </c>
      <c r="G4678" s="4" t="str">
        <f>HYPERLINK("http://141.218.60.56/~jnz1568/getInfo.php?workbook=14_04.xlsx&amp;sheet=U0&amp;row=4678&amp;col=7&amp;number=0.00587&amp;sourceID=14","0.00587")</f>
        <v>0.00587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HYPERLINK("http://141.218.60.56/~jnz1568/getInfo.php?workbook=14_04.xlsx&amp;sheet=U0&amp;row=4679&amp;col=6&amp;number=4.5&amp;sourceID=14","4.5")</f>
        <v>4.5</v>
      </c>
      <c r="G4679" s="4" t="str">
        <f>HYPERLINK("http://141.218.60.56/~jnz1568/getInfo.php?workbook=14_04.xlsx&amp;sheet=U0&amp;row=4679&amp;col=7&amp;number=0.00587&amp;sourceID=14","0.00587")</f>
        <v>0.00587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HYPERLINK("http://141.218.60.56/~jnz1568/getInfo.php?workbook=14_04.xlsx&amp;sheet=U0&amp;row=4680&amp;col=6&amp;number=4.6&amp;sourceID=14","4.6")</f>
        <v>4.6</v>
      </c>
      <c r="G4680" s="4" t="str">
        <f>HYPERLINK("http://141.218.60.56/~jnz1568/getInfo.php?workbook=14_04.xlsx&amp;sheet=U0&amp;row=4680&amp;col=7&amp;number=0.00587&amp;sourceID=14","0.00587")</f>
        <v>0.00587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HYPERLINK("http://141.218.60.56/~jnz1568/getInfo.php?workbook=14_04.xlsx&amp;sheet=U0&amp;row=4681&amp;col=6&amp;number=4.7&amp;sourceID=14","4.7")</f>
        <v>4.7</v>
      </c>
      <c r="G4681" s="4" t="str">
        <f>HYPERLINK("http://141.218.60.56/~jnz1568/getInfo.php?workbook=14_04.xlsx&amp;sheet=U0&amp;row=4681&amp;col=7&amp;number=0.00587&amp;sourceID=14","0.00587")</f>
        <v>0.00587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HYPERLINK("http://141.218.60.56/~jnz1568/getInfo.php?workbook=14_04.xlsx&amp;sheet=U0&amp;row=4682&amp;col=6&amp;number=4.8&amp;sourceID=14","4.8")</f>
        <v>4.8</v>
      </c>
      <c r="G4682" s="4" t="str">
        <f>HYPERLINK("http://141.218.60.56/~jnz1568/getInfo.php?workbook=14_04.xlsx&amp;sheet=U0&amp;row=4682&amp;col=7&amp;number=0.00587&amp;sourceID=14","0.00587")</f>
        <v>0.00587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HYPERLINK("http://141.218.60.56/~jnz1568/getInfo.php?workbook=14_04.xlsx&amp;sheet=U0&amp;row=4683&amp;col=6&amp;number=4.9&amp;sourceID=14","4.9")</f>
        <v>4.9</v>
      </c>
      <c r="G4683" s="4" t="str">
        <f>HYPERLINK("http://141.218.60.56/~jnz1568/getInfo.php?workbook=14_04.xlsx&amp;sheet=U0&amp;row=4683&amp;col=7&amp;number=0.00586&amp;sourceID=14","0.00586")</f>
        <v>0.00586</v>
      </c>
    </row>
    <row r="4684" spans="1:7">
      <c r="A4684" s="3">
        <v>14</v>
      </c>
      <c r="B4684" s="3">
        <v>4</v>
      </c>
      <c r="C4684" s="3">
        <v>3</v>
      </c>
      <c r="D4684" s="3">
        <v>36</v>
      </c>
      <c r="E4684" s="3">
        <v>1</v>
      </c>
      <c r="F4684" s="4" t="str">
        <f>HYPERLINK("http://141.218.60.56/~jnz1568/getInfo.php?workbook=14_04.xlsx&amp;sheet=U0&amp;row=4684&amp;col=6&amp;number=3&amp;sourceID=14","3")</f>
        <v>3</v>
      </c>
      <c r="G4684" s="4" t="str">
        <f>HYPERLINK("http://141.218.60.56/~jnz1568/getInfo.php?workbook=14_04.xlsx&amp;sheet=U0&amp;row=4684&amp;col=7&amp;number=0.00427&amp;sourceID=14","0.00427")</f>
        <v>0.00427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HYPERLINK("http://141.218.60.56/~jnz1568/getInfo.php?workbook=14_04.xlsx&amp;sheet=U0&amp;row=4685&amp;col=6&amp;number=3.1&amp;sourceID=14","3.1")</f>
        <v>3.1</v>
      </c>
      <c r="G4685" s="4" t="str">
        <f>HYPERLINK("http://141.218.60.56/~jnz1568/getInfo.php?workbook=14_04.xlsx&amp;sheet=U0&amp;row=4685&amp;col=7&amp;number=0.00427&amp;sourceID=14","0.00427")</f>
        <v>0.00427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HYPERLINK("http://141.218.60.56/~jnz1568/getInfo.php?workbook=14_04.xlsx&amp;sheet=U0&amp;row=4686&amp;col=6&amp;number=3.2&amp;sourceID=14","3.2")</f>
        <v>3.2</v>
      </c>
      <c r="G4686" s="4" t="str">
        <f>HYPERLINK("http://141.218.60.56/~jnz1568/getInfo.php?workbook=14_04.xlsx&amp;sheet=U0&amp;row=4686&amp;col=7&amp;number=0.00427&amp;sourceID=14","0.00427")</f>
        <v>0.00427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HYPERLINK("http://141.218.60.56/~jnz1568/getInfo.php?workbook=14_04.xlsx&amp;sheet=U0&amp;row=4687&amp;col=6&amp;number=3.3&amp;sourceID=14","3.3")</f>
        <v>3.3</v>
      </c>
      <c r="G4687" s="4" t="str">
        <f>HYPERLINK("http://141.218.60.56/~jnz1568/getInfo.php?workbook=14_04.xlsx&amp;sheet=U0&amp;row=4687&amp;col=7&amp;number=0.00427&amp;sourceID=14","0.00427")</f>
        <v>0.00427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HYPERLINK("http://141.218.60.56/~jnz1568/getInfo.php?workbook=14_04.xlsx&amp;sheet=U0&amp;row=4688&amp;col=6&amp;number=3.4&amp;sourceID=14","3.4")</f>
        <v>3.4</v>
      </c>
      <c r="G4688" s="4" t="str">
        <f>HYPERLINK("http://141.218.60.56/~jnz1568/getInfo.php?workbook=14_04.xlsx&amp;sheet=U0&amp;row=4688&amp;col=7&amp;number=0.00427&amp;sourceID=14","0.00427")</f>
        <v>0.00427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HYPERLINK("http://141.218.60.56/~jnz1568/getInfo.php?workbook=14_04.xlsx&amp;sheet=U0&amp;row=4689&amp;col=6&amp;number=3.5&amp;sourceID=14","3.5")</f>
        <v>3.5</v>
      </c>
      <c r="G4689" s="4" t="str">
        <f>HYPERLINK("http://141.218.60.56/~jnz1568/getInfo.php?workbook=14_04.xlsx&amp;sheet=U0&amp;row=4689&amp;col=7&amp;number=0.00427&amp;sourceID=14","0.00427")</f>
        <v>0.00427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HYPERLINK("http://141.218.60.56/~jnz1568/getInfo.php?workbook=14_04.xlsx&amp;sheet=U0&amp;row=4690&amp;col=6&amp;number=3.6&amp;sourceID=14","3.6")</f>
        <v>3.6</v>
      </c>
      <c r="G4690" s="4" t="str">
        <f>HYPERLINK("http://141.218.60.56/~jnz1568/getInfo.php?workbook=14_04.xlsx&amp;sheet=U0&amp;row=4690&amp;col=7&amp;number=0.00427&amp;sourceID=14","0.00427")</f>
        <v>0.00427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HYPERLINK("http://141.218.60.56/~jnz1568/getInfo.php?workbook=14_04.xlsx&amp;sheet=U0&amp;row=4691&amp;col=6&amp;number=3.7&amp;sourceID=14","3.7")</f>
        <v>3.7</v>
      </c>
      <c r="G4691" s="4" t="str">
        <f>HYPERLINK("http://141.218.60.56/~jnz1568/getInfo.php?workbook=14_04.xlsx&amp;sheet=U0&amp;row=4691&amp;col=7&amp;number=0.00427&amp;sourceID=14","0.00427")</f>
        <v>0.00427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HYPERLINK("http://141.218.60.56/~jnz1568/getInfo.php?workbook=14_04.xlsx&amp;sheet=U0&amp;row=4692&amp;col=6&amp;number=3.8&amp;sourceID=14","3.8")</f>
        <v>3.8</v>
      </c>
      <c r="G4692" s="4" t="str">
        <f>HYPERLINK("http://141.218.60.56/~jnz1568/getInfo.php?workbook=14_04.xlsx&amp;sheet=U0&amp;row=4692&amp;col=7&amp;number=0.00427&amp;sourceID=14","0.00427")</f>
        <v>0.00427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HYPERLINK("http://141.218.60.56/~jnz1568/getInfo.php?workbook=14_04.xlsx&amp;sheet=U0&amp;row=4693&amp;col=6&amp;number=3.9&amp;sourceID=14","3.9")</f>
        <v>3.9</v>
      </c>
      <c r="G4693" s="4" t="str">
        <f>HYPERLINK("http://141.218.60.56/~jnz1568/getInfo.php?workbook=14_04.xlsx&amp;sheet=U0&amp;row=4693&amp;col=7&amp;number=0.00427&amp;sourceID=14","0.00427")</f>
        <v>0.00427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HYPERLINK("http://141.218.60.56/~jnz1568/getInfo.php?workbook=14_04.xlsx&amp;sheet=U0&amp;row=4694&amp;col=6&amp;number=4&amp;sourceID=14","4")</f>
        <v>4</v>
      </c>
      <c r="G4694" s="4" t="str">
        <f>HYPERLINK("http://141.218.60.56/~jnz1568/getInfo.php?workbook=14_04.xlsx&amp;sheet=U0&amp;row=4694&amp;col=7&amp;number=0.00427&amp;sourceID=14","0.00427")</f>
        <v>0.00427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HYPERLINK("http://141.218.60.56/~jnz1568/getInfo.php?workbook=14_04.xlsx&amp;sheet=U0&amp;row=4695&amp;col=6&amp;number=4.1&amp;sourceID=14","4.1")</f>
        <v>4.1</v>
      </c>
      <c r="G4695" s="4" t="str">
        <f>HYPERLINK("http://141.218.60.56/~jnz1568/getInfo.php?workbook=14_04.xlsx&amp;sheet=U0&amp;row=4695&amp;col=7&amp;number=0.00427&amp;sourceID=14","0.00427")</f>
        <v>0.00427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HYPERLINK("http://141.218.60.56/~jnz1568/getInfo.php?workbook=14_04.xlsx&amp;sheet=U0&amp;row=4696&amp;col=6&amp;number=4.2&amp;sourceID=14","4.2")</f>
        <v>4.2</v>
      </c>
      <c r="G4696" s="4" t="str">
        <f>HYPERLINK("http://141.218.60.56/~jnz1568/getInfo.php?workbook=14_04.xlsx&amp;sheet=U0&amp;row=4696&amp;col=7&amp;number=0.00426&amp;sourceID=14","0.00426")</f>
        <v>0.00426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HYPERLINK("http://141.218.60.56/~jnz1568/getInfo.php?workbook=14_04.xlsx&amp;sheet=U0&amp;row=4697&amp;col=6&amp;number=4.3&amp;sourceID=14","4.3")</f>
        <v>4.3</v>
      </c>
      <c r="G4697" s="4" t="str">
        <f>HYPERLINK("http://141.218.60.56/~jnz1568/getInfo.php?workbook=14_04.xlsx&amp;sheet=U0&amp;row=4697&amp;col=7&amp;number=0.00426&amp;sourceID=14","0.00426")</f>
        <v>0.00426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HYPERLINK("http://141.218.60.56/~jnz1568/getInfo.php?workbook=14_04.xlsx&amp;sheet=U0&amp;row=4698&amp;col=6&amp;number=4.4&amp;sourceID=14","4.4")</f>
        <v>4.4</v>
      </c>
      <c r="G4698" s="4" t="str">
        <f>HYPERLINK("http://141.218.60.56/~jnz1568/getInfo.php?workbook=14_04.xlsx&amp;sheet=U0&amp;row=4698&amp;col=7&amp;number=0.00426&amp;sourceID=14","0.00426")</f>
        <v>0.00426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HYPERLINK("http://141.218.60.56/~jnz1568/getInfo.php?workbook=14_04.xlsx&amp;sheet=U0&amp;row=4699&amp;col=6&amp;number=4.5&amp;sourceID=14","4.5")</f>
        <v>4.5</v>
      </c>
      <c r="G4699" s="4" t="str">
        <f>HYPERLINK("http://141.218.60.56/~jnz1568/getInfo.php?workbook=14_04.xlsx&amp;sheet=U0&amp;row=4699&amp;col=7&amp;number=0.00425&amp;sourceID=14","0.00425")</f>
        <v>0.00425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HYPERLINK("http://141.218.60.56/~jnz1568/getInfo.php?workbook=14_04.xlsx&amp;sheet=U0&amp;row=4700&amp;col=6&amp;number=4.6&amp;sourceID=14","4.6")</f>
        <v>4.6</v>
      </c>
      <c r="G4700" s="4" t="str">
        <f>HYPERLINK("http://141.218.60.56/~jnz1568/getInfo.php?workbook=14_04.xlsx&amp;sheet=U0&amp;row=4700&amp;col=7&amp;number=0.00425&amp;sourceID=14","0.00425")</f>
        <v>0.00425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HYPERLINK("http://141.218.60.56/~jnz1568/getInfo.php?workbook=14_04.xlsx&amp;sheet=U0&amp;row=4701&amp;col=6&amp;number=4.7&amp;sourceID=14","4.7")</f>
        <v>4.7</v>
      </c>
      <c r="G4701" s="4" t="str">
        <f>HYPERLINK("http://141.218.60.56/~jnz1568/getInfo.php?workbook=14_04.xlsx&amp;sheet=U0&amp;row=4701&amp;col=7&amp;number=0.00424&amp;sourceID=14","0.00424")</f>
        <v>0.00424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HYPERLINK("http://141.218.60.56/~jnz1568/getInfo.php?workbook=14_04.xlsx&amp;sheet=U0&amp;row=4702&amp;col=6&amp;number=4.8&amp;sourceID=14","4.8")</f>
        <v>4.8</v>
      </c>
      <c r="G4702" s="4" t="str">
        <f>HYPERLINK("http://141.218.60.56/~jnz1568/getInfo.php?workbook=14_04.xlsx&amp;sheet=U0&amp;row=4702&amp;col=7&amp;number=0.00423&amp;sourceID=14","0.00423")</f>
        <v>0.00423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HYPERLINK("http://141.218.60.56/~jnz1568/getInfo.php?workbook=14_04.xlsx&amp;sheet=U0&amp;row=4703&amp;col=6&amp;number=4.9&amp;sourceID=14","4.9")</f>
        <v>4.9</v>
      </c>
      <c r="G4703" s="4" t="str">
        <f>HYPERLINK("http://141.218.60.56/~jnz1568/getInfo.php?workbook=14_04.xlsx&amp;sheet=U0&amp;row=4703&amp;col=7&amp;number=0.00422&amp;sourceID=14","0.00422")</f>
        <v>0.00422</v>
      </c>
    </row>
    <row r="4704" spans="1:7">
      <c r="A4704" s="3">
        <v>14</v>
      </c>
      <c r="B4704" s="3">
        <v>4</v>
      </c>
      <c r="C4704" s="3">
        <v>3</v>
      </c>
      <c r="D4704" s="3">
        <v>37</v>
      </c>
      <c r="E4704" s="3">
        <v>1</v>
      </c>
      <c r="F4704" s="4" t="str">
        <f>HYPERLINK("http://141.218.60.56/~jnz1568/getInfo.php?workbook=14_04.xlsx&amp;sheet=U0&amp;row=4704&amp;col=6&amp;number=3&amp;sourceID=14","3")</f>
        <v>3</v>
      </c>
      <c r="G4704" s="4" t="str">
        <f>HYPERLINK("http://141.218.60.56/~jnz1568/getInfo.php?workbook=14_04.xlsx&amp;sheet=U0&amp;row=4704&amp;col=7&amp;number=0.00221&amp;sourceID=14","0.00221")</f>
        <v>0.00221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HYPERLINK("http://141.218.60.56/~jnz1568/getInfo.php?workbook=14_04.xlsx&amp;sheet=U0&amp;row=4705&amp;col=6&amp;number=3.1&amp;sourceID=14","3.1")</f>
        <v>3.1</v>
      </c>
      <c r="G4705" s="4" t="str">
        <f>HYPERLINK("http://141.218.60.56/~jnz1568/getInfo.php?workbook=14_04.xlsx&amp;sheet=U0&amp;row=4705&amp;col=7&amp;number=0.00221&amp;sourceID=14","0.00221")</f>
        <v>0.00221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HYPERLINK("http://141.218.60.56/~jnz1568/getInfo.php?workbook=14_04.xlsx&amp;sheet=U0&amp;row=4706&amp;col=6&amp;number=3.2&amp;sourceID=14","3.2")</f>
        <v>3.2</v>
      </c>
      <c r="G4706" s="4" t="str">
        <f>HYPERLINK("http://141.218.60.56/~jnz1568/getInfo.php?workbook=14_04.xlsx&amp;sheet=U0&amp;row=4706&amp;col=7&amp;number=0.00221&amp;sourceID=14","0.00221")</f>
        <v>0.00221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HYPERLINK("http://141.218.60.56/~jnz1568/getInfo.php?workbook=14_04.xlsx&amp;sheet=U0&amp;row=4707&amp;col=6&amp;number=3.3&amp;sourceID=14","3.3")</f>
        <v>3.3</v>
      </c>
      <c r="G4707" s="4" t="str">
        <f>HYPERLINK("http://141.218.60.56/~jnz1568/getInfo.php?workbook=14_04.xlsx&amp;sheet=U0&amp;row=4707&amp;col=7&amp;number=0.00221&amp;sourceID=14","0.00221")</f>
        <v>0.00221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HYPERLINK("http://141.218.60.56/~jnz1568/getInfo.php?workbook=14_04.xlsx&amp;sheet=U0&amp;row=4708&amp;col=6&amp;number=3.4&amp;sourceID=14","3.4")</f>
        <v>3.4</v>
      </c>
      <c r="G4708" s="4" t="str">
        <f>HYPERLINK("http://141.218.60.56/~jnz1568/getInfo.php?workbook=14_04.xlsx&amp;sheet=U0&amp;row=4708&amp;col=7&amp;number=0.00221&amp;sourceID=14","0.00221")</f>
        <v>0.00221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HYPERLINK("http://141.218.60.56/~jnz1568/getInfo.php?workbook=14_04.xlsx&amp;sheet=U0&amp;row=4709&amp;col=6&amp;number=3.5&amp;sourceID=14","3.5")</f>
        <v>3.5</v>
      </c>
      <c r="G4709" s="4" t="str">
        <f>HYPERLINK("http://141.218.60.56/~jnz1568/getInfo.php?workbook=14_04.xlsx&amp;sheet=U0&amp;row=4709&amp;col=7&amp;number=0.0022&amp;sourceID=14","0.0022")</f>
        <v>0.0022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HYPERLINK("http://141.218.60.56/~jnz1568/getInfo.php?workbook=14_04.xlsx&amp;sheet=U0&amp;row=4710&amp;col=6&amp;number=3.6&amp;sourceID=14","3.6")</f>
        <v>3.6</v>
      </c>
      <c r="G4710" s="4" t="str">
        <f>HYPERLINK("http://141.218.60.56/~jnz1568/getInfo.php?workbook=14_04.xlsx&amp;sheet=U0&amp;row=4710&amp;col=7&amp;number=0.0022&amp;sourceID=14","0.0022")</f>
        <v>0.0022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HYPERLINK("http://141.218.60.56/~jnz1568/getInfo.php?workbook=14_04.xlsx&amp;sheet=U0&amp;row=4711&amp;col=6&amp;number=3.7&amp;sourceID=14","3.7")</f>
        <v>3.7</v>
      </c>
      <c r="G4711" s="4" t="str">
        <f>HYPERLINK("http://141.218.60.56/~jnz1568/getInfo.php?workbook=14_04.xlsx&amp;sheet=U0&amp;row=4711&amp;col=7&amp;number=0.0022&amp;sourceID=14","0.0022")</f>
        <v>0.0022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HYPERLINK("http://141.218.60.56/~jnz1568/getInfo.php?workbook=14_04.xlsx&amp;sheet=U0&amp;row=4712&amp;col=6&amp;number=3.8&amp;sourceID=14","3.8")</f>
        <v>3.8</v>
      </c>
      <c r="G4712" s="4" t="str">
        <f>HYPERLINK("http://141.218.60.56/~jnz1568/getInfo.php?workbook=14_04.xlsx&amp;sheet=U0&amp;row=4712&amp;col=7&amp;number=0.0022&amp;sourceID=14","0.0022")</f>
        <v>0.0022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HYPERLINK("http://141.218.60.56/~jnz1568/getInfo.php?workbook=14_04.xlsx&amp;sheet=U0&amp;row=4713&amp;col=6&amp;number=3.9&amp;sourceID=14","3.9")</f>
        <v>3.9</v>
      </c>
      <c r="G4713" s="4" t="str">
        <f>HYPERLINK("http://141.218.60.56/~jnz1568/getInfo.php?workbook=14_04.xlsx&amp;sheet=U0&amp;row=4713&amp;col=7&amp;number=0.0022&amp;sourceID=14","0.0022")</f>
        <v>0.0022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HYPERLINK("http://141.218.60.56/~jnz1568/getInfo.php?workbook=14_04.xlsx&amp;sheet=U0&amp;row=4714&amp;col=6&amp;number=4&amp;sourceID=14","4")</f>
        <v>4</v>
      </c>
      <c r="G4714" s="4" t="str">
        <f>HYPERLINK("http://141.218.60.56/~jnz1568/getInfo.php?workbook=14_04.xlsx&amp;sheet=U0&amp;row=4714&amp;col=7&amp;number=0.0022&amp;sourceID=14","0.0022")</f>
        <v>0.0022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HYPERLINK("http://141.218.60.56/~jnz1568/getInfo.php?workbook=14_04.xlsx&amp;sheet=U0&amp;row=4715&amp;col=6&amp;number=4.1&amp;sourceID=14","4.1")</f>
        <v>4.1</v>
      </c>
      <c r="G4715" s="4" t="str">
        <f>HYPERLINK("http://141.218.60.56/~jnz1568/getInfo.php?workbook=14_04.xlsx&amp;sheet=U0&amp;row=4715&amp;col=7&amp;number=0.0022&amp;sourceID=14","0.0022")</f>
        <v>0.0022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HYPERLINK("http://141.218.60.56/~jnz1568/getInfo.php?workbook=14_04.xlsx&amp;sheet=U0&amp;row=4716&amp;col=6&amp;number=4.2&amp;sourceID=14","4.2")</f>
        <v>4.2</v>
      </c>
      <c r="G4716" s="4" t="str">
        <f>HYPERLINK("http://141.218.60.56/~jnz1568/getInfo.php?workbook=14_04.xlsx&amp;sheet=U0&amp;row=4716&amp;col=7&amp;number=0.0022&amp;sourceID=14","0.0022")</f>
        <v>0.0022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HYPERLINK("http://141.218.60.56/~jnz1568/getInfo.php?workbook=14_04.xlsx&amp;sheet=U0&amp;row=4717&amp;col=6&amp;number=4.3&amp;sourceID=14","4.3")</f>
        <v>4.3</v>
      </c>
      <c r="G4717" s="4" t="str">
        <f>HYPERLINK("http://141.218.60.56/~jnz1568/getInfo.php?workbook=14_04.xlsx&amp;sheet=U0&amp;row=4717&amp;col=7&amp;number=0.0022&amp;sourceID=14","0.0022")</f>
        <v>0.0022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HYPERLINK("http://141.218.60.56/~jnz1568/getInfo.php?workbook=14_04.xlsx&amp;sheet=U0&amp;row=4718&amp;col=6&amp;number=4.4&amp;sourceID=14","4.4")</f>
        <v>4.4</v>
      </c>
      <c r="G4718" s="4" t="str">
        <f>HYPERLINK("http://141.218.60.56/~jnz1568/getInfo.php?workbook=14_04.xlsx&amp;sheet=U0&amp;row=4718&amp;col=7&amp;number=0.0022&amp;sourceID=14","0.0022")</f>
        <v>0.0022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HYPERLINK("http://141.218.60.56/~jnz1568/getInfo.php?workbook=14_04.xlsx&amp;sheet=U0&amp;row=4719&amp;col=6&amp;number=4.5&amp;sourceID=14","4.5")</f>
        <v>4.5</v>
      </c>
      <c r="G4719" s="4" t="str">
        <f>HYPERLINK("http://141.218.60.56/~jnz1568/getInfo.php?workbook=14_04.xlsx&amp;sheet=U0&amp;row=4719&amp;col=7&amp;number=0.0022&amp;sourceID=14","0.0022")</f>
        <v>0.0022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HYPERLINK("http://141.218.60.56/~jnz1568/getInfo.php?workbook=14_04.xlsx&amp;sheet=U0&amp;row=4720&amp;col=6&amp;number=4.6&amp;sourceID=14","4.6")</f>
        <v>4.6</v>
      </c>
      <c r="G4720" s="4" t="str">
        <f>HYPERLINK("http://141.218.60.56/~jnz1568/getInfo.php?workbook=14_04.xlsx&amp;sheet=U0&amp;row=4720&amp;col=7&amp;number=0.00219&amp;sourceID=14","0.00219")</f>
        <v>0.00219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HYPERLINK("http://141.218.60.56/~jnz1568/getInfo.php?workbook=14_04.xlsx&amp;sheet=U0&amp;row=4721&amp;col=6&amp;number=4.7&amp;sourceID=14","4.7")</f>
        <v>4.7</v>
      </c>
      <c r="G4721" s="4" t="str">
        <f>HYPERLINK("http://141.218.60.56/~jnz1568/getInfo.php?workbook=14_04.xlsx&amp;sheet=U0&amp;row=4721&amp;col=7&amp;number=0.00219&amp;sourceID=14","0.00219")</f>
        <v>0.00219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HYPERLINK("http://141.218.60.56/~jnz1568/getInfo.php?workbook=14_04.xlsx&amp;sheet=U0&amp;row=4722&amp;col=6&amp;number=4.8&amp;sourceID=14","4.8")</f>
        <v>4.8</v>
      </c>
      <c r="G4722" s="4" t="str">
        <f>HYPERLINK("http://141.218.60.56/~jnz1568/getInfo.php?workbook=14_04.xlsx&amp;sheet=U0&amp;row=4722&amp;col=7&amp;number=0.00219&amp;sourceID=14","0.00219")</f>
        <v>0.00219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HYPERLINK("http://141.218.60.56/~jnz1568/getInfo.php?workbook=14_04.xlsx&amp;sheet=U0&amp;row=4723&amp;col=6&amp;number=4.9&amp;sourceID=14","4.9")</f>
        <v>4.9</v>
      </c>
      <c r="G4723" s="4" t="str">
        <f>HYPERLINK("http://141.218.60.56/~jnz1568/getInfo.php?workbook=14_04.xlsx&amp;sheet=U0&amp;row=4723&amp;col=7&amp;number=0.00218&amp;sourceID=14","0.00218")</f>
        <v>0.00218</v>
      </c>
    </row>
    <row r="4724" spans="1:7">
      <c r="A4724" s="3">
        <v>14</v>
      </c>
      <c r="B4724" s="3">
        <v>4</v>
      </c>
      <c r="C4724" s="3">
        <v>3</v>
      </c>
      <c r="D4724" s="3">
        <v>38</v>
      </c>
      <c r="E4724" s="3">
        <v>1</v>
      </c>
      <c r="F4724" s="4" t="str">
        <f>HYPERLINK("http://141.218.60.56/~jnz1568/getInfo.php?workbook=14_04.xlsx&amp;sheet=U0&amp;row=4724&amp;col=6&amp;number=3&amp;sourceID=14","3")</f>
        <v>3</v>
      </c>
      <c r="G4724" s="4" t="str">
        <f>HYPERLINK("http://141.218.60.56/~jnz1568/getInfo.php?workbook=14_04.xlsx&amp;sheet=U0&amp;row=4724&amp;col=7&amp;number=0.0172&amp;sourceID=14","0.0172")</f>
        <v>0.0172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HYPERLINK("http://141.218.60.56/~jnz1568/getInfo.php?workbook=14_04.xlsx&amp;sheet=U0&amp;row=4725&amp;col=6&amp;number=3.1&amp;sourceID=14","3.1")</f>
        <v>3.1</v>
      </c>
      <c r="G4725" s="4" t="str">
        <f>HYPERLINK("http://141.218.60.56/~jnz1568/getInfo.php?workbook=14_04.xlsx&amp;sheet=U0&amp;row=4725&amp;col=7&amp;number=0.0172&amp;sourceID=14","0.0172")</f>
        <v>0.0172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HYPERLINK("http://141.218.60.56/~jnz1568/getInfo.php?workbook=14_04.xlsx&amp;sheet=U0&amp;row=4726&amp;col=6&amp;number=3.2&amp;sourceID=14","3.2")</f>
        <v>3.2</v>
      </c>
      <c r="G4726" s="4" t="str">
        <f>HYPERLINK("http://141.218.60.56/~jnz1568/getInfo.php?workbook=14_04.xlsx&amp;sheet=U0&amp;row=4726&amp;col=7&amp;number=0.0172&amp;sourceID=14","0.0172")</f>
        <v>0.0172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HYPERLINK("http://141.218.60.56/~jnz1568/getInfo.php?workbook=14_04.xlsx&amp;sheet=U0&amp;row=4727&amp;col=6&amp;number=3.3&amp;sourceID=14","3.3")</f>
        <v>3.3</v>
      </c>
      <c r="G4727" s="4" t="str">
        <f>HYPERLINK("http://141.218.60.56/~jnz1568/getInfo.php?workbook=14_04.xlsx&amp;sheet=U0&amp;row=4727&amp;col=7&amp;number=0.0172&amp;sourceID=14","0.0172")</f>
        <v>0.0172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HYPERLINK("http://141.218.60.56/~jnz1568/getInfo.php?workbook=14_04.xlsx&amp;sheet=U0&amp;row=4728&amp;col=6&amp;number=3.4&amp;sourceID=14","3.4")</f>
        <v>3.4</v>
      </c>
      <c r="G4728" s="4" t="str">
        <f>HYPERLINK("http://141.218.60.56/~jnz1568/getInfo.php?workbook=14_04.xlsx&amp;sheet=U0&amp;row=4728&amp;col=7&amp;number=0.0172&amp;sourceID=14","0.0172")</f>
        <v>0.0172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HYPERLINK("http://141.218.60.56/~jnz1568/getInfo.php?workbook=14_04.xlsx&amp;sheet=U0&amp;row=4729&amp;col=6&amp;number=3.5&amp;sourceID=14","3.5")</f>
        <v>3.5</v>
      </c>
      <c r="G4729" s="4" t="str">
        <f>HYPERLINK("http://141.218.60.56/~jnz1568/getInfo.php?workbook=14_04.xlsx&amp;sheet=U0&amp;row=4729&amp;col=7&amp;number=0.0172&amp;sourceID=14","0.0172")</f>
        <v>0.0172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HYPERLINK("http://141.218.60.56/~jnz1568/getInfo.php?workbook=14_04.xlsx&amp;sheet=U0&amp;row=4730&amp;col=6&amp;number=3.6&amp;sourceID=14","3.6")</f>
        <v>3.6</v>
      </c>
      <c r="G4730" s="4" t="str">
        <f>HYPERLINK("http://141.218.60.56/~jnz1568/getInfo.php?workbook=14_04.xlsx&amp;sheet=U0&amp;row=4730&amp;col=7&amp;number=0.0172&amp;sourceID=14","0.0172")</f>
        <v>0.0172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HYPERLINK("http://141.218.60.56/~jnz1568/getInfo.php?workbook=14_04.xlsx&amp;sheet=U0&amp;row=4731&amp;col=6&amp;number=3.7&amp;sourceID=14","3.7")</f>
        <v>3.7</v>
      </c>
      <c r="G4731" s="4" t="str">
        <f>HYPERLINK("http://141.218.60.56/~jnz1568/getInfo.php?workbook=14_04.xlsx&amp;sheet=U0&amp;row=4731&amp;col=7&amp;number=0.0172&amp;sourceID=14","0.0172")</f>
        <v>0.0172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HYPERLINK("http://141.218.60.56/~jnz1568/getInfo.php?workbook=14_04.xlsx&amp;sheet=U0&amp;row=4732&amp;col=6&amp;number=3.8&amp;sourceID=14","3.8")</f>
        <v>3.8</v>
      </c>
      <c r="G4732" s="4" t="str">
        <f>HYPERLINK("http://141.218.60.56/~jnz1568/getInfo.php?workbook=14_04.xlsx&amp;sheet=U0&amp;row=4732&amp;col=7&amp;number=0.0172&amp;sourceID=14","0.0172")</f>
        <v>0.0172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HYPERLINK("http://141.218.60.56/~jnz1568/getInfo.php?workbook=14_04.xlsx&amp;sheet=U0&amp;row=4733&amp;col=6&amp;number=3.9&amp;sourceID=14","3.9")</f>
        <v>3.9</v>
      </c>
      <c r="G4733" s="4" t="str">
        <f>HYPERLINK("http://141.218.60.56/~jnz1568/getInfo.php?workbook=14_04.xlsx&amp;sheet=U0&amp;row=4733&amp;col=7&amp;number=0.0172&amp;sourceID=14","0.0172")</f>
        <v>0.0172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HYPERLINK("http://141.218.60.56/~jnz1568/getInfo.php?workbook=14_04.xlsx&amp;sheet=U0&amp;row=4734&amp;col=6&amp;number=4&amp;sourceID=14","4")</f>
        <v>4</v>
      </c>
      <c r="G4734" s="4" t="str">
        <f>HYPERLINK("http://141.218.60.56/~jnz1568/getInfo.php?workbook=14_04.xlsx&amp;sheet=U0&amp;row=4734&amp;col=7&amp;number=0.0172&amp;sourceID=14","0.0172")</f>
        <v>0.0172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HYPERLINK("http://141.218.60.56/~jnz1568/getInfo.php?workbook=14_04.xlsx&amp;sheet=U0&amp;row=4735&amp;col=6&amp;number=4.1&amp;sourceID=14","4.1")</f>
        <v>4.1</v>
      </c>
      <c r="G4735" s="4" t="str">
        <f>HYPERLINK("http://141.218.60.56/~jnz1568/getInfo.php?workbook=14_04.xlsx&amp;sheet=U0&amp;row=4735&amp;col=7&amp;number=0.0172&amp;sourceID=14","0.0172")</f>
        <v>0.0172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HYPERLINK("http://141.218.60.56/~jnz1568/getInfo.php?workbook=14_04.xlsx&amp;sheet=U0&amp;row=4736&amp;col=6&amp;number=4.2&amp;sourceID=14","4.2")</f>
        <v>4.2</v>
      </c>
      <c r="G4736" s="4" t="str">
        <f>HYPERLINK("http://141.218.60.56/~jnz1568/getInfo.php?workbook=14_04.xlsx&amp;sheet=U0&amp;row=4736&amp;col=7&amp;number=0.0173&amp;sourceID=14","0.0173")</f>
        <v>0.0173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HYPERLINK("http://141.218.60.56/~jnz1568/getInfo.php?workbook=14_04.xlsx&amp;sheet=U0&amp;row=4737&amp;col=6&amp;number=4.3&amp;sourceID=14","4.3")</f>
        <v>4.3</v>
      </c>
      <c r="G4737" s="4" t="str">
        <f>HYPERLINK("http://141.218.60.56/~jnz1568/getInfo.php?workbook=14_04.xlsx&amp;sheet=U0&amp;row=4737&amp;col=7&amp;number=0.0173&amp;sourceID=14","0.0173")</f>
        <v>0.0173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HYPERLINK("http://141.218.60.56/~jnz1568/getInfo.php?workbook=14_04.xlsx&amp;sheet=U0&amp;row=4738&amp;col=6&amp;number=4.4&amp;sourceID=14","4.4")</f>
        <v>4.4</v>
      </c>
      <c r="G4738" s="4" t="str">
        <f>HYPERLINK("http://141.218.60.56/~jnz1568/getInfo.php?workbook=14_04.xlsx&amp;sheet=U0&amp;row=4738&amp;col=7&amp;number=0.0173&amp;sourceID=14","0.0173")</f>
        <v>0.0173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HYPERLINK("http://141.218.60.56/~jnz1568/getInfo.php?workbook=14_04.xlsx&amp;sheet=U0&amp;row=4739&amp;col=6&amp;number=4.5&amp;sourceID=14","4.5")</f>
        <v>4.5</v>
      </c>
      <c r="G4739" s="4" t="str">
        <f>HYPERLINK("http://141.218.60.56/~jnz1568/getInfo.php?workbook=14_04.xlsx&amp;sheet=U0&amp;row=4739&amp;col=7&amp;number=0.0173&amp;sourceID=14","0.0173")</f>
        <v>0.0173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HYPERLINK("http://141.218.60.56/~jnz1568/getInfo.php?workbook=14_04.xlsx&amp;sheet=U0&amp;row=4740&amp;col=6&amp;number=4.6&amp;sourceID=14","4.6")</f>
        <v>4.6</v>
      </c>
      <c r="G4740" s="4" t="str">
        <f>HYPERLINK("http://141.218.60.56/~jnz1568/getInfo.php?workbook=14_04.xlsx&amp;sheet=U0&amp;row=4740&amp;col=7&amp;number=0.0173&amp;sourceID=14","0.0173")</f>
        <v>0.0173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HYPERLINK("http://141.218.60.56/~jnz1568/getInfo.php?workbook=14_04.xlsx&amp;sheet=U0&amp;row=4741&amp;col=6&amp;number=4.7&amp;sourceID=14","4.7")</f>
        <v>4.7</v>
      </c>
      <c r="G4741" s="4" t="str">
        <f>HYPERLINK("http://141.218.60.56/~jnz1568/getInfo.php?workbook=14_04.xlsx&amp;sheet=U0&amp;row=4741&amp;col=7&amp;number=0.0174&amp;sourceID=14","0.0174")</f>
        <v>0.0174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HYPERLINK("http://141.218.60.56/~jnz1568/getInfo.php?workbook=14_04.xlsx&amp;sheet=U0&amp;row=4742&amp;col=6&amp;number=4.8&amp;sourceID=14","4.8")</f>
        <v>4.8</v>
      </c>
      <c r="G4742" s="4" t="str">
        <f>HYPERLINK("http://141.218.60.56/~jnz1568/getInfo.php?workbook=14_04.xlsx&amp;sheet=U0&amp;row=4742&amp;col=7&amp;number=0.0174&amp;sourceID=14","0.0174")</f>
        <v>0.0174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HYPERLINK("http://141.218.60.56/~jnz1568/getInfo.php?workbook=14_04.xlsx&amp;sheet=U0&amp;row=4743&amp;col=6&amp;number=4.9&amp;sourceID=14","4.9")</f>
        <v>4.9</v>
      </c>
      <c r="G4743" s="4" t="str">
        <f>HYPERLINK("http://141.218.60.56/~jnz1568/getInfo.php?workbook=14_04.xlsx&amp;sheet=U0&amp;row=4743&amp;col=7&amp;number=0.0174&amp;sourceID=14","0.0174")</f>
        <v>0.0174</v>
      </c>
    </row>
    <row r="4744" spans="1:7">
      <c r="A4744" s="3">
        <v>14</v>
      </c>
      <c r="B4744" s="3">
        <v>4</v>
      </c>
      <c r="C4744" s="3">
        <v>3</v>
      </c>
      <c r="D4744" s="3">
        <v>39</v>
      </c>
      <c r="E4744" s="3">
        <v>1</v>
      </c>
      <c r="F4744" s="4" t="str">
        <f>HYPERLINK("http://141.218.60.56/~jnz1568/getInfo.php?workbook=14_04.xlsx&amp;sheet=U0&amp;row=4744&amp;col=6&amp;number=3&amp;sourceID=14","3")</f>
        <v>3</v>
      </c>
      <c r="G4744" s="4" t="str">
        <f>HYPERLINK("http://141.218.60.56/~jnz1568/getInfo.php?workbook=14_04.xlsx&amp;sheet=U0&amp;row=4744&amp;col=7&amp;number=0.0124&amp;sourceID=14","0.0124")</f>
        <v>0.0124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HYPERLINK("http://141.218.60.56/~jnz1568/getInfo.php?workbook=14_04.xlsx&amp;sheet=U0&amp;row=4745&amp;col=6&amp;number=3.1&amp;sourceID=14","3.1")</f>
        <v>3.1</v>
      </c>
      <c r="G4745" s="4" t="str">
        <f>HYPERLINK("http://141.218.60.56/~jnz1568/getInfo.php?workbook=14_04.xlsx&amp;sheet=U0&amp;row=4745&amp;col=7&amp;number=0.0124&amp;sourceID=14","0.0124")</f>
        <v>0.0124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HYPERLINK("http://141.218.60.56/~jnz1568/getInfo.php?workbook=14_04.xlsx&amp;sheet=U0&amp;row=4746&amp;col=6&amp;number=3.2&amp;sourceID=14","3.2")</f>
        <v>3.2</v>
      </c>
      <c r="G4746" s="4" t="str">
        <f>HYPERLINK("http://141.218.60.56/~jnz1568/getInfo.php?workbook=14_04.xlsx&amp;sheet=U0&amp;row=4746&amp;col=7&amp;number=0.0124&amp;sourceID=14","0.0124")</f>
        <v>0.0124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HYPERLINK("http://141.218.60.56/~jnz1568/getInfo.php?workbook=14_04.xlsx&amp;sheet=U0&amp;row=4747&amp;col=6&amp;number=3.3&amp;sourceID=14","3.3")</f>
        <v>3.3</v>
      </c>
      <c r="G4747" s="4" t="str">
        <f>HYPERLINK("http://141.218.60.56/~jnz1568/getInfo.php?workbook=14_04.xlsx&amp;sheet=U0&amp;row=4747&amp;col=7&amp;number=0.0124&amp;sourceID=14","0.0124")</f>
        <v>0.0124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HYPERLINK("http://141.218.60.56/~jnz1568/getInfo.php?workbook=14_04.xlsx&amp;sheet=U0&amp;row=4748&amp;col=6&amp;number=3.4&amp;sourceID=14","3.4")</f>
        <v>3.4</v>
      </c>
      <c r="G4748" s="4" t="str">
        <f>HYPERLINK("http://141.218.60.56/~jnz1568/getInfo.php?workbook=14_04.xlsx&amp;sheet=U0&amp;row=4748&amp;col=7&amp;number=0.0124&amp;sourceID=14","0.0124")</f>
        <v>0.0124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HYPERLINK("http://141.218.60.56/~jnz1568/getInfo.php?workbook=14_04.xlsx&amp;sheet=U0&amp;row=4749&amp;col=6&amp;number=3.5&amp;sourceID=14","3.5")</f>
        <v>3.5</v>
      </c>
      <c r="G4749" s="4" t="str">
        <f>HYPERLINK("http://141.218.60.56/~jnz1568/getInfo.php?workbook=14_04.xlsx&amp;sheet=U0&amp;row=4749&amp;col=7&amp;number=0.0124&amp;sourceID=14","0.0124")</f>
        <v>0.0124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HYPERLINK("http://141.218.60.56/~jnz1568/getInfo.php?workbook=14_04.xlsx&amp;sheet=U0&amp;row=4750&amp;col=6&amp;number=3.6&amp;sourceID=14","3.6")</f>
        <v>3.6</v>
      </c>
      <c r="G4750" s="4" t="str">
        <f>HYPERLINK("http://141.218.60.56/~jnz1568/getInfo.php?workbook=14_04.xlsx&amp;sheet=U0&amp;row=4750&amp;col=7&amp;number=0.0124&amp;sourceID=14","0.0124")</f>
        <v>0.0124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HYPERLINK("http://141.218.60.56/~jnz1568/getInfo.php?workbook=14_04.xlsx&amp;sheet=U0&amp;row=4751&amp;col=6&amp;number=3.7&amp;sourceID=14","3.7")</f>
        <v>3.7</v>
      </c>
      <c r="G4751" s="4" t="str">
        <f>HYPERLINK("http://141.218.60.56/~jnz1568/getInfo.php?workbook=14_04.xlsx&amp;sheet=U0&amp;row=4751&amp;col=7&amp;number=0.0124&amp;sourceID=14","0.0124")</f>
        <v>0.0124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HYPERLINK("http://141.218.60.56/~jnz1568/getInfo.php?workbook=14_04.xlsx&amp;sheet=U0&amp;row=4752&amp;col=6&amp;number=3.8&amp;sourceID=14","3.8")</f>
        <v>3.8</v>
      </c>
      <c r="G4752" s="4" t="str">
        <f>HYPERLINK("http://141.218.60.56/~jnz1568/getInfo.php?workbook=14_04.xlsx&amp;sheet=U0&amp;row=4752&amp;col=7&amp;number=0.0124&amp;sourceID=14","0.0124")</f>
        <v>0.0124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HYPERLINK("http://141.218.60.56/~jnz1568/getInfo.php?workbook=14_04.xlsx&amp;sheet=U0&amp;row=4753&amp;col=6&amp;number=3.9&amp;sourceID=14","3.9")</f>
        <v>3.9</v>
      </c>
      <c r="G4753" s="4" t="str">
        <f>HYPERLINK("http://141.218.60.56/~jnz1568/getInfo.php?workbook=14_04.xlsx&amp;sheet=U0&amp;row=4753&amp;col=7&amp;number=0.0124&amp;sourceID=14","0.0124")</f>
        <v>0.0124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HYPERLINK("http://141.218.60.56/~jnz1568/getInfo.php?workbook=14_04.xlsx&amp;sheet=U0&amp;row=4754&amp;col=6&amp;number=4&amp;sourceID=14","4")</f>
        <v>4</v>
      </c>
      <c r="G4754" s="4" t="str">
        <f>HYPERLINK("http://141.218.60.56/~jnz1568/getInfo.php?workbook=14_04.xlsx&amp;sheet=U0&amp;row=4754&amp;col=7&amp;number=0.0124&amp;sourceID=14","0.0124")</f>
        <v>0.0124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HYPERLINK("http://141.218.60.56/~jnz1568/getInfo.php?workbook=14_04.xlsx&amp;sheet=U0&amp;row=4755&amp;col=6&amp;number=4.1&amp;sourceID=14","4.1")</f>
        <v>4.1</v>
      </c>
      <c r="G4755" s="4" t="str">
        <f>HYPERLINK("http://141.218.60.56/~jnz1568/getInfo.php?workbook=14_04.xlsx&amp;sheet=U0&amp;row=4755&amp;col=7&amp;number=0.0124&amp;sourceID=14","0.0124")</f>
        <v>0.0124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HYPERLINK("http://141.218.60.56/~jnz1568/getInfo.php?workbook=14_04.xlsx&amp;sheet=U0&amp;row=4756&amp;col=6&amp;number=4.2&amp;sourceID=14","4.2")</f>
        <v>4.2</v>
      </c>
      <c r="G4756" s="4" t="str">
        <f>HYPERLINK("http://141.218.60.56/~jnz1568/getInfo.php?workbook=14_04.xlsx&amp;sheet=U0&amp;row=4756&amp;col=7&amp;number=0.0124&amp;sourceID=14","0.0124")</f>
        <v>0.0124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HYPERLINK("http://141.218.60.56/~jnz1568/getInfo.php?workbook=14_04.xlsx&amp;sheet=U0&amp;row=4757&amp;col=6&amp;number=4.3&amp;sourceID=14","4.3")</f>
        <v>4.3</v>
      </c>
      <c r="G4757" s="4" t="str">
        <f>HYPERLINK("http://141.218.60.56/~jnz1568/getInfo.php?workbook=14_04.xlsx&amp;sheet=U0&amp;row=4757&amp;col=7&amp;number=0.0124&amp;sourceID=14","0.0124")</f>
        <v>0.0124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HYPERLINK("http://141.218.60.56/~jnz1568/getInfo.php?workbook=14_04.xlsx&amp;sheet=U0&amp;row=4758&amp;col=6&amp;number=4.4&amp;sourceID=14","4.4")</f>
        <v>4.4</v>
      </c>
      <c r="G4758" s="4" t="str">
        <f>HYPERLINK("http://141.218.60.56/~jnz1568/getInfo.php?workbook=14_04.xlsx&amp;sheet=U0&amp;row=4758&amp;col=7&amp;number=0.0124&amp;sourceID=14","0.0124")</f>
        <v>0.0124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HYPERLINK("http://141.218.60.56/~jnz1568/getInfo.php?workbook=14_04.xlsx&amp;sheet=U0&amp;row=4759&amp;col=6&amp;number=4.5&amp;sourceID=14","4.5")</f>
        <v>4.5</v>
      </c>
      <c r="G4759" s="4" t="str">
        <f>HYPERLINK("http://141.218.60.56/~jnz1568/getInfo.php?workbook=14_04.xlsx&amp;sheet=U0&amp;row=4759&amp;col=7&amp;number=0.0124&amp;sourceID=14","0.0124")</f>
        <v>0.0124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HYPERLINK("http://141.218.60.56/~jnz1568/getInfo.php?workbook=14_04.xlsx&amp;sheet=U0&amp;row=4760&amp;col=6&amp;number=4.6&amp;sourceID=14","4.6")</f>
        <v>4.6</v>
      </c>
      <c r="G4760" s="4" t="str">
        <f>HYPERLINK("http://141.218.60.56/~jnz1568/getInfo.php?workbook=14_04.xlsx&amp;sheet=U0&amp;row=4760&amp;col=7&amp;number=0.0124&amp;sourceID=14","0.0124")</f>
        <v>0.0124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HYPERLINK("http://141.218.60.56/~jnz1568/getInfo.php?workbook=14_04.xlsx&amp;sheet=U0&amp;row=4761&amp;col=6&amp;number=4.7&amp;sourceID=14","4.7")</f>
        <v>4.7</v>
      </c>
      <c r="G4761" s="4" t="str">
        <f>HYPERLINK("http://141.218.60.56/~jnz1568/getInfo.php?workbook=14_04.xlsx&amp;sheet=U0&amp;row=4761&amp;col=7&amp;number=0.0124&amp;sourceID=14","0.0124")</f>
        <v>0.0124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HYPERLINK("http://141.218.60.56/~jnz1568/getInfo.php?workbook=14_04.xlsx&amp;sheet=U0&amp;row=4762&amp;col=6&amp;number=4.8&amp;sourceID=14","4.8")</f>
        <v>4.8</v>
      </c>
      <c r="G4762" s="4" t="str">
        <f>HYPERLINK("http://141.218.60.56/~jnz1568/getInfo.php?workbook=14_04.xlsx&amp;sheet=U0&amp;row=4762&amp;col=7&amp;number=0.0124&amp;sourceID=14","0.0124")</f>
        <v>0.0124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HYPERLINK("http://141.218.60.56/~jnz1568/getInfo.php?workbook=14_04.xlsx&amp;sheet=U0&amp;row=4763&amp;col=6&amp;number=4.9&amp;sourceID=14","4.9")</f>
        <v>4.9</v>
      </c>
      <c r="G4763" s="4" t="str">
        <f>HYPERLINK("http://141.218.60.56/~jnz1568/getInfo.php?workbook=14_04.xlsx&amp;sheet=U0&amp;row=4763&amp;col=7&amp;number=0.0124&amp;sourceID=14","0.0124")</f>
        <v>0.0124</v>
      </c>
    </row>
    <row r="4764" spans="1:7">
      <c r="A4764" s="3">
        <v>14</v>
      </c>
      <c r="B4764" s="3">
        <v>4</v>
      </c>
      <c r="C4764" s="3">
        <v>3</v>
      </c>
      <c r="D4764" s="3">
        <v>40</v>
      </c>
      <c r="E4764" s="3">
        <v>1</v>
      </c>
      <c r="F4764" s="4" t="str">
        <f>HYPERLINK("http://141.218.60.56/~jnz1568/getInfo.php?workbook=14_04.xlsx&amp;sheet=U0&amp;row=4764&amp;col=6&amp;number=3&amp;sourceID=14","3")</f>
        <v>3</v>
      </c>
      <c r="G4764" s="4" t="str">
        <f>HYPERLINK("http://141.218.60.56/~jnz1568/getInfo.php?workbook=14_04.xlsx&amp;sheet=U0&amp;row=4764&amp;col=7&amp;number=0.0136&amp;sourceID=14","0.0136")</f>
        <v>0.0136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HYPERLINK("http://141.218.60.56/~jnz1568/getInfo.php?workbook=14_04.xlsx&amp;sheet=U0&amp;row=4765&amp;col=6&amp;number=3.1&amp;sourceID=14","3.1")</f>
        <v>3.1</v>
      </c>
      <c r="G4765" s="4" t="str">
        <f>HYPERLINK("http://141.218.60.56/~jnz1568/getInfo.php?workbook=14_04.xlsx&amp;sheet=U0&amp;row=4765&amp;col=7&amp;number=0.0136&amp;sourceID=14","0.0136")</f>
        <v>0.0136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HYPERLINK("http://141.218.60.56/~jnz1568/getInfo.php?workbook=14_04.xlsx&amp;sheet=U0&amp;row=4766&amp;col=6&amp;number=3.2&amp;sourceID=14","3.2")</f>
        <v>3.2</v>
      </c>
      <c r="G4766" s="4" t="str">
        <f>HYPERLINK("http://141.218.60.56/~jnz1568/getInfo.php?workbook=14_04.xlsx&amp;sheet=U0&amp;row=4766&amp;col=7&amp;number=0.0136&amp;sourceID=14","0.0136")</f>
        <v>0.0136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HYPERLINK("http://141.218.60.56/~jnz1568/getInfo.php?workbook=14_04.xlsx&amp;sheet=U0&amp;row=4767&amp;col=6&amp;number=3.3&amp;sourceID=14","3.3")</f>
        <v>3.3</v>
      </c>
      <c r="G4767" s="4" t="str">
        <f>HYPERLINK("http://141.218.60.56/~jnz1568/getInfo.php?workbook=14_04.xlsx&amp;sheet=U0&amp;row=4767&amp;col=7&amp;number=0.0136&amp;sourceID=14","0.0136")</f>
        <v>0.0136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HYPERLINK("http://141.218.60.56/~jnz1568/getInfo.php?workbook=14_04.xlsx&amp;sheet=U0&amp;row=4768&amp;col=6&amp;number=3.4&amp;sourceID=14","3.4")</f>
        <v>3.4</v>
      </c>
      <c r="G4768" s="4" t="str">
        <f>HYPERLINK("http://141.218.60.56/~jnz1568/getInfo.php?workbook=14_04.xlsx&amp;sheet=U0&amp;row=4768&amp;col=7&amp;number=0.0136&amp;sourceID=14","0.0136")</f>
        <v>0.0136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HYPERLINK("http://141.218.60.56/~jnz1568/getInfo.php?workbook=14_04.xlsx&amp;sheet=U0&amp;row=4769&amp;col=6&amp;number=3.5&amp;sourceID=14","3.5")</f>
        <v>3.5</v>
      </c>
      <c r="G4769" s="4" t="str">
        <f>HYPERLINK("http://141.218.60.56/~jnz1568/getInfo.php?workbook=14_04.xlsx&amp;sheet=U0&amp;row=4769&amp;col=7&amp;number=0.0136&amp;sourceID=14","0.0136")</f>
        <v>0.0136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HYPERLINK("http://141.218.60.56/~jnz1568/getInfo.php?workbook=14_04.xlsx&amp;sheet=U0&amp;row=4770&amp;col=6&amp;number=3.6&amp;sourceID=14","3.6")</f>
        <v>3.6</v>
      </c>
      <c r="G4770" s="4" t="str">
        <f>HYPERLINK("http://141.218.60.56/~jnz1568/getInfo.php?workbook=14_04.xlsx&amp;sheet=U0&amp;row=4770&amp;col=7&amp;number=0.0136&amp;sourceID=14","0.0136")</f>
        <v>0.0136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HYPERLINK("http://141.218.60.56/~jnz1568/getInfo.php?workbook=14_04.xlsx&amp;sheet=U0&amp;row=4771&amp;col=6&amp;number=3.7&amp;sourceID=14","3.7")</f>
        <v>3.7</v>
      </c>
      <c r="G4771" s="4" t="str">
        <f>HYPERLINK("http://141.218.60.56/~jnz1568/getInfo.php?workbook=14_04.xlsx&amp;sheet=U0&amp;row=4771&amp;col=7&amp;number=0.0136&amp;sourceID=14","0.0136")</f>
        <v>0.0136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HYPERLINK("http://141.218.60.56/~jnz1568/getInfo.php?workbook=14_04.xlsx&amp;sheet=U0&amp;row=4772&amp;col=6&amp;number=3.8&amp;sourceID=14","3.8")</f>
        <v>3.8</v>
      </c>
      <c r="G4772" s="4" t="str">
        <f>HYPERLINK("http://141.218.60.56/~jnz1568/getInfo.php?workbook=14_04.xlsx&amp;sheet=U0&amp;row=4772&amp;col=7&amp;number=0.0136&amp;sourceID=14","0.0136")</f>
        <v>0.0136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HYPERLINK("http://141.218.60.56/~jnz1568/getInfo.php?workbook=14_04.xlsx&amp;sheet=U0&amp;row=4773&amp;col=6&amp;number=3.9&amp;sourceID=14","3.9")</f>
        <v>3.9</v>
      </c>
      <c r="G4773" s="4" t="str">
        <f>HYPERLINK("http://141.218.60.56/~jnz1568/getInfo.php?workbook=14_04.xlsx&amp;sheet=U0&amp;row=4773&amp;col=7&amp;number=0.0136&amp;sourceID=14","0.0136")</f>
        <v>0.0136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HYPERLINK("http://141.218.60.56/~jnz1568/getInfo.php?workbook=14_04.xlsx&amp;sheet=U0&amp;row=4774&amp;col=6&amp;number=4&amp;sourceID=14","4")</f>
        <v>4</v>
      </c>
      <c r="G4774" s="4" t="str">
        <f>HYPERLINK("http://141.218.60.56/~jnz1568/getInfo.php?workbook=14_04.xlsx&amp;sheet=U0&amp;row=4774&amp;col=7&amp;number=0.0136&amp;sourceID=14","0.0136")</f>
        <v>0.0136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HYPERLINK("http://141.218.60.56/~jnz1568/getInfo.php?workbook=14_04.xlsx&amp;sheet=U0&amp;row=4775&amp;col=6&amp;number=4.1&amp;sourceID=14","4.1")</f>
        <v>4.1</v>
      </c>
      <c r="G4775" s="4" t="str">
        <f>HYPERLINK("http://141.218.60.56/~jnz1568/getInfo.php?workbook=14_04.xlsx&amp;sheet=U0&amp;row=4775&amp;col=7&amp;number=0.0136&amp;sourceID=14","0.0136")</f>
        <v>0.0136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HYPERLINK("http://141.218.60.56/~jnz1568/getInfo.php?workbook=14_04.xlsx&amp;sheet=U0&amp;row=4776&amp;col=6&amp;number=4.2&amp;sourceID=14","4.2")</f>
        <v>4.2</v>
      </c>
      <c r="G4776" s="4" t="str">
        <f>HYPERLINK("http://141.218.60.56/~jnz1568/getInfo.php?workbook=14_04.xlsx&amp;sheet=U0&amp;row=4776&amp;col=7&amp;number=0.0136&amp;sourceID=14","0.0136")</f>
        <v>0.0136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HYPERLINK("http://141.218.60.56/~jnz1568/getInfo.php?workbook=14_04.xlsx&amp;sheet=U0&amp;row=4777&amp;col=6&amp;number=4.3&amp;sourceID=14","4.3")</f>
        <v>4.3</v>
      </c>
      <c r="G4777" s="4" t="str">
        <f>HYPERLINK("http://141.218.60.56/~jnz1568/getInfo.php?workbook=14_04.xlsx&amp;sheet=U0&amp;row=4777&amp;col=7&amp;number=0.0136&amp;sourceID=14","0.0136")</f>
        <v>0.0136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HYPERLINK("http://141.218.60.56/~jnz1568/getInfo.php?workbook=14_04.xlsx&amp;sheet=U0&amp;row=4778&amp;col=6&amp;number=4.4&amp;sourceID=14","4.4")</f>
        <v>4.4</v>
      </c>
      <c r="G4778" s="4" t="str">
        <f>HYPERLINK("http://141.218.60.56/~jnz1568/getInfo.php?workbook=14_04.xlsx&amp;sheet=U0&amp;row=4778&amp;col=7&amp;number=0.0136&amp;sourceID=14","0.0136")</f>
        <v>0.0136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HYPERLINK("http://141.218.60.56/~jnz1568/getInfo.php?workbook=14_04.xlsx&amp;sheet=U0&amp;row=4779&amp;col=6&amp;number=4.5&amp;sourceID=14","4.5")</f>
        <v>4.5</v>
      </c>
      <c r="G4779" s="4" t="str">
        <f>HYPERLINK("http://141.218.60.56/~jnz1568/getInfo.php?workbook=14_04.xlsx&amp;sheet=U0&amp;row=4779&amp;col=7&amp;number=0.0136&amp;sourceID=14","0.0136")</f>
        <v>0.0136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HYPERLINK("http://141.218.60.56/~jnz1568/getInfo.php?workbook=14_04.xlsx&amp;sheet=U0&amp;row=4780&amp;col=6&amp;number=4.6&amp;sourceID=14","4.6")</f>
        <v>4.6</v>
      </c>
      <c r="G4780" s="4" t="str">
        <f>HYPERLINK("http://141.218.60.56/~jnz1568/getInfo.php?workbook=14_04.xlsx&amp;sheet=U0&amp;row=4780&amp;col=7&amp;number=0.0136&amp;sourceID=14","0.0136")</f>
        <v>0.0136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HYPERLINK("http://141.218.60.56/~jnz1568/getInfo.php?workbook=14_04.xlsx&amp;sheet=U0&amp;row=4781&amp;col=6&amp;number=4.7&amp;sourceID=14","4.7")</f>
        <v>4.7</v>
      </c>
      <c r="G4781" s="4" t="str">
        <f>HYPERLINK("http://141.218.60.56/~jnz1568/getInfo.php?workbook=14_04.xlsx&amp;sheet=U0&amp;row=4781&amp;col=7&amp;number=0.0137&amp;sourceID=14","0.0137")</f>
        <v>0.0137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HYPERLINK("http://141.218.60.56/~jnz1568/getInfo.php?workbook=14_04.xlsx&amp;sheet=U0&amp;row=4782&amp;col=6&amp;number=4.8&amp;sourceID=14","4.8")</f>
        <v>4.8</v>
      </c>
      <c r="G4782" s="4" t="str">
        <f>HYPERLINK("http://141.218.60.56/~jnz1568/getInfo.php?workbook=14_04.xlsx&amp;sheet=U0&amp;row=4782&amp;col=7&amp;number=0.0137&amp;sourceID=14","0.0137")</f>
        <v>0.0137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HYPERLINK("http://141.218.60.56/~jnz1568/getInfo.php?workbook=14_04.xlsx&amp;sheet=U0&amp;row=4783&amp;col=6&amp;number=4.9&amp;sourceID=14","4.9")</f>
        <v>4.9</v>
      </c>
      <c r="G4783" s="4" t="str">
        <f>HYPERLINK("http://141.218.60.56/~jnz1568/getInfo.php?workbook=14_04.xlsx&amp;sheet=U0&amp;row=4783&amp;col=7&amp;number=0.0137&amp;sourceID=14","0.0137")</f>
        <v>0.0137</v>
      </c>
    </row>
    <row r="4784" spans="1:7">
      <c r="A4784" s="3">
        <v>14</v>
      </c>
      <c r="B4784" s="3">
        <v>4</v>
      </c>
      <c r="C4784" s="3">
        <v>3</v>
      </c>
      <c r="D4784" s="3">
        <v>41</v>
      </c>
      <c r="E4784" s="3">
        <v>1</v>
      </c>
      <c r="F4784" s="4" t="str">
        <f>HYPERLINK("http://141.218.60.56/~jnz1568/getInfo.php?workbook=14_04.xlsx&amp;sheet=U0&amp;row=4784&amp;col=6&amp;number=3&amp;sourceID=14","3")</f>
        <v>3</v>
      </c>
      <c r="G4784" s="4" t="str">
        <f>HYPERLINK("http://141.218.60.56/~jnz1568/getInfo.php?workbook=14_04.xlsx&amp;sheet=U0&amp;row=4784&amp;col=7&amp;number=0.00981&amp;sourceID=14","0.00981")</f>
        <v>0.00981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HYPERLINK("http://141.218.60.56/~jnz1568/getInfo.php?workbook=14_04.xlsx&amp;sheet=U0&amp;row=4785&amp;col=6&amp;number=3.1&amp;sourceID=14","3.1")</f>
        <v>3.1</v>
      </c>
      <c r="G4785" s="4" t="str">
        <f>HYPERLINK("http://141.218.60.56/~jnz1568/getInfo.php?workbook=14_04.xlsx&amp;sheet=U0&amp;row=4785&amp;col=7&amp;number=0.00981&amp;sourceID=14","0.00981")</f>
        <v>0.00981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HYPERLINK("http://141.218.60.56/~jnz1568/getInfo.php?workbook=14_04.xlsx&amp;sheet=U0&amp;row=4786&amp;col=6&amp;number=3.2&amp;sourceID=14","3.2")</f>
        <v>3.2</v>
      </c>
      <c r="G4786" s="4" t="str">
        <f>HYPERLINK("http://141.218.60.56/~jnz1568/getInfo.php?workbook=14_04.xlsx&amp;sheet=U0&amp;row=4786&amp;col=7&amp;number=0.00981&amp;sourceID=14","0.00981")</f>
        <v>0.00981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HYPERLINK("http://141.218.60.56/~jnz1568/getInfo.php?workbook=14_04.xlsx&amp;sheet=U0&amp;row=4787&amp;col=6&amp;number=3.3&amp;sourceID=14","3.3")</f>
        <v>3.3</v>
      </c>
      <c r="G4787" s="4" t="str">
        <f>HYPERLINK("http://141.218.60.56/~jnz1568/getInfo.php?workbook=14_04.xlsx&amp;sheet=U0&amp;row=4787&amp;col=7&amp;number=0.00981&amp;sourceID=14","0.00981")</f>
        <v>0.00981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HYPERLINK("http://141.218.60.56/~jnz1568/getInfo.php?workbook=14_04.xlsx&amp;sheet=U0&amp;row=4788&amp;col=6&amp;number=3.4&amp;sourceID=14","3.4")</f>
        <v>3.4</v>
      </c>
      <c r="G4788" s="4" t="str">
        <f>HYPERLINK("http://141.218.60.56/~jnz1568/getInfo.php?workbook=14_04.xlsx&amp;sheet=U0&amp;row=4788&amp;col=7&amp;number=0.00981&amp;sourceID=14","0.00981")</f>
        <v>0.00981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HYPERLINK("http://141.218.60.56/~jnz1568/getInfo.php?workbook=14_04.xlsx&amp;sheet=U0&amp;row=4789&amp;col=6&amp;number=3.5&amp;sourceID=14","3.5")</f>
        <v>3.5</v>
      </c>
      <c r="G4789" s="4" t="str">
        <f>HYPERLINK("http://141.218.60.56/~jnz1568/getInfo.php?workbook=14_04.xlsx&amp;sheet=U0&amp;row=4789&amp;col=7&amp;number=0.00981&amp;sourceID=14","0.00981")</f>
        <v>0.00981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HYPERLINK("http://141.218.60.56/~jnz1568/getInfo.php?workbook=14_04.xlsx&amp;sheet=U0&amp;row=4790&amp;col=6&amp;number=3.6&amp;sourceID=14","3.6")</f>
        <v>3.6</v>
      </c>
      <c r="G4790" s="4" t="str">
        <f>HYPERLINK("http://141.218.60.56/~jnz1568/getInfo.php?workbook=14_04.xlsx&amp;sheet=U0&amp;row=4790&amp;col=7&amp;number=0.00981&amp;sourceID=14","0.00981")</f>
        <v>0.00981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HYPERLINK("http://141.218.60.56/~jnz1568/getInfo.php?workbook=14_04.xlsx&amp;sheet=U0&amp;row=4791&amp;col=6&amp;number=3.7&amp;sourceID=14","3.7")</f>
        <v>3.7</v>
      </c>
      <c r="G4791" s="4" t="str">
        <f>HYPERLINK("http://141.218.60.56/~jnz1568/getInfo.php?workbook=14_04.xlsx&amp;sheet=U0&amp;row=4791&amp;col=7&amp;number=0.00981&amp;sourceID=14","0.00981")</f>
        <v>0.00981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HYPERLINK("http://141.218.60.56/~jnz1568/getInfo.php?workbook=14_04.xlsx&amp;sheet=U0&amp;row=4792&amp;col=6&amp;number=3.8&amp;sourceID=14","3.8")</f>
        <v>3.8</v>
      </c>
      <c r="G4792" s="4" t="str">
        <f>HYPERLINK("http://141.218.60.56/~jnz1568/getInfo.php?workbook=14_04.xlsx&amp;sheet=U0&amp;row=4792&amp;col=7&amp;number=0.00981&amp;sourceID=14","0.00981")</f>
        <v>0.00981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HYPERLINK("http://141.218.60.56/~jnz1568/getInfo.php?workbook=14_04.xlsx&amp;sheet=U0&amp;row=4793&amp;col=6&amp;number=3.9&amp;sourceID=14","3.9")</f>
        <v>3.9</v>
      </c>
      <c r="G4793" s="4" t="str">
        <f>HYPERLINK("http://141.218.60.56/~jnz1568/getInfo.php?workbook=14_04.xlsx&amp;sheet=U0&amp;row=4793&amp;col=7&amp;number=0.00981&amp;sourceID=14","0.00981")</f>
        <v>0.00981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HYPERLINK("http://141.218.60.56/~jnz1568/getInfo.php?workbook=14_04.xlsx&amp;sheet=U0&amp;row=4794&amp;col=6&amp;number=4&amp;sourceID=14","4")</f>
        <v>4</v>
      </c>
      <c r="G4794" s="4" t="str">
        <f>HYPERLINK("http://141.218.60.56/~jnz1568/getInfo.php?workbook=14_04.xlsx&amp;sheet=U0&amp;row=4794&amp;col=7&amp;number=0.00982&amp;sourceID=14","0.00982")</f>
        <v>0.00982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HYPERLINK("http://141.218.60.56/~jnz1568/getInfo.php?workbook=14_04.xlsx&amp;sheet=U0&amp;row=4795&amp;col=6&amp;number=4.1&amp;sourceID=14","4.1")</f>
        <v>4.1</v>
      </c>
      <c r="G4795" s="4" t="str">
        <f>HYPERLINK("http://141.218.60.56/~jnz1568/getInfo.php?workbook=14_04.xlsx&amp;sheet=U0&amp;row=4795&amp;col=7&amp;number=0.00982&amp;sourceID=14","0.00982")</f>
        <v>0.00982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HYPERLINK("http://141.218.60.56/~jnz1568/getInfo.php?workbook=14_04.xlsx&amp;sheet=U0&amp;row=4796&amp;col=6&amp;number=4.2&amp;sourceID=14","4.2")</f>
        <v>4.2</v>
      </c>
      <c r="G4796" s="4" t="str">
        <f>HYPERLINK("http://141.218.60.56/~jnz1568/getInfo.php?workbook=14_04.xlsx&amp;sheet=U0&amp;row=4796&amp;col=7&amp;number=0.00982&amp;sourceID=14","0.00982")</f>
        <v>0.00982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HYPERLINK("http://141.218.60.56/~jnz1568/getInfo.php?workbook=14_04.xlsx&amp;sheet=U0&amp;row=4797&amp;col=6&amp;number=4.3&amp;sourceID=14","4.3")</f>
        <v>4.3</v>
      </c>
      <c r="G4797" s="4" t="str">
        <f>HYPERLINK("http://141.218.60.56/~jnz1568/getInfo.php?workbook=14_04.xlsx&amp;sheet=U0&amp;row=4797&amp;col=7&amp;number=0.00983&amp;sourceID=14","0.00983")</f>
        <v>0.00983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HYPERLINK("http://141.218.60.56/~jnz1568/getInfo.php?workbook=14_04.xlsx&amp;sheet=U0&amp;row=4798&amp;col=6&amp;number=4.4&amp;sourceID=14","4.4")</f>
        <v>4.4</v>
      </c>
      <c r="G4798" s="4" t="str">
        <f>HYPERLINK("http://141.218.60.56/~jnz1568/getInfo.php?workbook=14_04.xlsx&amp;sheet=U0&amp;row=4798&amp;col=7&amp;number=0.00984&amp;sourceID=14","0.00984")</f>
        <v>0.00984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HYPERLINK("http://141.218.60.56/~jnz1568/getInfo.php?workbook=14_04.xlsx&amp;sheet=U0&amp;row=4799&amp;col=6&amp;number=4.5&amp;sourceID=14","4.5")</f>
        <v>4.5</v>
      </c>
      <c r="G4799" s="4" t="str">
        <f>HYPERLINK("http://141.218.60.56/~jnz1568/getInfo.php?workbook=14_04.xlsx&amp;sheet=U0&amp;row=4799&amp;col=7&amp;number=0.00985&amp;sourceID=14","0.00985")</f>
        <v>0.00985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HYPERLINK("http://141.218.60.56/~jnz1568/getInfo.php?workbook=14_04.xlsx&amp;sheet=U0&amp;row=4800&amp;col=6&amp;number=4.6&amp;sourceID=14","4.6")</f>
        <v>4.6</v>
      </c>
      <c r="G4800" s="4" t="str">
        <f>HYPERLINK("http://141.218.60.56/~jnz1568/getInfo.php?workbook=14_04.xlsx&amp;sheet=U0&amp;row=4800&amp;col=7&amp;number=0.00986&amp;sourceID=14","0.00986")</f>
        <v>0.00986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HYPERLINK("http://141.218.60.56/~jnz1568/getInfo.php?workbook=14_04.xlsx&amp;sheet=U0&amp;row=4801&amp;col=6&amp;number=4.7&amp;sourceID=14","4.7")</f>
        <v>4.7</v>
      </c>
      <c r="G4801" s="4" t="str">
        <f>HYPERLINK("http://141.218.60.56/~jnz1568/getInfo.php?workbook=14_04.xlsx&amp;sheet=U0&amp;row=4801&amp;col=7&amp;number=0.00987&amp;sourceID=14","0.00987")</f>
        <v>0.00987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HYPERLINK("http://141.218.60.56/~jnz1568/getInfo.php?workbook=14_04.xlsx&amp;sheet=U0&amp;row=4802&amp;col=6&amp;number=4.8&amp;sourceID=14","4.8")</f>
        <v>4.8</v>
      </c>
      <c r="G4802" s="4" t="str">
        <f>HYPERLINK("http://141.218.60.56/~jnz1568/getInfo.php?workbook=14_04.xlsx&amp;sheet=U0&amp;row=4802&amp;col=7&amp;number=0.00989&amp;sourceID=14","0.00989")</f>
        <v>0.00989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HYPERLINK("http://141.218.60.56/~jnz1568/getInfo.php?workbook=14_04.xlsx&amp;sheet=U0&amp;row=4803&amp;col=6&amp;number=4.9&amp;sourceID=14","4.9")</f>
        <v>4.9</v>
      </c>
      <c r="G4803" s="4" t="str">
        <f>HYPERLINK("http://141.218.60.56/~jnz1568/getInfo.php?workbook=14_04.xlsx&amp;sheet=U0&amp;row=4803&amp;col=7&amp;number=0.00991&amp;sourceID=14","0.00991")</f>
        <v>0.00991</v>
      </c>
    </row>
    <row r="4804" spans="1:7">
      <c r="A4804" s="3">
        <v>14</v>
      </c>
      <c r="B4804" s="3">
        <v>4</v>
      </c>
      <c r="C4804" s="3">
        <v>3</v>
      </c>
      <c r="D4804" s="3">
        <v>42</v>
      </c>
      <c r="E4804" s="3">
        <v>1</v>
      </c>
      <c r="F4804" s="4" t="str">
        <f>HYPERLINK("http://141.218.60.56/~jnz1568/getInfo.php?workbook=14_04.xlsx&amp;sheet=U0&amp;row=4804&amp;col=6&amp;number=3&amp;sourceID=14","3")</f>
        <v>3</v>
      </c>
      <c r="G4804" s="4" t="str">
        <f>HYPERLINK("http://141.218.60.56/~jnz1568/getInfo.php?workbook=14_04.xlsx&amp;sheet=U0&amp;row=4804&amp;col=7&amp;number=0.00301&amp;sourceID=14","0.00301")</f>
        <v>0.00301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HYPERLINK("http://141.218.60.56/~jnz1568/getInfo.php?workbook=14_04.xlsx&amp;sheet=U0&amp;row=4805&amp;col=6&amp;number=3.1&amp;sourceID=14","3.1")</f>
        <v>3.1</v>
      </c>
      <c r="G4805" s="4" t="str">
        <f>HYPERLINK("http://141.218.60.56/~jnz1568/getInfo.php?workbook=14_04.xlsx&amp;sheet=U0&amp;row=4805&amp;col=7&amp;number=0.00301&amp;sourceID=14","0.00301")</f>
        <v>0.00301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HYPERLINK("http://141.218.60.56/~jnz1568/getInfo.php?workbook=14_04.xlsx&amp;sheet=U0&amp;row=4806&amp;col=6&amp;number=3.2&amp;sourceID=14","3.2")</f>
        <v>3.2</v>
      </c>
      <c r="G4806" s="4" t="str">
        <f>HYPERLINK("http://141.218.60.56/~jnz1568/getInfo.php?workbook=14_04.xlsx&amp;sheet=U0&amp;row=4806&amp;col=7&amp;number=0.00301&amp;sourceID=14","0.00301")</f>
        <v>0.00301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HYPERLINK("http://141.218.60.56/~jnz1568/getInfo.php?workbook=14_04.xlsx&amp;sheet=U0&amp;row=4807&amp;col=6&amp;number=3.3&amp;sourceID=14","3.3")</f>
        <v>3.3</v>
      </c>
      <c r="G4807" s="4" t="str">
        <f>HYPERLINK("http://141.218.60.56/~jnz1568/getInfo.php?workbook=14_04.xlsx&amp;sheet=U0&amp;row=4807&amp;col=7&amp;number=0.00301&amp;sourceID=14","0.00301")</f>
        <v>0.00301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HYPERLINK("http://141.218.60.56/~jnz1568/getInfo.php?workbook=14_04.xlsx&amp;sheet=U0&amp;row=4808&amp;col=6&amp;number=3.4&amp;sourceID=14","3.4")</f>
        <v>3.4</v>
      </c>
      <c r="G4808" s="4" t="str">
        <f>HYPERLINK("http://141.218.60.56/~jnz1568/getInfo.php?workbook=14_04.xlsx&amp;sheet=U0&amp;row=4808&amp;col=7&amp;number=0.00301&amp;sourceID=14","0.00301")</f>
        <v>0.00301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HYPERLINK("http://141.218.60.56/~jnz1568/getInfo.php?workbook=14_04.xlsx&amp;sheet=U0&amp;row=4809&amp;col=6&amp;number=3.5&amp;sourceID=14","3.5")</f>
        <v>3.5</v>
      </c>
      <c r="G4809" s="4" t="str">
        <f>HYPERLINK("http://141.218.60.56/~jnz1568/getInfo.php?workbook=14_04.xlsx&amp;sheet=U0&amp;row=4809&amp;col=7&amp;number=0.00301&amp;sourceID=14","0.00301")</f>
        <v>0.00301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HYPERLINK("http://141.218.60.56/~jnz1568/getInfo.php?workbook=14_04.xlsx&amp;sheet=U0&amp;row=4810&amp;col=6&amp;number=3.6&amp;sourceID=14","3.6")</f>
        <v>3.6</v>
      </c>
      <c r="G4810" s="4" t="str">
        <f>HYPERLINK("http://141.218.60.56/~jnz1568/getInfo.php?workbook=14_04.xlsx&amp;sheet=U0&amp;row=4810&amp;col=7&amp;number=0.00301&amp;sourceID=14","0.00301")</f>
        <v>0.00301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HYPERLINK("http://141.218.60.56/~jnz1568/getInfo.php?workbook=14_04.xlsx&amp;sheet=U0&amp;row=4811&amp;col=6&amp;number=3.7&amp;sourceID=14","3.7")</f>
        <v>3.7</v>
      </c>
      <c r="G4811" s="4" t="str">
        <f>HYPERLINK("http://141.218.60.56/~jnz1568/getInfo.php?workbook=14_04.xlsx&amp;sheet=U0&amp;row=4811&amp;col=7&amp;number=0.00301&amp;sourceID=14","0.00301")</f>
        <v>0.00301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HYPERLINK("http://141.218.60.56/~jnz1568/getInfo.php?workbook=14_04.xlsx&amp;sheet=U0&amp;row=4812&amp;col=6&amp;number=3.8&amp;sourceID=14","3.8")</f>
        <v>3.8</v>
      </c>
      <c r="G4812" s="4" t="str">
        <f>HYPERLINK("http://141.218.60.56/~jnz1568/getInfo.php?workbook=14_04.xlsx&amp;sheet=U0&amp;row=4812&amp;col=7&amp;number=0.00301&amp;sourceID=14","0.00301")</f>
        <v>0.00301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HYPERLINK("http://141.218.60.56/~jnz1568/getInfo.php?workbook=14_04.xlsx&amp;sheet=U0&amp;row=4813&amp;col=6&amp;number=3.9&amp;sourceID=14","3.9")</f>
        <v>3.9</v>
      </c>
      <c r="G4813" s="4" t="str">
        <f>HYPERLINK("http://141.218.60.56/~jnz1568/getInfo.php?workbook=14_04.xlsx&amp;sheet=U0&amp;row=4813&amp;col=7&amp;number=0.00301&amp;sourceID=14","0.00301")</f>
        <v>0.00301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HYPERLINK("http://141.218.60.56/~jnz1568/getInfo.php?workbook=14_04.xlsx&amp;sheet=U0&amp;row=4814&amp;col=6&amp;number=4&amp;sourceID=14","4")</f>
        <v>4</v>
      </c>
      <c r="G4814" s="4" t="str">
        <f>HYPERLINK("http://141.218.60.56/~jnz1568/getInfo.php?workbook=14_04.xlsx&amp;sheet=U0&amp;row=4814&amp;col=7&amp;number=0.00301&amp;sourceID=14","0.00301")</f>
        <v>0.00301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HYPERLINK("http://141.218.60.56/~jnz1568/getInfo.php?workbook=14_04.xlsx&amp;sheet=U0&amp;row=4815&amp;col=6&amp;number=4.1&amp;sourceID=14","4.1")</f>
        <v>4.1</v>
      </c>
      <c r="G4815" s="4" t="str">
        <f>HYPERLINK("http://141.218.60.56/~jnz1568/getInfo.php?workbook=14_04.xlsx&amp;sheet=U0&amp;row=4815&amp;col=7&amp;number=0.00301&amp;sourceID=14","0.00301")</f>
        <v>0.00301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HYPERLINK("http://141.218.60.56/~jnz1568/getInfo.php?workbook=14_04.xlsx&amp;sheet=U0&amp;row=4816&amp;col=6&amp;number=4.2&amp;sourceID=14","4.2")</f>
        <v>4.2</v>
      </c>
      <c r="G4816" s="4" t="str">
        <f>HYPERLINK("http://141.218.60.56/~jnz1568/getInfo.php?workbook=14_04.xlsx&amp;sheet=U0&amp;row=4816&amp;col=7&amp;number=0.00301&amp;sourceID=14","0.00301")</f>
        <v>0.00301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HYPERLINK("http://141.218.60.56/~jnz1568/getInfo.php?workbook=14_04.xlsx&amp;sheet=U0&amp;row=4817&amp;col=6&amp;number=4.3&amp;sourceID=14","4.3")</f>
        <v>4.3</v>
      </c>
      <c r="G4817" s="4" t="str">
        <f>HYPERLINK("http://141.218.60.56/~jnz1568/getInfo.php?workbook=14_04.xlsx&amp;sheet=U0&amp;row=4817&amp;col=7&amp;number=0.00302&amp;sourceID=14","0.00302")</f>
        <v>0.00302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HYPERLINK("http://141.218.60.56/~jnz1568/getInfo.php?workbook=14_04.xlsx&amp;sheet=U0&amp;row=4818&amp;col=6&amp;number=4.4&amp;sourceID=14","4.4")</f>
        <v>4.4</v>
      </c>
      <c r="G4818" s="4" t="str">
        <f>HYPERLINK("http://141.218.60.56/~jnz1568/getInfo.php?workbook=14_04.xlsx&amp;sheet=U0&amp;row=4818&amp;col=7&amp;number=0.00302&amp;sourceID=14","0.00302")</f>
        <v>0.00302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HYPERLINK("http://141.218.60.56/~jnz1568/getInfo.php?workbook=14_04.xlsx&amp;sheet=U0&amp;row=4819&amp;col=6&amp;number=4.5&amp;sourceID=14","4.5")</f>
        <v>4.5</v>
      </c>
      <c r="G4819" s="4" t="str">
        <f>HYPERLINK("http://141.218.60.56/~jnz1568/getInfo.php?workbook=14_04.xlsx&amp;sheet=U0&amp;row=4819&amp;col=7&amp;number=0.00302&amp;sourceID=14","0.00302")</f>
        <v>0.00302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HYPERLINK("http://141.218.60.56/~jnz1568/getInfo.php?workbook=14_04.xlsx&amp;sheet=U0&amp;row=4820&amp;col=6&amp;number=4.6&amp;sourceID=14","4.6")</f>
        <v>4.6</v>
      </c>
      <c r="G4820" s="4" t="str">
        <f>HYPERLINK("http://141.218.60.56/~jnz1568/getInfo.php?workbook=14_04.xlsx&amp;sheet=U0&amp;row=4820&amp;col=7&amp;number=0.00302&amp;sourceID=14","0.00302")</f>
        <v>0.00302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HYPERLINK("http://141.218.60.56/~jnz1568/getInfo.php?workbook=14_04.xlsx&amp;sheet=U0&amp;row=4821&amp;col=6&amp;number=4.7&amp;sourceID=14","4.7")</f>
        <v>4.7</v>
      </c>
      <c r="G4821" s="4" t="str">
        <f>HYPERLINK("http://141.218.60.56/~jnz1568/getInfo.php?workbook=14_04.xlsx&amp;sheet=U0&amp;row=4821&amp;col=7&amp;number=0.00302&amp;sourceID=14","0.00302")</f>
        <v>0.00302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HYPERLINK("http://141.218.60.56/~jnz1568/getInfo.php?workbook=14_04.xlsx&amp;sheet=U0&amp;row=4822&amp;col=6&amp;number=4.8&amp;sourceID=14","4.8")</f>
        <v>4.8</v>
      </c>
      <c r="G4822" s="4" t="str">
        <f>HYPERLINK("http://141.218.60.56/~jnz1568/getInfo.php?workbook=14_04.xlsx&amp;sheet=U0&amp;row=4822&amp;col=7&amp;number=0.00302&amp;sourceID=14","0.00302")</f>
        <v>0.00302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HYPERLINK("http://141.218.60.56/~jnz1568/getInfo.php?workbook=14_04.xlsx&amp;sheet=U0&amp;row=4823&amp;col=6&amp;number=4.9&amp;sourceID=14","4.9")</f>
        <v>4.9</v>
      </c>
      <c r="G4823" s="4" t="str">
        <f>HYPERLINK("http://141.218.60.56/~jnz1568/getInfo.php?workbook=14_04.xlsx&amp;sheet=U0&amp;row=4823&amp;col=7&amp;number=0.00303&amp;sourceID=14","0.00303")</f>
        <v>0.00303</v>
      </c>
    </row>
    <row r="4824" spans="1:7">
      <c r="A4824" s="3">
        <v>14</v>
      </c>
      <c r="B4824" s="3">
        <v>4</v>
      </c>
      <c r="C4824" s="3">
        <v>3</v>
      </c>
      <c r="D4824" s="3">
        <v>43</v>
      </c>
      <c r="E4824" s="3">
        <v>1</v>
      </c>
      <c r="F4824" s="4" t="str">
        <f>HYPERLINK("http://141.218.60.56/~jnz1568/getInfo.php?workbook=14_04.xlsx&amp;sheet=U0&amp;row=4824&amp;col=6&amp;number=3&amp;sourceID=14","3")</f>
        <v>3</v>
      </c>
      <c r="G4824" s="4" t="str">
        <f>HYPERLINK("http://141.218.60.56/~jnz1568/getInfo.php?workbook=14_04.xlsx&amp;sheet=U0&amp;row=4824&amp;col=7&amp;number=0.000433&amp;sourceID=14","0.000433")</f>
        <v>0.000433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HYPERLINK("http://141.218.60.56/~jnz1568/getInfo.php?workbook=14_04.xlsx&amp;sheet=U0&amp;row=4825&amp;col=6&amp;number=3.1&amp;sourceID=14","3.1")</f>
        <v>3.1</v>
      </c>
      <c r="G4825" s="4" t="str">
        <f>HYPERLINK("http://141.218.60.56/~jnz1568/getInfo.php?workbook=14_04.xlsx&amp;sheet=U0&amp;row=4825&amp;col=7&amp;number=0.000433&amp;sourceID=14","0.000433")</f>
        <v>0.000433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HYPERLINK("http://141.218.60.56/~jnz1568/getInfo.php?workbook=14_04.xlsx&amp;sheet=U0&amp;row=4826&amp;col=6&amp;number=3.2&amp;sourceID=14","3.2")</f>
        <v>3.2</v>
      </c>
      <c r="G4826" s="4" t="str">
        <f>HYPERLINK("http://141.218.60.56/~jnz1568/getInfo.php?workbook=14_04.xlsx&amp;sheet=U0&amp;row=4826&amp;col=7&amp;number=0.000433&amp;sourceID=14","0.000433")</f>
        <v>0.000433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HYPERLINK("http://141.218.60.56/~jnz1568/getInfo.php?workbook=14_04.xlsx&amp;sheet=U0&amp;row=4827&amp;col=6&amp;number=3.3&amp;sourceID=14","3.3")</f>
        <v>3.3</v>
      </c>
      <c r="G4827" s="4" t="str">
        <f>HYPERLINK("http://141.218.60.56/~jnz1568/getInfo.php?workbook=14_04.xlsx&amp;sheet=U0&amp;row=4827&amp;col=7&amp;number=0.000433&amp;sourceID=14","0.000433")</f>
        <v>0.000433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HYPERLINK("http://141.218.60.56/~jnz1568/getInfo.php?workbook=14_04.xlsx&amp;sheet=U0&amp;row=4828&amp;col=6&amp;number=3.4&amp;sourceID=14","3.4")</f>
        <v>3.4</v>
      </c>
      <c r="G4828" s="4" t="str">
        <f>HYPERLINK("http://141.218.60.56/~jnz1568/getInfo.php?workbook=14_04.xlsx&amp;sheet=U0&amp;row=4828&amp;col=7&amp;number=0.000433&amp;sourceID=14","0.000433")</f>
        <v>0.000433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HYPERLINK("http://141.218.60.56/~jnz1568/getInfo.php?workbook=14_04.xlsx&amp;sheet=U0&amp;row=4829&amp;col=6&amp;number=3.5&amp;sourceID=14","3.5")</f>
        <v>3.5</v>
      </c>
      <c r="G4829" s="4" t="str">
        <f>HYPERLINK("http://141.218.60.56/~jnz1568/getInfo.php?workbook=14_04.xlsx&amp;sheet=U0&amp;row=4829&amp;col=7&amp;number=0.000432&amp;sourceID=14","0.000432")</f>
        <v>0.000432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HYPERLINK("http://141.218.60.56/~jnz1568/getInfo.php?workbook=14_04.xlsx&amp;sheet=U0&amp;row=4830&amp;col=6&amp;number=3.6&amp;sourceID=14","3.6")</f>
        <v>3.6</v>
      </c>
      <c r="G4830" s="4" t="str">
        <f>HYPERLINK("http://141.218.60.56/~jnz1568/getInfo.php?workbook=14_04.xlsx&amp;sheet=U0&amp;row=4830&amp;col=7&amp;number=0.000432&amp;sourceID=14","0.000432")</f>
        <v>0.000432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HYPERLINK("http://141.218.60.56/~jnz1568/getInfo.php?workbook=14_04.xlsx&amp;sheet=U0&amp;row=4831&amp;col=6&amp;number=3.7&amp;sourceID=14","3.7")</f>
        <v>3.7</v>
      </c>
      <c r="G4831" s="4" t="str">
        <f>HYPERLINK("http://141.218.60.56/~jnz1568/getInfo.php?workbook=14_04.xlsx&amp;sheet=U0&amp;row=4831&amp;col=7&amp;number=0.000432&amp;sourceID=14","0.000432")</f>
        <v>0.000432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HYPERLINK("http://141.218.60.56/~jnz1568/getInfo.php?workbook=14_04.xlsx&amp;sheet=U0&amp;row=4832&amp;col=6&amp;number=3.8&amp;sourceID=14","3.8")</f>
        <v>3.8</v>
      </c>
      <c r="G4832" s="4" t="str">
        <f>HYPERLINK("http://141.218.60.56/~jnz1568/getInfo.php?workbook=14_04.xlsx&amp;sheet=U0&amp;row=4832&amp;col=7&amp;number=0.000432&amp;sourceID=14","0.000432")</f>
        <v>0.000432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HYPERLINK("http://141.218.60.56/~jnz1568/getInfo.php?workbook=14_04.xlsx&amp;sheet=U0&amp;row=4833&amp;col=6&amp;number=3.9&amp;sourceID=14","3.9")</f>
        <v>3.9</v>
      </c>
      <c r="G4833" s="4" t="str">
        <f>HYPERLINK("http://141.218.60.56/~jnz1568/getInfo.php?workbook=14_04.xlsx&amp;sheet=U0&amp;row=4833&amp;col=7&amp;number=0.000432&amp;sourceID=14","0.000432")</f>
        <v>0.000432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HYPERLINK("http://141.218.60.56/~jnz1568/getInfo.php?workbook=14_04.xlsx&amp;sheet=U0&amp;row=4834&amp;col=6&amp;number=4&amp;sourceID=14","4")</f>
        <v>4</v>
      </c>
      <c r="G4834" s="4" t="str">
        <f>HYPERLINK("http://141.218.60.56/~jnz1568/getInfo.php?workbook=14_04.xlsx&amp;sheet=U0&amp;row=4834&amp;col=7&amp;number=0.000432&amp;sourceID=14","0.000432")</f>
        <v>0.000432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HYPERLINK("http://141.218.60.56/~jnz1568/getInfo.php?workbook=14_04.xlsx&amp;sheet=U0&amp;row=4835&amp;col=6&amp;number=4.1&amp;sourceID=14","4.1")</f>
        <v>4.1</v>
      </c>
      <c r="G4835" s="4" t="str">
        <f>HYPERLINK("http://141.218.60.56/~jnz1568/getInfo.php?workbook=14_04.xlsx&amp;sheet=U0&amp;row=4835&amp;col=7&amp;number=0.000432&amp;sourceID=14","0.000432")</f>
        <v>0.000432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HYPERLINK("http://141.218.60.56/~jnz1568/getInfo.php?workbook=14_04.xlsx&amp;sheet=U0&amp;row=4836&amp;col=6&amp;number=4.2&amp;sourceID=14","4.2")</f>
        <v>4.2</v>
      </c>
      <c r="G4836" s="4" t="str">
        <f>HYPERLINK("http://141.218.60.56/~jnz1568/getInfo.php?workbook=14_04.xlsx&amp;sheet=U0&amp;row=4836&amp;col=7&amp;number=0.000432&amp;sourceID=14","0.000432")</f>
        <v>0.000432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HYPERLINK("http://141.218.60.56/~jnz1568/getInfo.php?workbook=14_04.xlsx&amp;sheet=U0&amp;row=4837&amp;col=6&amp;number=4.3&amp;sourceID=14","4.3")</f>
        <v>4.3</v>
      </c>
      <c r="G4837" s="4" t="str">
        <f>HYPERLINK("http://141.218.60.56/~jnz1568/getInfo.php?workbook=14_04.xlsx&amp;sheet=U0&amp;row=4837&amp;col=7&amp;number=0.000431&amp;sourceID=14","0.000431")</f>
        <v>0.000431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HYPERLINK("http://141.218.60.56/~jnz1568/getInfo.php?workbook=14_04.xlsx&amp;sheet=U0&amp;row=4838&amp;col=6&amp;number=4.4&amp;sourceID=14","4.4")</f>
        <v>4.4</v>
      </c>
      <c r="G4838" s="4" t="str">
        <f>HYPERLINK("http://141.218.60.56/~jnz1568/getInfo.php?workbook=14_04.xlsx&amp;sheet=U0&amp;row=4838&amp;col=7&amp;number=0.000431&amp;sourceID=14","0.000431")</f>
        <v>0.000431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HYPERLINK("http://141.218.60.56/~jnz1568/getInfo.php?workbook=14_04.xlsx&amp;sheet=U0&amp;row=4839&amp;col=6&amp;number=4.5&amp;sourceID=14","4.5")</f>
        <v>4.5</v>
      </c>
      <c r="G4839" s="4" t="str">
        <f>HYPERLINK("http://141.218.60.56/~jnz1568/getInfo.php?workbook=14_04.xlsx&amp;sheet=U0&amp;row=4839&amp;col=7&amp;number=0.000431&amp;sourceID=14","0.000431")</f>
        <v>0.000431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HYPERLINK("http://141.218.60.56/~jnz1568/getInfo.php?workbook=14_04.xlsx&amp;sheet=U0&amp;row=4840&amp;col=6&amp;number=4.6&amp;sourceID=14","4.6")</f>
        <v>4.6</v>
      </c>
      <c r="G4840" s="4" t="str">
        <f>HYPERLINK("http://141.218.60.56/~jnz1568/getInfo.php?workbook=14_04.xlsx&amp;sheet=U0&amp;row=4840&amp;col=7&amp;number=0.00043&amp;sourceID=14","0.00043")</f>
        <v>0.00043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HYPERLINK("http://141.218.60.56/~jnz1568/getInfo.php?workbook=14_04.xlsx&amp;sheet=U0&amp;row=4841&amp;col=6&amp;number=4.7&amp;sourceID=14","4.7")</f>
        <v>4.7</v>
      </c>
      <c r="G4841" s="4" t="str">
        <f>HYPERLINK("http://141.218.60.56/~jnz1568/getInfo.php?workbook=14_04.xlsx&amp;sheet=U0&amp;row=4841&amp;col=7&amp;number=0.000429&amp;sourceID=14","0.000429")</f>
        <v>0.000429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HYPERLINK("http://141.218.60.56/~jnz1568/getInfo.php?workbook=14_04.xlsx&amp;sheet=U0&amp;row=4842&amp;col=6&amp;number=4.8&amp;sourceID=14","4.8")</f>
        <v>4.8</v>
      </c>
      <c r="G4842" s="4" t="str">
        <f>HYPERLINK("http://141.218.60.56/~jnz1568/getInfo.php?workbook=14_04.xlsx&amp;sheet=U0&amp;row=4842&amp;col=7&amp;number=0.000428&amp;sourceID=14","0.000428")</f>
        <v>0.000428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HYPERLINK("http://141.218.60.56/~jnz1568/getInfo.php?workbook=14_04.xlsx&amp;sheet=U0&amp;row=4843&amp;col=6&amp;number=4.9&amp;sourceID=14","4.9")</f>
        <v>4.9</v>
      </c>
      <c r="G4843" s="4" t="str">
        <f>HYPERLINK("http://141.218.60.56/~jnz1568/getInfo.php?workbook=14_04.xlsx&amp;sheet=U0&amp;row=4843&amp;col=7&amp;number=0.000427&amp;sourceID=14","0.000427")</f>
        <v>0.000427</v>
      </c>
    </row>
    <row r="4844" spans="1:7">
      <c r="A4844" s="3">
        <v>14</v>
      </c>
      <c r="B4844" s="3">
        <v>4</v>
      </c>
      <c r="C4844" s="3">
        <v>3</v>
      </c>
      <c r="D4844" s="3">
        <v>44</v>
      </c>
      <c r="E4844" s="3">
        <v>1</v>
      </c>
      <c r="F4844" s="4" t="str">
        <f>HYPERLINK("http://141.218.60.56/~jnz1568/getInfo.php?workbook=14_04.xlsx&amp;sheet=U0&amp;row=4844&amp;col=6&amp;number=3&amp;sourceID=14","3")</f>
        <v>3</v>
      </c>
      <c r="G4844" s="4" t="str">
        <f>HYPERLINK("http://141.218.60.56/~jnz1568/getInfo.php?workbook=14_04.xlsx&amp;sheet=U0&amp;row=4844&amp;col=7&amp;number=0.000374&amp;sourceID=14","0.000374")</f>
        <v>0.000374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HYPERLINK("http://141.218.60.56/~jnz1568/getInfo.php?workbook=14_04.xlsx&amp;sheet=U0&amp;row=4845&amp;col=6&amp;number=3.1&amp;sourceID=14","3.1")</f>
        <v>3.1</v>
      </c>
      <c r="G4845" s="4" t="str">
        <f>HYPERLINK("http://141.218.60.56/~jnz1568/getInfo.php?workbook=14_04.xlsx&amp;sheet=U0&amp;row=4845&amp;col=7&amp;number=0.000374&amp;sourceID=14","0.000374")</f>
        <v>0.000374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HYPERLINK("http://141.218.60.56/~jnz1568/getInfo.php?workbook=14_04.xlsx&amp;sheet=U0&amp;row=4846&amp;col=6&amp;number=3.2&amp;sourceID=14","3.2")</f>
        <v>3.2</v>
      </c>
      <c r="G4846" s="4" t="str">
        <f>HYPERLINK("http://141.218.60.56/~jnz1568/getInfo.php?workbook=14_04.xlsx&amp;sheet=U0&amp;row=4846&amp;col=7&amp;number=0.000374&amp;sourceID=14","0.000374")</f>
        <v>0.000374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HYPERLINK("http://141.218.60.56/~jnz1568/getInfo.php?workbook=14_04.xlsx&amp;sheet=U0&amp;row=4847&amp;col=6&amp;number=3.3&amp;sourceID=14","3.3")</f>
        <v>3.3</v>
      </c>
      <c r="G4847" s="4" t="str">
        <f>HYPERLINK("http://141.218.60.56/~jnz1568/getInfo.php?workbook=14_04.xlsx&amp;sheet=U0&amp;row=4847&amp;col=7&amp;number=0.000374&amp;sourceID=14","0.000374")</f>
        <v>0.000374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HYPERLINK("http://141.218.60.56/~jnz1568/getInfo.php?workbook=14_04.xlsx&amp;sheet=U0&amp;row=4848&amp;col=6&amp;number=3.4&amp;sourceID=14","3.4")</f>
        <v>3.4</v>
      </c>
      <c r="G4848" s="4" t="str">
        <f>HYPERLINK("http://141.218.60.56/~jnz1568/getInfo.php?workbook=14_04.xlsx&amp;sheet=U0&amp;row=4848&amp;col=7&amp;number=0.000374&amp;sourceID=14","0.000374")</f>
        <v>0.000374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HYPERLINK("http://141.218.60.56/~jnz1568/getInfo.php?workbook=14_04.xlsx&amp;sheet=U0&amp;row=4849&amp;col=6&amp;number=3.5&amp;sourceID=14","3.5")</f>
        <v>3.5</v>
      </c>
      <c r="G4849" s="4" t="str">
        <f>HYPERLINK("http://141.218.60.56/~jnz1568/getInfo.php?workbook=14_04.xlsx&amp;sheet=U0&amp;row=4849&amp;col=7&amp;number=0.000374&amp;sourceID=14","0.000374")</f>
        <v>0.000374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HYPERLINK("http://141.218.60.56/~jnz1568/getInfo.php?workbook=14_04.xlsx&amp;sheet=U0&amp;row=4850&amp;col=6&amp;number=3.6&amp;sourceID=14","3.6")</f>
        <v>3.6</v>
      </c>
      <c r="G4850" s="4" t="str">
        <f>HYPERLINK("http://141.218.60.56/~jnz1568/getInfo.php?workbook=14_04.xlsx&amp;sheet=U0&amp;row=4850&amp;col=7&amp;number=0.000374&amp;sourceID=14","0.000374")</f>
        <v>0.000374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HYPERLINK("http://141.218.60.56/~jnz1568/getInfo.php?workbook=14_04.xlsx&amp;sheet=U0&amp;row=4851&amp;col=6&amp;number=3.7&amp;sourceID=14","3.7")</f>
        <v>3.7</v>
      </c>
      <c r="G4851" s="4" t="str">
        <f>HYPERLINK("http://141.218.60.56/~jnz1568/getInfo.php?workbook=14_04.xlsx&amp;sheet=U0&amp;row=4851&amp;col=7&amp;number=0.000374&amp;sourceID=14","0.000374")</f>
        <v>0.000374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HYPERLINK("http://141.218.60.56/~jnz1568/getInfo.php?workbook=14_04.xlsx&amp;sheet=U0&amp;row=4852&amp;col=6&amp;number=3.8&amp;sourceID=14","3.8")</f>
        <v>3.8</v>
      </c>
      <c r="G4852" s="4" t="str">
        <f>HYPERLINK("http://141.218.60.56/~jnz1568/getInfo.php?workbook=14_04.xlsx&amp;sheet=U0&amp;row=4852&amp;col=7&amp;number=0.000374&amp;sourceID=14","0.000374")</f>
        <v>0.000374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HYPERLINK("http://141.218.60.56/~jnz1568/getInfo.php?workbook=14_04.xlsx&amp;sheet=U0&amp;row=4853&amp;col=6&amp;number=3.9&amp;sourceID=14","3.9")</f>
        <v>3.9</v>
      </c>
      <c r="G4853" s="4" t="str">
        <f>HYPERLINK("http://141.218.60.56/~jnz1568/getInfo.php?workbook=14_04.xlsx&amp;sheet=U0&amp;row=4853&amp;col=7&amp;number=0.000374&amp;sourceID=14","0.000374")</f>
        <v>0.000374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HYPERLINK("http://141.218.60.56/~jnz1568/getInfo.php?workbook=14_04.xlsx&amp;sheet=U0&amp;row=4854&amp;col=6&amp;number=4&amp;sourceID=14","4")</f>
        <v>4</v>
      </c>
      <c r="G4854" s="4" t="str">
        <f>HYPERLINK("http://141.218.60.56/~jnz1568/getInfo.php?workbook=14_04.xlsx&amp;sheet=U0&amp;row=4854&amp;col=7&amp;number=0.000374&amp;sourceID=14","0.000374")</f>
        <v>0.000374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HYPERLINK("http://141.218.60.56/~jnz1568/getInfo.php?workbook=14_04.xlsx&amp;sheet=U0&amp;row=4855&amp;col=6&amp;number=4.1&amp;sourceID=14","4.1")</f>
        <v>4.1</v>
      </c>
      <c r="G4855" s="4" t="str">
        <f>HYPERLINK("http://141.218.60.56/~jnz1568/getInfo.php?workbook=14_04.xlsx&amp;sheet=U0&amp;row=4855&amp;col=7&amp;number=0.000373&amp;sourceID=14","0.000373")</f>
        <v>0.000373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HYPERLINK("http://141.218.60.56/~jnz1568/getInfo.php?workbook=14_04.xlsx&amp;sheet=U0&amp;row=4856&amp;col=6&amp;number=4.2&amp;sourceID=14","4.2")</f>
        <v>4.2</v>
      </c>
      <c r="G4856" s="4" t="str">
        <f>HYPERLINK("http://141.218.60.56/~jnz1568/getInfo.php?workbook=14_04.xlsx&amp;sheet=U0&amp;row=4856&amp;col=7&amp;number=0.000373&amp;sourceID=14","0.000373")</f>
        <v>0.000373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HYPERLINK("http://141.218.60.56/~jnz1568/getInfo.php?workbook=14_04.xlsx&amp;sheet=U0&amp;row=4857&amp;col=6&amp;number=4.3&amp;sourceID=14","4.3")</f>
        <v>4.3</v>
      </c>
      <c r="G4857" s="4" t="str">
        <f>HYPERLINK("http://141.218.60.56/~jnz1568/getInfo.php?workbook=14_04.xlsx&amp;sheet=U0&amp;row=4857&amp;col=7&amp;number=0.000373&amp;sourceID=14","0.000373")</f>
        <v>0.000373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HYPERLINK("http://141.218.60.56/~jnz1568/getInfo.php?workbook=14_04.xlsx&amp;sheet=U0&amp;row=4858&amp;col=6&amp;number=4.4&amp;sourceID=14","4.4")</f>
        <v>4.4</v>
      </c>
      <c r="G4858" s="4" t="str">
        <f>HYPERLINK("http://141.218.60.56/~jnz1568/getInfo.php?workbook=14_04.xlsx&amp;sheet=U0&amp;row=4858&amp;col=7&amp;number=0.000373&amp;sourceID=14","0.000373")</f>
        <v>0.000373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HYPERLINK("http://141.218.60.56/~jnz1568/getInfo.php?workbook=14_04.xlsx&amp;sheet=U0&amp;row=4859&amp;col=6&amp;number=4.5&amp;sourceID=14","4.5")</f>
        <v>4.5</v>
      </c>
      <c r="G4859" s="4" t="str">
        <f>HYPERLINK("http://141.218.60.56/~jnz1568/getInfo.php?workbook=14_04.xlsx&amp;sheet=U0&amp;row=4859&amp;col=7&amp;number=0.000372&amp;sourceID=14","0.000372")</f>
        <v>0.000372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HYPERLINK("http://141.218.60.56/~jnz1568/getInfo.php?workbook=14_04.xlsx&amp;sheet=U0&amp;row=4860&amp;col=6&amp;number=4.6&amp;sourceID=14","4.6")</f>
        <v>4.6</v>
      </c>
      <c r="G4860" s="4" t="str">
        <f>HYPERLINK("http://141.218.60.56/~jnz1568/getInfo.php?workbook=14_04.xlsx&amp;sheet=U0&amp;row=4860&amp;col=7&amp;number=0.000372&amp;sourceID=14","0.000372")</f>
        <v>0.000372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HYPERLINK("http://141.218.60.56/~jnz1568/getInfo.php?workbook=14_04.xlsx&amp;sheet=U0&amp;row=4861&amp;col=6&amp;number=4.7&amp;sourceID=14","4.7")</f>
        <v>4.7</v>
      </c>
      <c r="G4861" s="4" t="str">
        <f>HYPERLINK("http://141.218.60.56/~jnz1568/getInfo.php?workbook=14_04.xlsx&amp;sheet=U0&amp;row=4861&amp;col=7&amp;number=0.000371&amp;sourceID=14","0.000371")</f>
        <v>0.000371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HYPERLINK("http://141.218.60.56/~jnz1568/getInfo.php?workbook=14_04.xlsx&amp;sheet=U0&amp;row=4862&amp;col=6&amp;number=4.8&amp;sourceID=14","4.8")</f>
        <v>4.8</v>
      </c>
      <c r="G4862" s="4" t="str">
        <f>HYPERLINK("http://141.218.60.56/~jnz1568/getInfo.php?workbook=14_04.xlsx&amp;sheet=U0&amp;row=4862&amp;col=7&amp;number=0.000371&amp;sourceID=14","0.000371")</f>
        <v>0.000371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HYPERLINK("http://141.218.60.56/~jnz1568/getInfo.php?workbook=14_04.xlsx&amp;sheet=U0&amp;row=4863&amp;col=6&amp;number=4.9&amp;sourceID=14","4.9")</f>
        <v>4.9</v>
      </c>
      <c r="G4863" s="4" t="str">
        <f>HYPERLINK("http://141.218.60.56/~jnz1568/getInfo.php?workbook=14_04.xlsx&amp;sheet=U0&amp;row=4863&amp;col=7&amp;number=0.00037&amp;sourceID=14","0.00037")</f>
        <v>0.00037</v>
      </c>
    </row>
    <row r="4864" spans="1:7">
      <c r="A4864" s="3">
        <v>14</v>
      </c>
      <c r="B4864" s="3">
        <v>4</v>
      </c>
      <c r="C4864" s="3">
        <v>3</v>
      </c>
      <c r="D4864" s="3">
        <v>45</v>
      </c>
      <c r="E4864" s="3">
        <v>1</v>
      </c>
      <c r="F4864" s="4" t="str">
        <f>HYPERLINK("http://141.218.60.56/~jnz1568/getInfo.php?workbook=14_04.xlsx&amp;sheet=U0&amp;row=4864&amp;col=6&amp;number=3&amp;sourceID=14","3")</f>
        <v>3</v>
      </c>
      <c r="G4864" s="4" t="str">
        <f>HYPERLINK("http://141.218.60.56/~jnz1568/getInfo.php?workbook=14_04.xlsx&amp;sheet=U0&amp;row=4864&amp;col=7&amp;number=0.00586&amp;sourceID=14","0.00586")</f>
        <v>0.00586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HYPERLINK("http://141.218.60.56/~jnz1568/getInfo.php?workbook=14_04.xlsx&amp;sheet=U0&amp;row=4865&amp;col=6&amp;number=3.1&amp;sourceID=14","3.1")</f>
        <v>3.1</v>
      </c>
      <c r="G4865" s="4" t="str">
        <f>HYPERLINK("http://141.218.60.56/~jnz1568/getInfo.php?workbook=14_04.xlsx&amp;sheet=U0&amp;row=4865&amp;col=7&amp;number=0.00586&amp;sourceID=14","0.00586")</f>
        <v>0.00586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HYPERLINK("http://141.218.60.56/~jnz1568/getInfo.php?workbook=14_04.xlsx&amp;sheet=U0&amp;row=4866&amp;col=6&amp;number=3.2&amp;sourceID=14","3.2")</f>
        <v>3.2</v>
      </c>
      <c r="G4866" s="4" t="str">
        <f>HYPERLINK("http://141.218.60.56/~jnz1568/getInfo.php?workbook=14_04.xlsx&amp;sheet=U0&amp;row=4866&amp;col=7&amp;number=0.00586&amp;sourceID=14","0.00586")</f>
        <v>0.00586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HYPERLINK("http://141.218.60.56/~jnz1568/getInfo.php?workbook=14_04.xlsx&amp;sheet=U0&amp;row=4867&amp;col=6&amp;number=3.3&amp;sourceID=14","3.3")</f>
        <v>3.3</v>
      </c>
      <c r="G4867" s="4" t="str">
        <f>HYPERLINK("http://141.218.60.56/~jnz1568/getInfo.php?workbook=14_04.xlsx&amp;sheet=U0&amp;row=4867&amp;col=7&amp;number=0.00586&amp;sourceID=14","0.00586")</f>
        <v>0.00586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HYPERLINK("http://141.218.60.56/~jnz1568/getInfo.php?workbook=14_04.xlsx&amp;sheet=U0&amp;row=4868&amp;col=6&amp;number=3.4&amp;sourceID=14","3.4")</f>
        <v>3.4</v>
      </c>
      <c r="G4868" s="4" t="str">
        <f>HYPERLINK("http://141.218.60.56/~jnz1568/getInfo.php?workbook=14_04.xlsx&amp;sheet=U0&amp;row=4868&amp;col=7&amp;number=0.00586&amp;sourceID=14","0.00586")</f>
        <v>0.00586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HYPERLINK("http://141.218.60.56/~jnz1568/getInfo.php?workbook=14_04.xlsx&amp;sheet=U0&amp;row=4869&amp;col=6&amp;number=3.5&amp;sourceID=14","3.5")</f>
        <v>3.5</v>
      </c>
      <c r="G4869" s="4" t="str">
        <f>HYPERLINK("http://141.218.60.56/~jnz1568/getInfo.php?workbook=14_04.xlsx&amp;sheet=U0&amp;row=4869&amp;col=7&amp;number=0.00586&amp;sourceID=14","0.00586")</f>
        <v>0.00586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HYPERLINK("http://141.218.60.56/~jnz1568/getInfo.php?workbook=14_04.xlsx&amp;sheet=U0&amp;row=4870&amp;col=6&amp;number=3.6&amp;sourceID=14","3.6")</f>
        <v>3.6</v>
      </c>
      <c r="G4870" s="4" t="str">
        <f>HYPERLINK("http://141.218.60.56/~jnz1568/getInfo.php?workbook=14_04.xlsx&amp;sheet=U0&amp;row=4870&amp;col=7&amp;number=0.00586&amp;sourceID=14","0.00586")</f>
        <v>0.00586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HYPERLINK("http://141.218.60.56/~jnz1568/getInfo.php?workbook=14_04.xlsx&amp;sheet=U0&amp;row=4871&amp;col=6&amp;number=3.7&amp;sourceID=14","3.7")</f>
        <v>3.7</v>
      </c>
      <c r="G4871" s="4" t="str">
        <f>HYPERLINK("http://141.218.60.56/~jnz1568/getInfo.php?workbook=14_04.xlsx&amp;sheet=U0&amp;row=4871&amp;col=7&amp;number=0.00586&amp;sourceID=14","0.00586")</f>
        <v>0.00586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HYPERLINK("http://141.218.60.56/~jnz1568/getInfo.php?workbook=14_04.xlsx&amp;sheet=U0&amp;row=4872&amp;col=6&amp;number=3.8&amp;sourceID=14","3.8")</f>
        <v>3.8</v>
      </c>
      <c r="G4872" s="4" t="str">
        <f>HYPERLINK("http://141.218.60.56/~jnz1568/getInfo.php?workbook=14_04.xlsx&amp;sheet=U0&amp;row=4872&amp;col=7&amp;number=0.00585&amp;sourceID=14","0.00585")</f>
        <v>0.00585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HYPERLINK("http://141.218.60.56/~jnz1568/getInfo.php?workbook=14_04.xlsx&amp;sheet=U0&amp;row=4873&amp;col=6&amp;number=3.9&amp;sourceID=14","3.9")</f>
        <v>3.9</v>
      </c>
      <c r="G4873" s="4" t="str">
        <f>HYPERLINK("http://141.218.60.56/~jnz1568/getInfo.php?workbook=14_04.xlsx&amp;sheet=U0&amp;row=4873&amp;col=7&amp;number=0.00585&amp;sourceID=14","0.00585")</f>
        <v>0.00585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HYPERLINK("http://141.218.60.56/~jnz1568/getInfo.php?workbook=14_04.xlsx&amp;sheet=U0&amp;row=4874&amp;col=6&amp;number=4&amp;sourceID=14","4")</f>
        <v>4</v>
      </c>
      <c r="G4874" s="4" t="str">
        <f>HYPERLINK("http://141.218.60.56/~jnz1568/getInfo.php?workbook=14_04.xlsx&amp;sheet=U0&amp;row=4874&amp;col=7&amp;number=0.00585&amp;sourceID=14","0.00585")</f>
        <v>0.00585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HYPERLINK("http://141.218.60.56/~jnz1568/getInfo.php?workbook=14_04.xlsx&amp;sheet=U0&amp;row=4875&amp;col=6&amp;number=4.1&amp;sourceID=14","4.1")</f>
        <v>4.1</v>
      </c>
      <c r="G4875" s="4" t="str">
        <f>HYPERLINK("http://141.218.60.56/~jnz1568/getInfo.php?workbook=14_04.xlsx&amp;sheet=U0&amp;row=4875&amp;col=7&amp;number=0.00585&amp;sourceID=14","0.00585")</f>
        <v>0.00585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HYPERLINK("http://141.218.60.56/~jnz1568/getInfo.php?workbook=14_04.xlsx&amp;sheet=U0&amp;row=4876&amp;col=6&amp;number=4.2&amp;sourceID=14","4.2")</f>
        <v>4.2</v>
      </c>
      <c r="G4876" s="4" t="str">
        <f>HYPERLINK("http://141.218.60.56/~jnz1568/getInfo.php?workbook=14_04.xlsx&amp;sheet=U0&amp;row=4876&amp;col=7&amp;number=0.00585&amp;sourceID=14","0.00585")</f>
        <v>0.00585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HYPERLINK("http://141.218.60.56/~jnz1568/getInfo.php?workbook=14_04.xlsx&amp;sheet=U0&amp;row=4877&amp;col=6&amp;number=4.3&amp;sourceID=14","4.3")</f>
        <v>4.3</v>
      </c>
      <c r="G4877" s="4" t="str">
        <f>HYPERLINK("http://141.218.60.56/~jnz1568/getInfo.php?workbook=14_04.xlsx&amp;sheet=U0&amp;row=4877&amp;col=7&amp;number=0.00584&amp;sourceID=14","0.00584")</f>
        <v>0.00584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HYPERLINK("http://141.218.60.56/~jnz1568/getInfo.php?workbook=14_04.xlsx&amp;sheet=U0&amp;row=4878&amp;col=6&amp;number=4.4&amp;sourceID=14","4.4")</f>
        <v>4.4</v>
      </c>
      <c r="G4878" s="4" t="str">
        <f>HYPERLINK("http://141.218.60.56/~jnz1568/getInfo.php?workbook=14_04.xlsx&amp;sheet=U0&amp;row=4878&amp;col=7&amp;number=0.00584&amp;sourceID=14","0.00584")</f>
        <v>0.00584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HYPERLINK("http://141.218.60.56/~jnz1568/getInfo.php?workbook=14_04.xlsx&amp;sheet=U0&amp;row=4879&amp;col=6&amp;number=4.5&amp;sourceID=14","4.5")</f>
        <v>4.5</v>
      </c>
      <c r="G4879" s="4" t="str">
        <f>HYPERLINK("http://141.218.60.56/~jnz1568/getInfo.php?workbook=14_04.xlsx&amp;sheet=U0&amp;row=4879&amp;col=7&amp;number=0.00583&amp;sourceID=14","0.00583")</f>
        <v>0.00583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HYPERLINK("http://141.218.60.56/~jnz1568/getInfo.php?workbook=14_04.xlsx&amp;sheet=U0&amp;row=4880&amp;col=6&amp;number=4.6&amp;sourceID=14","4.6")</f>
        <v>4.6</v>
      </c>
      <c r="G4880" s="4" t="str">
        <f>HYPERLINK("http://141.218.60.56/~jnz1568/getInfo.php?workbook=14_04.xlsx&amp;sheet=U0&amp;row=4880&amp;col=7&amp;number=0.00582&amp;sourceID=14","0.00582")</f>
        <v>0.00582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HYPERLINK("http://141.218.60.56/~jnz1568/getInfo.php?workbook=14_04.xlsx&amp;sheet=U0&amp;row=4881&amp;col=6&amp;number=4.7&amp;sourceID=14","4.7")</f>
        <v>4.7</v>
      </c>
      <c r="G4881" s="4" t="str">
        <f>HYPERLINK("http://141.218.60.56/~jnz1568/getInfo.php?workbook=14_04.xlsx&amp;sheet=U0&amp;row=4881&amp;col=7&amp;number=0.00581&amp;sourceID=14","0.00581")</f>
        <v>0.00581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HYPERLINK("http://141.218.60.56/~jnz1568/getInfo.php?workbook=14_04.xlsx&amp;sheet=U0&amp;row=4882&amp;col=6&amp;number=4.8&amp;sourceID=14","4.8")</f>
        <v>4.8</v>
      </c>
      <c r="G4882" s="4" t="str">
        <f>HYPERLINK("http://141.218.60.56/~jnz1568/getInfo.php?workbook=14_04.xlsx&amp;sheet=U0&amp;row=4882&amp;col=7&amp;number=0.0058&amp;sourceID=14","0.0058")</f>
        <v>0.0058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HYPERLINK("http://141.218.60.56/~jnz1568/getInfo.php?workbook=14_04.xlsx&amp;sheet=U0&amp;row=4883&amp;col=6&amp;number=4.9&amp;sourceID=14","4.9")</f>
        <v>4.9</v>
      </c>
      <c r="G4883" s="4" t="str">
        <f>HYPERLINK("http://141.218.60.56/~jnz1568/getInfo.php?workbook=14_04.xlsx&amp;sheet=U0&amp;row=4883&amp;col=7&amp;number=0.00579&amp;sourceID=14","0.00579")</f>
        <v>0.00579</v>
      </c>
    </row>
    <row r="4884" spans="1:7">
      <c r="A4884" s="3">
        <v>14</v>
      </c>
      <c r="B4884" s="3">
        <v>4</v>
      </c>
      <c r="C4884" s="3">
        <v>3</v>
      </c>
      <c r="D4884" s="3">
        <v>46</v>
      </c>
      <c r="E4884" s="3">
        <v>1</v>
      </c>
      <c r="F4884" s="4" t="str">
        <f>HYPERLINK("http://141.218.60.56/~jnz1568/getInfo.php?workbook=14_04.xlsx&amp;sheet=U0&amp;row=4884&amp;col=6&amp;number=3&amp;sourceID=14","3")</f>
        <v>3</v>
      </c>
      <c r="G4884" s="4" t="str">
        <f>HYPERLINK("http://141.218.60.56/~jnz1568/getInfo.php?workbook=14_04.xlsx&amp;sheet=U0&amp;row=4884&amp;col=7&amp;number=0.00213&amp;sourceID=14","0.00213")</f>
        <v>0.00213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HYPERLINK("http://141.218.60.56/~jnz1568/getInfo.php?workbook=14_04.xlsx&amp;sheet=U0&amp;row=4885&amp;col=6&amp;number=3.1&amp;sourceID=14","3.1")</f>
        <v>3.1</v>
      </c>
      <c r="G4885" s="4" t="str">
        <f>HYPERLINK("http://141.218.60.56/~jnz1568/getInfo.php?workbook=14_04.xlsx&amp;sheet=U0&amp;row=4885&amp;col=7&amp;number=0.00213&amp;sourceID=14","0.00213")</f>
        <v>0.00213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HYPERLINK("http://141.218.60.56/~jnz1568/getInfo.php?workbook=14_04.xlsx&amp;sheet=U0&amp;row=4886&amp;col=6&amp;number=3.2&amp;sourceID=14","3.2")</f>
        <v>3.2</v>
      </c>
      <c r="G4886" s="4" t="str">
        <f>HYPERLINK("http://141.218.60.56/~jnz1568/getInfo.php?workbook=14_04.xlsx&amp;sheet=U0&amp;row=4886&amp;col=7&amp;number=0.00213&amp;sourceID=14","0.00213")</f>
        <v>0.00213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HYPERLINK("http://141.218.60.56/~jnz1568/getInfo.php?workbook=14_04.xlsx&amp;sheet=U0&amp;row=4887&amp;col=6&amp;number=3.3&amp;sourceID=14","3.3")</f>
        <v>3.3</v>
      </c>
      <c r="G4887" s="4" t="str">
        <f>HYPERLINK("http://141.218.60.56/~jnz1568/getInfo.php?workbook=14_04.xlsx&amp;sheet=U0&amp;row=4887&amp;col=7&amp;number=0.00213&amp;sourceID=14","0.00213")</f>
        <v>0.00213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HYPERLINK("http://141.218.60.56/~jnz1568/getInfo.php?workbook=14_04.xlsx&amp;sheet=U0&amp;row=4888&amp;col=6&amp;number=3.4&amp;sourceID=14","3.4")</f>
        <v>3.4</v>
      </c>
      <c r="G4888" s="4" t="str">
        <f>HYPERLINK("http://141.218.60.56/~jnz1568/getInfo.php?workbook=14_04.xlsx&amp;sheet=U0&amp;row=4888&amp;col=7&amp;number=0.00213&amp;sourceID=14","0.00213")</f>
        <v>0.00213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HYPERLINK("http://141.218.60.56/~jnz1568/getInfo.php?workbook=14_04.xlsx&amp;sheet=U0&amp;row=4889&amp;col=6&amp;number=3.5&amp;sourceID=14","3.5")</f>
        <v>3.5</v>
      </c>
      <c r="G4889" s="4" t="str">
        <f>HYPERLINK("http://141.218.60.56/~jnz1568/getInfo.php?workbook=14_04.xlsx&amp;sheet=U0&amp;row=4889&amp;col=7&amp;number=0.00213&amp;sourceID=14","0.00213")</f>
        <v>0.00213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HYPERLINK("http://141.218.60.56/~jnz1568/getInfo.php?workbook=14_04.xlsx&amp;sheet=U0&amp;row=4890&amp;col=6&amp;number=3.6&amp;sourceID=14","3.6")</f>
        <v>3.6</v>
      </c>
      <c r="G4890" s="4" t="str">
        <f>HYPERLINK("http://141.218.60.56/~jnz1568/getInfo.php?workbook=14_04.xlsx&amp;sheet=U0&amp;row=4890&amp;col=7&amp;number=0.00213&amp;sourceID=14","0.00213")</f>
        <v>0.00213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HYPERLINK("http://141.218.60.56/~jnz1568/getInfo.php?workbook=14_04.xlsx&amp;sheet=U0&amp;row=4891&amp;col=6&amp;number=3.7&amp;sourceID=14","3.7")</f>
        <v>3.7</v>
      </c>
      <c r="G4891" s="4" t="str">
        <f>HYPERLINK("http://141.218.60.56/~jnz1568/getInfo.php?workbook=14_04.xlsx&amp;sheet=U0&amp;row=4891&amp;col=7&amp;number=0.00213&amp;sourceID=14","0.00213")</f>
        <v>0.00213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HYPERLINK("http://141.218.60.56/~jnz1568/getInfo.php?workbook=14_04.xlsx&amp;sheet=U0&amp;row=4892&amp;col=6&amp;number=3.8&amp;sourceID=14","3.8")</f>
        <v>3.8</v>
      </c>
      <c r="G4892" s="4" t="str">
        <f>HYPERLINK("http://141.218.60.56/~jnz1568/getInfo.php?workbook=14_04.xlsx&amp;sheet=U0&amp;row=4892&amp;col=7&amp;number=0.00213&amp;sourceID=14","0.00213")</f>
        <v>0.00213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HYPERLINK("http://141.218.60.56/~jnz1568/getInfo.php?workbook=14_04.xlsx&amp;sheet=U0&amp;row=4893&amp;col=6&amp;number=3.9&amp;sourceID=14","3.9")</f>
        <v>3.9</v>
      </c>
      <c r="G4893" s="4" t="str">
        <f>HYPERLINK("http://141.218.60.56/~jnz1568/getInfo.php?workbook=14_04.xlsx&amp;sheet=U0&amp;row=4893&amp;col=7&amp;number=0.00213&amp;sourceID=14","0.00213")</f>
        <v>0.00213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HYPERLINK("http://141.218.60.56/~jnz1568/getInfo.php?workbook=14_04.xlsx&amp;sheet=U0&amp;row=4894&amp;col=6&amp;number=4&amp;sourceID=14","4")</f>
        <v>4</v>
      </c>
      <c r="G4894" s="4" t="str">
        <f>HYPERLINK("http://141.218.60.56/~jnz1568/getInfo.php?workbook=14_04.xlsx&amp;sheet=U0&amp;row=4894&amp;col=7&amp;number=0.00213&amp;sourceID=14","0.00213")</f>
        <v>0.00213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HYPERLINK("http://141.218.60.56/~jnz1568/getInfo.php?workbook=14_04.xlsx&amp;sheet=U0&amp;row=4895&amp;col=6&amp;number=4.1&amp;sourceID=14","4.1")</f>
        <v>4.1</v>
      </c>
      <c r="G4895" s="4" t="str">
        <f>HYPERLINK("http://141.218.60.56/~jnz1568/getInfo.php?workbook=14_04.xlsx&amp;sheet=U0&amp;row=4895&amp;col=7&amp;number=0.00213&amp;sourceID=14","0.00213")</f>
        <v>0.00213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HYPERLINK("http://141.218.60.56/~jnz1568/getInfo.php?workbook=14_04.xlsx&amp;sheet=U0&amp;row=4896&amp;col=6&amp;number=4.2&amp;sourceID=14","4.2")</f>
        <v>4.2</v>
      </c>
      <c r="G4896" s="4" t="str">
        <f>HYPERLINK("http://141.218.60.56/~jnz1568/getInfo.php?workbook=14_04.xlsx&amp;sheet=U0&amp;row=4896&amp;col=7&amp;number=0.00213&amp;sourceID=14","0.00213")</f>
        <v>0.00213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HYPERLINK("http://141.218.60.56/~jnz1568/getInfo.php?workbook=14_04.xlsx&amp;sheet=U0&amp;row=4897&amp;col=6&amp;number=4.3&amp;sourceID=14","4.3")</f>
        <v>4.3</v>
      </c>
      <c r="G4897" s="4" t="str">
        <f>HYPERLINK("http://141.218.60.56/~jnz1568/getInfo.php?workbook=14_04.xlsx&amp;sheet=U0&amp;row=4897&amp;col=7&amp;number=0.00213&amp;sourceID=14","0.00213")</f>
        <v>0.00213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HYPERLINK("http://141.218.60.56/~jnz1568/getInfo.php?workbook=14_04.xlsx&amp;sheet=U0&amp;row=4898&amp;col=6&amp;number=4.4&amp;sourceID=14","4.4")</f>
        <v>4.4</v>
      </c>
      <c r="G4898" s="4" t="str">
        <f>HYPERLINK("http://141.218.60.56/~jnz1568/getInfo.php?workbook=14_04.xlsx&amp;sheet=U0&amp;row=4898&amp;col=7&amp;number=0.00213&amp;sourceID=14","0.00213")</f>
        <v>0.00213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HYPERLINK("http://141.218.60.56/~jnz1568/getInfo.php?workbook=14_04.xlsx&amp;sheet=U0&amp;row=4899&amp;col=6&amp;number=4.5&amp;sourceID=14","4.5")</f>
        <v>4.5</v>
      </c>
      <c r="G4899" s="4" t="str">
        <f>HYPERLINK("http://141.218.60.56/~jnz1568/getInfo.php?workbook=14_04.xlsx&amp;sheet=U0&amp;row=4899&amp;col=7&amp;number=0.00212&amp;sourceID=14","0.00212")</f>
        <v>0.00212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HYPERLINK("http://141.218.60.56/~jnz1568/getInfo.php?workbook=14_04.xlsx&amp;sheet=U0&amp;row=4900&amp;col=6&amp;number=4.6&amp;sourceID=14","4.6")</f>
        <v>4.6</v>
      </c>
      <c r="G4900" s="4" t="str">
        <f>HYPERLINK("http://141.218.60.56/~jnz1568/getInfo.php?workbook=14_04.xlsx&amp;sheet=U0&amp;row=4900&amp;col=7&amp;number=0.00212&amp;sourceID=14","0.00212")</f>
        <v>0.00212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HYPERLINK("http://141.218.60.56/~jnz1568/getInfo.php?workbook=14_04.xlsx&amp;sheet=U0&amp;row=4901&amp;col=6&amp;number=4.7&amp;sourceID=14","4.7")</f>
        <v>4.7</v>
      </c>
      <c r="G4901" s="4" t="str">
        <f>HYPERLINK("http://141.218.60.56/~jnz1568/getInfo.php?workbook=14_04.xlsx&amp;sheet=U0&amp;row=4901&amp;col=7&amp;number=0.00212&amp;sourceID=14","0.00212")</f>
        <v>0.00212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HYPERLINK("http://141.218.60.56/~jnz1568/getInfo.php?workbook=14_04.xlsx&amp;sheet=U0&amp;row=4902&amp;col=6&amp;number=4.8&amp;sourceID=14","4.8")</f>
        <v>4.8</v>
      </c>
      <c r="G4902" s="4" t="str">
        <f>HYPERLINK("http://141.218.60.56/~jnz1568/getInfo.php?workbook=14_04.xlsx&amp;sheet=U0&amp;row=4902&amp;col=7&amp;number=0.00211&amp;sourceID=14","0.00211")</f>
        <v>0.00211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HYPERLINK("http://141.218.60.56/~jnz1568/getInfo.php?workbook=14_04.xlsx&amp;sheet=U0&amp;row=4903&amp;col=6&amp;number=4.9&amp;sourceID=14","4.9")</f>
        <v>4.9</v>
      </c>
      <c r="G4903" s="4" t="str">
        <f>HYPERLINK("http://141.218.60.56/~jnz1568/getInfo.php?workbook=14_04.xlsx&amp;sheet=U0&amp;row=4903&amp;col=7&amp;number=0.00211&amp;sourceID=14","0.00211")</f>
        <v>0.00211</v>
      </c>
    </row>
    <row r="4904" spans="1:7">
      <c r="A4904" s="3">
        <v>14</v>
      </c>
      <c r="B4904" s="3">
        <v>4</v>
      </c>
      <c r="C4904" s="3">
        <v>3</v>
      </c>
      <c r="D4904" s="3">
        <v>47</v>
      </c>
      <c r="E4904" s="3">
        <v>1</v>
      </c>
      <c r="F4904" s="4" t="str">
        <f>HYPERLINK("http://141.218.60.56/~jnz1568/getInfo.php?workbook=14_04.xlsx&amp;sheet=U0&amp;row=4904&amp;col=6&amp;number=3&amp;sourceID=14","3")</f>
        <v>3</v>
      </c>
      <c r="G4904" s="4" t="str">
        <f>HYPERLINK("http://141.218.60.56/~jnz1568/getInfo.php?workbook=14_04.xlsx&amp;sheet=U0&amp;row=4904&amp;col=7&amp;number=0.00139&amp;sourceID=14","0.00139")</f>
        <v>0.00139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HYPERLINK("http://141.218.60.56/~jnz1568/getInfo.php?workbook=14_04.xlsx&amp;sheet=U0&amp;row=4905&amp;col=6&amp;number=3.1&amp;sourceID=14","3.1")</f>
        <v>3.1</v>
      </c>
      <c r="G4905" s="4" t="str">
        <f>HYPERLINK("http://141.218.60.56/~jnz1568/getInfo.php?workbook=14_04.xlsx&amp;sheet=U0&amp;row=4905&amp;col=7&amp;number=0.00139&amp;sourceID=14","0.00139")</f>
        <v>0.00139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HYPERLINK("http://141.218.60.56/~jnz1568/getInfo.php?workbook=14_04.xlsx&amp;sheet=U0&amp;row=4906&amp;col=6&amp;number=3.2&amp;sourceID=14","3.2")</f>
        <v>3.2</v>
      </c>
      <c r="G4906" s="4" t="str">
        <f>HYPERLINK("http://141.218.60.56/~jnz1568/getInfo.php?workbook=14_04.xlsx&amp;sheet=U0&amp;row=4906&amp;col=7&amp;number=0.00139&amp;sourceID=14","0.00139")</f>
        <v>0.00139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HYPERLINK("http://141.218.60.56/~jnz1568/getInfo.php?workbook=14_04.xlsx&amp;sheet=U0&amp;row=4907&amp;col=6&amp;number=3.3&amp;sourceID=14","3.3")</f>
        <v>3.3</v>
      </c>
      <c r="G4907" s="4" t="str">
        <f>HYPERLINK("http://141.218.60.56/~jnz1568/getInfo.php?workbook=14_04.xlsx&amp;sheet=U0&amp;row=4907&amp;col=7&amp;number=0.00139&amp;sourceID=14","0.00139")</f>
        <v>0.00139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HYPERLINK("http://141.218.60.56/~jnz1568/getInfo.php?workbook=14_04.xlsx&amp;sheet=U0&amp;row=4908&amp;col=6&amp;number=3.4&amp;sourceID=14","3.4")</f>
        <v>3.4</v>
      </c>
      <c r="G4908" s="4" t="str">
        <f>HYPERLINK("http://141.218.60.56/~jnz1568/getInfo.php?workbook=14_04.xlsx&amp;sheet=U0&amp;row=4908&amp;col=7&amp;number=0.00139&amp;sourceID=14","0.00139")</f>
        <v>0.00139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HYPERLINK("http://141.218.60.56/~jnz1568/getInfo.php?workbook=14_04.xlsx&amp;sheet=U0&amp;row=4909&amp;col=6&amp;number=3.5&amp;sourceID=14","3.5")</f>
        <v>3.5</v>
      </c>
      <c r="G4909" s="4" t="str">
        <f>HYPERLINK("http://141.218.60.56/~jnz1568/getInfo.php?workbook=14_04.xlsx&amp;sheet=U0&amp;row=4909&amp;col=7&amp;number=0.00139&amp;sourceID=14","0.00139")</f>
        <v>0.00139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HYPERLINK("http://141.218.60.56/~jnz1568/getInfo.php?workbook=14_04.xlsx&amp;sheet=U0&amp;row=4910&amp;col=6&amp;number=3.6&amp;sourceID=14","3.6")</f>
        <v>3.6</v>
      </c>
      <c r="G4910" s="4" t="str">
        <f>HYPERLINK("http://141.218.60.56/~jnz1568/getInfo.php?workbook=14_04.xlsx&amp;sheet=U0&amp;row=4910&amp;col=7&amp;number=0.00139&amp;sourceID=14","0.00139")</f>
        <v>0.00139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HYPERLINK("http://141.218.60.56/~jnz1568/getInfo.php?workbook=14_04.xlsx&amp;sheet=U0&amp;row=4911&amp;col=6&amp;number=3.7&amp;sourceID=14","3.7")</f>
        <v>3.7</v>
      </c>
      <c r="G4911" s="4" t="str">
        <f>HYPERLINK("http://141.218.60.56/~jnz1568/getInfo.php?workbook=14_04.xlsx&amp;sheet=U0&amp;row=4911&amp;col=7&amp;number=0.00139&amp;sourceID=14","0.00139")</f>
        <v>0.00139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HYPERLINK("http://141.218.60.56/~jnz1568/getInfo.php?workbook=14_04.xlsx&amp;sheet=U0&amp;row=4912&amp;col=6&amp;number=3.8&amp;sourceID=14","3.8")</f>
        <v>3.8</v>
      </c>
      <c r="G4912" s="4" t="str">
        <f>HYPERLINK("http://141.218.60.56/~jnz1568/getInfo.php?workbook=14_04.xlsx&amp;sheet=U0&amp;row=4912&amp;col=7&amp;number=0.00139&amp;sourceID=14","0.00139")</f>
        <v>0.00139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HYPERLINK("http://141.218.60.56/~jnz1568/getInfo.php?workbook=14_04.xlsx&amp;sheet=U0&amp;row=4913&amp;col=6&amp;number=3.9&amp;sourceID=14","3.9")</f>
        <v>3.9</v>
      </c>
      <c r="G4913" s="4" t="str">
        <f>HYPERLINK("http://141.218.60.56/~jnz1568/getInfo.php?workbook=14_04.xlsx&amp;sheet=U0&amp;row=4913&amp;col=7&amp;number=0.00139&amp;sourceID=14","0.00139")</f>
        <v>0.00139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HYPERLINK("http://141.218.60.56/~jnz1568/getInfo.php?workbook=14_04.xlsx&amp;sheet=U0&amp;row=4914&amp;col=6&amp;number=4&amp;sourceID=14","4")</f>
        <v>4</v>
      </c>
      <c r="G4914" s="4" t="str">
        <f>HYPERLINK("http://141.218.60.56/~jnz1568/getInfo.php?workbook=14_04.xlsx&amp;sheet=U0&amp;row=4914&amp;col=7&amp;number=0.00139&amp;sourceID=14","0.00139")</f>
        <v>0.00139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HYPERLINK("http://141.218.60.56/~jnz1568/getInfo.php?workbook=14_04.xlsx&amp;sheet=U0&amp;row=4915&amp;col=6&amp;number=4.1&amp;sourceID=14","4.1")</f>
        <v>4.1</v>
      </c>
      <c r="G4915" s="4" t="str">
        <f>HYPERLINK("http://141.218.60.56/~jnz1568/getInfo.php?workbook=14_04.xlsx&amp;sheet=U0&amp;row=4915&amp;col=7&amp;number=0.0014&amp;sourceID=14","0.0014")</f>
        <v>0.0014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HYPERLINK("http://141.218.60.56/~jnz1568/getInfo.php?workbook=14_04.xlsx&amp;sheet=U0&amp;row=4916&amp;col=6&amp;number=4.2&amp;sourceID=14","4.2")</f>
        <v>4.2</v>
      </c>
      <c r="G4916" s="4" t="str">
        <f>HYPERLINK("http://141.218.60.56/~jnz1568/getInfo.php?workbook=14_04.xlsx&amp;sheet=U0&amp;row=4916&amp;col=7&amp;number=0.0014&amp;sourceID=14","0.0014")</f>
        <v>0.0014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HYPERLINK("http://141.218.60.56/~jnz1568/getInfo.php?workbook=14_04.xlsx&amp;sheet=U0&amp;row=4917&amp;col=6&amp;number=4.3&amp;sourceID=14","4.3")</f>
        <v>4.3</v>
      </c>
      <c r="G4917" s="4" t="str">
        <f>HYPERLINK("http://141.218.60.56/~jnz1568/getInfo.php?workbook=14_04.xlsx&amp;sheet=U0&amp;row=4917&amp;col=7&amp;number=0.0014&amp;sourceID=14","0.0014")</f>
        <v>0.0014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HYPERLINK("http://141.218.60.56/~jnz1568/getInfo.php?workbook=14_04.xlsx&amp;sheet=U0&amp;row=4918&amp;col=6&amp;number=4.4&amp;sourceID=14","4.4")</f>
        <v>4.4</v>
      </c>
      <c r="G4918" s="4" t="str">
        <f>HYPERLINK("http://141.218.60.56/~jnz1568/getInfo.php?workbook=14_04.xlsx&amp;sheet=U0&amp;row=4918&amp;col=7&amp;number=0.0014&amp;sourceID=14","0.0014")</f>
        <v>0.0014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HYPERLINK("http://141.218.60.56/~jnz1568/getInfo.php?workbook=14_04.xlsx&amp;sheet=U0&amp;row=4919&amp;col=6&amp;number=4.5&amp;sourceID=14","4.5")</f>
        <v>4.5</v>
      </c>
      <c r="G4919" s="4" t="str">
        <f>HYPERLINK("http://141.218.60.56/~jnz1568/getInfo.php?workbook=14_04.xlsx&amp;sheet=U0&amp;row=4919&amp;col=7&amp;number=0.0014&amp;sourceID=14","0.0014")</f>
        <v>0.0014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HYPERLINK("http://141.218.60.56/~jnz1568/getInfo.php?workbook=14_04.xlsx&amp;sheet=U0&amp;row=4920&amp;col=6&amp;number=4.6&amp;sourceID=14","4.6")</f>
        <v>4.6</v>
      </c>
      <c r="G4920" s="4" t="str">
        <f>HYPERLINK("http://141.218.60.56/~jnz1568/getInfo.php?workbook=14_04.xlsx&amp;sheet=U0&amp;row=4920&amp;col=7&amp;number=0.0014&amp;sourceID=14","0.0014")</f>
        <v>0.0014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HYPERLINK("http://141.218.60.56/~jnz1568/getInfo.php?workbook=14_04.xlsx&amp;sheet=U0&amp;row=4921&amp;col=6&amp;number=4.7&amp;sourceID=14","4.7")</f>
        <v>4.7</v>
      </c>
      <c r="G4921" s="4" t="str">
        <f>HYPERLINK("http://141.218.60.56/~jnz1568/getInfo.php?workbook=14_04.xlsx&amp;sheet=U0&amp;row=4921&amp;col=7&amp;number=0.0014&amp;sourceID=14","0.0014")</f>
        <v>0.0014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HYPERLINK("http://141.218.60.56/~jnz1568/getInfo.php?workbook=14_04.xlsx&amp;sheet=U0&amp;row=4922&amp;col=6&amp;number=4.8&amp;sourceID=14","4.8")</f>
        <v>4.8</v>
      </c>
      <c r="G4922" s="4" t="str">
        <f>HYPERLINK("http://141.218.60.56/~jnz1568/getInfo.php?workbook=14_04.xlsx&amp;sheet=U0&amp;row=4922&amp;col=7&amp;number=0.0014&amp;sourceID=14","0.0014")</f>
        <v>0.0014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HYPERLINK("http://141.218.60.56/~jnz1568/getInfo.php?workbook=14_04.xlsx&amp;sheet=U0&amp;row=4923&amp;col=6&amp;number=4.9&amp;sourceID=14","4.9")</f>
        <v>4.9</v>
      </c>
      <c r="G4923" s="4" t="str">
        <f>HYPERLINK("http://141.218.60.56/~jnz1568/getInfo.php?workbook=14_04.xlsx&amp;sheet=U0&amp;row=4923&amp;col=7&amp;number=0.0014&amp;sourceID=14","0.0014")</f>
        <v>0.0014</v>
      </c>
    </row>
    <row r="4924" spans="1:7">
      <c r="A4924" s="3">
        <v>14</v>
      </c>
      <c r="B4924" s="3">
        <v>4</v>
      </c>
      <c r="C4924" s="3">
        <v>3</v>
      </c>
      <c r="D4924" s="3">
        <v>48</v>
      </c>
      <c r="E4924" s="3">
        <v>1</v>
      </c>
      <c r="F4924" s="4" t="str">
        <f>HYPERLINK("http://141.218.60.56/~jnz1568/getInfo.php?workbook=14_04.xlsx&amp;sheet=U0&amp;row=4924&amp;col=6&amp;number=3&amp;sourceID=14","3")</f>
        <v>3</v>
      </c>
      <c r="G4924" s="4" t="str">
        <f>HYPERLINK("http://141.218.60.56/~jnz1568/getInfo.php?workbook=14_04.xlsx&amp;sheet=U0&amp;row=4924&amp;col=7&amp;number=0.000625&amp;sourceID=14","0.000625")</f>
        <v>0.000625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HYPERLINK("http://141.218.60.56/~jnz1568/getInfo.php?workbook=14_04.xlsx&amp;sheet=U0&amp;row=4925&amp;col=6&amp;number=3.1&amp;sourceID=14","3.1")</f>
        <v>3.1</v>
      </c>
      <c r="G4925" s="4" t="str">
        <f>HYPERLINK("http://141.218.60.56/~jnz1568/getInfo.php?workbook=14_04.xlsx&amp;sheet=U0&amp;row=4925&amp;col=7&amp;number=0.000625&amp;sourceID=14","0.000625")</f>
        <v>0.000625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HYPERLINK("http://141.218.60.56/~jnz1568/getInfo.php?workbook=14_04.xlsx&amp;sheet=U0&amp;row=4926&amp;col=6&amp;number=3.2&amp;sourceID=14","3.2")</f>
        <v>3.2</v>
      </c>
      <c r="G4926" s="4" t="str">
        <f>HYPERLINK("http://141.218.60.56/~jnz1568/getInfo.php?workbook=14_04.xlsx&amp;sheet=U0&amp;row=4926&amp;col=7&amp;number=0.000625&amp;sourceID=14","0.000625")</f>
        <v>0.000625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HYPERLINK("http://141.218.60.56/~jnz1568/getInfo.php?workbook=14_04.xlsx&amp;sheet=U0&amp;row=4927&amp;col=6&amp;number=3.3&amp;sourceID=14","3.3")</f>
        <v>3.3</v>
      </c>
      <c r="G4927" s="4" t="str">
        <f>HYPERLINK("http://141.218.60.56/~jnz1568/getInfo.php?workbook=14_04.xlsx&amp;sheet=U0&amp;row=4927&amp;col=7&amp;number=0.000625&amp;sourceID=14","0.000625")</f>
        <v>0.000625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HYPERLINK("http://141.218.60.56/~jnz1568/getInfo.php?workbook=14_04.xlsx&amp;sheet=U0&amp;row=4928&amp;col=6&amp;number=3.4&amp;sourceID=14","3.4")</f>
        <v>3.4</v>
      </c>
      <c r="G4928" s="4" t="str">
        <f>HYPERLINK("http://141.218.60.56/~jnz1568/getInfo.php?workbook=14_04.xlsx&amp;sheet=U0&amp;row=4928&amp;col=7&amp;number=0.000625&amp;sourceID=14","0.000625")</f>
        <v>0.000625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HYPERLINK("http://141.218.60.56/~jnz1568/getInfo.php?workbook=14_04.xlsx&amp;sheet=U0&amp;row=4929&amp;col=6&amp;number=3.5&amp;sourceID=14","3.5")</f>
        <v>3.5</v>
      </c>
      <c r="G4929" s="4" t="str">
        <f>HYPERLINK("http://141.218.60.56/~jnz1568/getInfo.php?workbook=14_04.xlsx&amp;sheet=U0&amp;row=4929&amp;col=7&amp;number=0.000625&amp;sourceID=14","0.000625")</f>
        <v>0.000625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HYPERLINK("http://141.218.60.56/~jnz1568/getInfo.php?workbook=14_04.xlsx&amp;sheet=U0&amp;row=4930&amp;col=6&amp;number=3.6&amp;sourceID=14","3.6")</f>
        <v>3.6</v>
      </c>
      <c r="G4930" s="4" t="str">
        <f>HYPERLINK("http://141.218.60.56/~jnz1568/getInfo.php?workbook=14_04.xlsx&amp;sheet=U0&amp;row=4930&amp;col=7&amp;number=0.000625&amp;sourceID=14","0.000625")</f>
        <v>0.000625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HYPERLINK("http://141.218.60.56/~jnz1568/getInfo.php?workbook=14_04.xlsx&amp;sheet=U0&amp;row=4931&amp;col=6&amp;number=3.7&amp;sourceID=14","3.7")</f>
        <v>3.7</v>
      </c>
      <c r="G4931" s="4" t="str">
        <f>HYPERLINK("http://141.218.60.56/~jnz1568/getInfo.php?workbook=14_04.xlsx&amp;sheet=U0&amp;row=4931&amp;col=7&amp;number=0.000625&amp;sourceID=14","0.000625")</f>
        <v>0.000625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HYPERLINK("http://141.218.60.56/~jnz1568/getInfo.php?workbook=14_04.xlsx&amp;sheet=U0&amp;row=4932&amp;col=6&amp;number=3.8&amp;sourceID=14","3.8")</f>
        <v>3.8</v>
      </c>
      <c r="G4932" s="4" t="str">
        <f>HYPERLINK("http://141.218.60.56/~jnz1568/getInfo.php?workbook=14_04.xlsx&amp;sheet=U0&amp;row=4932&amp;col=7&amp;number=0.000625&amp;sourceID=14","0.000625")</f>
        <v>0.000625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HYPERLINK("http://141.218.60.56/~jnz1568/getInfo.php?workbook=14_04.xlsx&amp;sheet=U0&amp;row=4933&amp;col=6&amp;number=3.9&amp;sourceID=14","3.9")</f>
        <v>3.9</v>
      </c>
      <c r="G4933" s="4" t="str">
        <f>HYPERLINK("http://141.218.60.56/~jnz1568/getInfo.php?workbook=14_04.xlsx&amp;sheet=U0&amp;row=4933&amp;col=7&amp;number=0.000625&amp;sourceID=14","0.000625")</f>
        <v>0.000625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HYPERLINK("http://141.218.60.56/~jnz1568/getInfo.php?workbook=14_04.xlsx&amp;sheet=U0&amp;row=4934&amp;col=6&amp;number=4&amp;sourceID=14","4")</f>
        <v>4</v>
      </c>
      <c r="G4934" s="4" t="str">
        <f>HYPERLINK("http://141.218.60.56/~jnz1568/getInfo.php?workbook=14_04.xlsx&amp;sheet=U0&amp;row=4934&amp;col=7&amp;number=0.000624&amp;sourceID=14","0.000624")</f>
        <v>0.000624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HYPERLINK("http://141.218.60.56/~jnz1568/getInfo.php?workbook=14_04.xlsx&amp;sheet=U0&amp;row=4935&amp;col=6&amp;number=4.1&amp;sourceID=14","4.1")</f>
        <v>4.1</v>
      </c>
      <c r="G4935" s="4" t="str">
        <f>HYPERLINK("http://141.218.60.56/~jnz1568/getInfo.php?workbook=14_04.xlsx&amp;sheet=U0&amp;row=4935&amp;col=7&amp;number=0.000624&amp;sourceID=14","0.000624")</f>
        <v>0.000624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HYPERLINK("http://141.218.60.56/~jnz1568/getInfo.php?workbook=14_04.xlsx&amp;sheet=U0&amp;row=4936&amp;col=6&amp;number=4.2&amp;sourceID=14","4.2")</f>
        <v>4.2</v>
      </c>
      <c r="G4936" s="4" t="str">
        <f>HYPERLINK("http://141.218.60.56/~jnz1568/getInfo.php?workbook=14_04.xlsx&amp;sheet=U0&amp;row=4936&amp;col=7&amp;number=0.000624&amp;sourceID=14","0.000624")</f>
        <v>0.000624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HYPERLINK("http://141.218.60.56/~jnz1568/getInfo.php?workbook=14_04.xlsx&amp;sheet=U0&amp;row=4937&amp;col=6&amp;number=4.3&amp;sourceID=14","4.3")</f>
        <v>4.3</v>
      </c>
      <c r="G4937" s="4" t="str">
        <f>HYPERLINK("http://141.218.60.56/~jnz1568/getInfo.php?workbook=14_04.xlsx&amp;sheet=U0&amp;row=4937&amp;col=7&amp;number=0.000623&amp;sourceID=14","0.000623")</f>
        <v>0.000623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HYPERLINK("http://141.218.60.56/~jnz1568/getInfo.php?workbook=14_04.xlsx&amp;sheet=U0&amp;row=4938&amp;col=6&amp;number=4.4&amp;sourceID=14","4.4")</f>
        <v>4.4</v>
      </c>
      <c r="G4938" s="4" t="str">
        <f>HYPERLINK("http://141.218.60.56/~jnz1568/getInfo.php?workbook=14_04.xlsx&amp;sheet=U0&amp;row=4938&amp;col=7&amp;number=0.000623&amp;sourceID=14","0.000623")</f>
        <v>0.000623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HYPERLINK("http://141.218.60.56/~jnz1568/getInfo.php?workbook=14_04.xlsx&amp;sheet=U0&amp;row=4939&amp;col=6&amp;number=4.5&amp;sourceID=14","4.5")</f>
        <v>4.5</v>
      </c>
      <c r="G4939" s="4" t="str">
        <f>HYPERLINK("http://141.218.60.56/~jnz1568/getInfo.php?workbook=14_04.xlsx&amp;sheet=U0&amp;row=4939&amp;col=7&amp;number=0.000622&amp;sourceID=14","0.000622")</f>
        <v>0.000622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HYPERLINK("http://141.218.60.56/~jnz1568/getInfo.php?workbook=14_04.xlsx&amp;sheet=U0&amp;row=4940&amp;col=6&amp;number=4.6&amp;sourceID=14","4.6")</f>
        <v>4.6</v>
      </c>
      <c r="G4940" s="4" t="str">
        <f>HYPERLINK("http://141.218.60.56/~jnz1568/getInfo.php?workbook=14_04.xlsx&amp;sheet=U0&amp;row=4940&amp;col=7&amp;number=0.000621&amp;sourceID=14","0.000621")</f>
        <v>0.000621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HYPERLINK("http://141.218.60.56/~jnz1568/getInfo.php?workbook=14_04.xlsx&amp;sheet=U0&amp;row=4941&amp;col=6&amp;number=4.7&amp;sourceID=14","4.7")</f>
        <v>4.7</v>
      </c>
      <c r="G4941" s="4" t="str">
        <f>HYPERLINK("http://141.218.60.56/~jnz1568/getInfo.php?workbook=14_04.xlsx&amp;sheet=U0&amp;row=4941&amp;col=7&amp;number=0.00062&amp;sourceID=14","0.00062")</f>
        <v>0.00062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HYPERLINK("http://141.218.60.56/~jnz1568/getInfo.php?workbook=14_04.xlsx&amp;sheet=U0&amp;row=4942&amp;col=6&amp;number=4.8&amp;sourceID=14","4.8")</f>
        <v>4.8</v>
      </c>
      <c r="G4942" s="4" t="str">
        <f>HYPERLINK("http://141.218.60.56/~jnz1568/getInfo.php?workbook=14_04.xlsx&amp;sheet=U0&amp;row=4942&amp;col=7&amp;number=0.000619&amp;sourceID=14","0.000619")</f>
        <v>0.000619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HYPERLINK("http://141.218.60.56/~jnz1568/getInfo.php?workbook=14_04.xlsx&amp;sheet=U0&amp;row=4943&amp;col=6&amp;number=4.9&amp;sourceID=14","4.9")</f>
        <v>4.9</v>
      </c>
      <c r="G4943" s="4" t="str">
        <f>HYPERLINK("http://141.218.60.56/~jnz1568/getInfo.php?workbook=14_04.xlsx&amp;sheet=U0&amp;row=4943&amp;col=7&amp;number=0.000617&amp;sourceID=14","0.000617")</f>
        <v>0.000617</v>
      </c>
    </row>
    <row r="4944" spans="1:7">
      <c r="A4944" s="3">
        <v>14</v>
      </c>
      <c r="B4944" s="3">
        <v>4</v>
      </c>
      <c r="C4944" s="3">
        <v>3</v>
      </c>
      <c r="D4944" s="3">
        <v>49</v>
      </c>
      <c r="E4944" s="3">
        <v>1</v>
      </c>
      <c r="F4944" s="4" t="str">
        <f>HYPERLINK("http://141.218.60.56/~jnz1568/getInfo.php?workbook=14_04.xlsx&amp;sheet=U0&amp;row=4944&amp;col=6&amp;number=3&amp;sourceID=14","3")</f>
        <v>3</v>
      </c>
      <c r="G4944" s="4" t="str">
        <f>HYPERLINK("http://141.218.60.56/~jnz1568/getInfo.php?workbook=14_04.xlsx&amp;sheet=U0&amp;row=4944&amp;col=7&amp;number=0.000928&amp;sourceID=14","0.000928")</f>
        <v>0.000928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HYPERLINK("http://141.218.60.56/~jnz1568/getInfo.php?workbook=14_04.xlsx&amp;sheet=U0&amp;row=4945&amp;col=6&amp;number=3.1&amp;sourceID=14","3.1")</f>
        <v>3.1</v>
      </c>
      <c r="G4945" s="4" t="str">
        <f>HYPERLINK("http://141.218.60.56/~jnz1568/getInfo.php?workbook=14_04.xlsx&amp;sheet=U0&amp;row=4945&amp;col=7&amp;number=0.000928&amp;sourceID=14","0.000928")</f>
        <v>0.000928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HYPERLINK("http://141.218.60.56/~jnz1568/getInfo.php?workbook=14_04.xlsx&amp;sheet=U0&amp;row=4946&amp;col=6&amp;number=3.2&amp;sourceID=14","3.2")</f>
        <v>3.2</v>
      </c>
      <c r="G4946" s="4" t="str">
        <f>HYPERLINK("http://141.218.60.56/~jnz1568/getInfo.php?workbook=14_04.xlsx&amp;sheet=U0&amp;row=4946&amp;col=7&amp;number=0.000928&amp;sourceID=14","0.000928")</f>
        <v>0.000928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HYPERLINK("http://141.218.60.56/~jnz1568/getInfo.php?workbook=14_04.xlsx&amp;sheet=U0&amp;row=4947&amp;col=6&amp;number=3.3&amp;sourceID=14","3.3")</f>
        <v>3.3</v>
      </c>
      <c r="G4947" s="4" t="str">
        <f>HYPERLINK("http://141.218.60.56/~jnz1568/getInfo.php?workbook=14_04.xlsx&amp;sheet=U0&amp;row=4947&amp;col=7&amp;number=0.000928&amp;sourceID=14","0.000928")</f>
        <v>0.000928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HYPERLINK("http://141.218.60.56/~jnz1568/getInfo.php?workbook=14_04.xlsx&amp;sheet=U0&amp;row=4948&amp;col=6&amp;number=3.4&amp;sourceID=14","3.4")</f>
        <v>3.4</v>
      </c>
      <c r="G4948" s="4" t="str">
        <f>HYPERLINK("http://141.218.60.56/~jnz1568/getInfo.php?workbook=14_04.xlsx&amp;sheet=U0&amp;row=4948&amp;col=7&amp;number=0.000928&amp;sourceID=14","0.000928")</f>
        <v>0.000928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HYPERLINK("http://141.218.60.56/~jnz1568/getInfo.php?workbook=14_04.xlsx&amp;sheet=U0&amp;row=4949&amp;col=6&amp;number=3.5&amp;sourceID=14","3.5")</f>
        <v>3.5</v>
      </c>
      <c r="G4949" s="4" t="str">
        <f>HYPERLINK("http://141.218.60.56/~jnz1568/getInfo.php?workbook=14_04.xlsx&amp;sheet=U0&amp;row=4949&amp;col=7&amp;number=0.000928&amp;sourceID=14","0.000928")</f>
        <v>0.000928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HYPERLINK("http://141.218.60.56/~jnz1568/getInfo.php?workbook=14_04.xlsx&amp;sheet=U0&amp;row=4950&amp;col=6&amp;number=3.6&amp;sourceID=14","3.6")</f>
        <v>3.6</v>
      </c>
      <c r="G4950" s="4" t="str">
        <f>HYPERLINK("http://141.218.60.56/~jnz1568/getInfo.php?workbook=14_04.xlsx&amp;sheet=U0&amp;row=4950&amp;col=7&amp;number=0.000927&amp;sourceID=14","0.000927")</f>
        <v>0.000927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HYPERLINK("http://141.218.60.56/~jnz1568/getInfo.php?workbook=14_04.xlsx&amp;sheet=U0&amp;row=4951&amp;col=6&amp;number=3.7&amp;sourceID=14","3.7")</f>
        <v>3.7</v>
      </c>
      <c r="G4951" s="4" t="str">
        <f>HYPERLINK("http://141.218.60.56/~jnz1568/getInfo.php?workbook=14_04.xlsx&amp;sheet=U0&amp;row=4951&amp;col=7&amp;number=0.000927&amp;sourceID=14","0.000927")</f>
        <v>0.000927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HYPERLINK("http://141.218.60.56/~jnz1568/getInfo.php?workbook=14_04.xlsx&amp;sheet=U0&amp;row=4952&amp;col=6&amp;number=3.8&amp;sourceID=14","3.8")</f>
        <v>3.8</v>
      </c>
      <c r="G4952" s="4" t="str">
        <f>HYPERLINK("http://141.218.60.56/~jnz1568/getInfo.php?workbook=14_04.xlsx&amp;sheet=U0&amp;row=4952&amp;col=7&amp;number=0.000927&amp;sourceID=14","0.000927")</f>
        <v>0.000927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HYPERLINK("http://141.218.60.56/~jnz1568/getInfo.php?workbook=14_04.xlsx&amp;sheet=U0&amp;row=4953&amp;col=6&amp;number=3.9&amp;sourceID=14","3.9")</f>
        <v>3.9</v>
      </c>
      <c r="G4953" s="4" t="str">
        <f>HYPERLINK("http://141.218.60.56/~jnz1568/getInfo.php?workbook=14_04.xlsx&amp;sheet=U0&amp;row=4953&amp;col=7&amp;number=0.000927&amp;sourceID=14","0.000927")</f>
        <v>0.000927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HYPERLINK("http://141.218.60.56/~jnz1568/getInfo.php?workbook=14_04.xlsx&amp;sheet=U0&amp;row=4954&amp;col=6&amp;number=4&amp;sourceID=14","4")</f>
        <v>4</v>
      </c>
      <c r="G4954" s="4" t="str">
        <f>HYPERLINK("http://141.218.60.56/~jnz1568/getInfo.php?workbook=14_04.xlsx&amp;sheet=U0&amp;row=4954&amp;col=7&amp;number=0.000927&amp;sourceID=14","0.000927")</f>
        <v>0.000927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HYPERLINK("http://141.218.60.56/~jnz1568/getInfo.php?workbook=14_04.xlsx&amp;sheet=U0&amp;row=4955&amp;col=6&amp;number=4.1&amp;sourceID=14","4.1")</f>
        <v>4.1</v>
      </c>
      <c r="G4955" s="4" t="str">
        <f>HYPERLINK("http://141.218.60.56/~jnz1568/getInfo.php?workbook=14_04.xlsx&amp;sheet=U0&amp;row=4955&amp;col=7&amp;number=0.000926&amp;sourceID=14","0.000926")</f>
        <v>0.000926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HYPERLINK("http://141.218.60.56/~jnz1568/getInfo.php?workbook=14_04.xlsx&amp;sheet=U0&amp;row=4956&amp;col=6&amp;number=4.2&amp;sourceID=14","4.2")</f>
        <v>4.2</v>
      </c>
      <c r="G4956" s="4" t="str">
        <f>HYPERLINK("http://141.218.60.56/~jnz1568/getInfo.php?workbook=14_04.xlsx&amp;sheet=U0&amp;row=4956&amp;col=7&amp;number=0.000926&amp;sourceID=14","0.000926")</f>
        <v>0.000926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HYPERLINK("http://141.218.60.56/~jnz1568/getInfo.php?workbook=14_04.xlsx&amp;sheet=U0&amp;row=4957&amp;col=6&amp;number=4.3&amp;sourceID=14","4.3")</f>
        <v>4.3</v>
      </c>
      <c r="G4957" s="4" t="str">
        <f>HYPERLINK("http://141.218.60.56/~jnz1568/getInfo.php?workbook=14_04.xlsx&amp;sheet=U0&amp;row=4957&amp;col=7&amp;number=0.000925&amp;sourceID=14","0.000925")</f>
        <v>0.000925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HYPERLINK("http://141.218.60.56/~jnz1568/getInfo.php?workbook=14_04.xlsx&amp;sheet=U0&amp;row=4958&amp;col=6&amp;number=4.4&amp;sourceID=14","4.4")</f>
        <v>4.4</v>
      </c>
      <c r="G4958" s="4" t="str">
        <f>HYPERLINK("http://141.218.60.56/~jnz1568/getInfo.php?workbook=14_04.xlsx&amp;sheet=U0&amp;row=4958&amp;col=7&amp;number=0.000924&amp;sourceID=14","0.000924")</f>
        <v>0.000924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HYPERLINK("http://141.218.60.56/~jnz1568/getInfo.php?workbook=14_04.xlsx&amp;sheet=U0&amp;row=4959&amp;col=6&amp;number=4.5&amp;sourceID=14","4.5")</f>
        <v>4.5</v>
      </c>
      <c r="G4959" s="4" t="str">
        <f>HYPERLINK("http://141.218.60.56/~jnz1568/getInfo.php?workbook=14_04.xlsx&amp;sheet=U0&amp;row=4959&amp;col=7&amp;number=0.000924&amp;sourceID=14","0.000924")</f>
        <v>0.000924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HYPERLINK("http://141.218.60.56/~jnz1568/getInfo.php?workbook=14_04.xlsx&amp;sheet=U0&amp;row=4960&amp;col=6&amp;number=4.6&amp;sourceID=14","4.6")</f>
        <v>4.6</v>
      </c>
      <c r="G4960" s="4" t="str">
        <f>HYPERLINK("http://141.218.60.56/~jnz1568/getInfo.php?workbook=14_04.xlsx&amp;sheet=U0&amp;row=4960&amp;col=7&amp;number=0.000922&amp;sourceID=14","0.000922")</f>
        <v>0.000922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HYPERLINK("http://141.218.60.56/~jnz1568/getInfo.php?workbook=14_04.xlsx&amp;sheet=U0&amp;row=4961&amp;col=6&amp;number=4.7&amp;sourceID=14","4.7")</f>
        <v>4.7</v>
      </c>
      <c r="G4961" s="4" t="str">
        <f>HYPERLINK("http://141.218.60.56/~jnz1568/getInfo.php?workbook=14_04.xlsx&amp;sheet=U0&amp;row=4961&amp;col=7&amp;number=0.000921&amp;sourceID=14","0.000921")</f>
        <v>0.000921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HYPERLINK("http://141.218.60.56/~jnz1568/getInfo.php?workbook=14_04.xlsx&amp;sheet=U0&amp;row=4962&amp;col=6&amp;number=4.8&amp;sourceID=14","4.8")</f>
        <v>4.8</v>
      </c>
      <c r="G4962" s="4" t="str">
        <f>HYPERLINK("http://141.218.60.56/~jnz1568/getInfo.php?workbook=14_04.xlsx&amp;sheet=U0&amp;row=4962&amp;col=7&amp;number=0.000919&amp;sourceID=14","0.000919")</f>
        <v>0.000919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HYPERLINK("http://141.218.60.56/~jnz1568/getInfo.php?workbook=14_04.xlsx&amp;sheet=U0&amp;row=4963&amp;col=6&amp;number=4.9&amp;sourceID=14","4.9")</f>
        <v>4.9</v>
      </c>
      <c r="G4963" s="4" t="str">
        <f>HYPERLINK("http://141.218.60.56/~jnz1568/getInfo.php?workbook=14_04.xlsx&amp;sheet=U0&amp;row=4963&amp;col=7&amp;number=0.000917&amp;sourceID=14","0.000917")</f>
        <v>0.000917</v>
      </c>
    </row>
    <row r="4964" spans="1:7">
      <c r="A4964" s="3">
        <v>14</v>
      </c>
      <c r="B4964" s="3">
        <v>4</v>
      </c>
      <c r="C4964" s="3">
        <v>3</v>
      </c>
      <c r="D4964" s="3">
        <v>50</v>
      </c>
      <c r="E4964" s="3">
        <v>1</v>
      </c>
      <c r="F4964" s="4" t="str">
        <f>HYPERLINK("http://141.218.60.56/~jnz1568/getInfo.php?workbook=14_04.xlsx&amp;sheet=U0&amp;row=4964&amp;col=6&amp;number=3&amp;sourceID=14","3")</f>
        <v>3</v>
      </c>
      <c r="G4964" s="4" t="str">
        <f>HYPERLINK("http://141.218.60.56/~jnz1568/getInfo.php?workbook=14_04.xlsx&amp;sheet=U0&amp;row=4964&amp;col=7&amp;number=0.0175&amp;sourceID=14","0.0175")</f>
        <v>0.0175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HYPERLINK("http://141.218.60.56/~jnz1568/getInfo.php?workbook=14_04.xlsx&amp;sheet=U0&amp;row=4965&amp;col=6&amp;number=3.1&amp;sourceID=14","3.1")</f>
        <v>3.1</v>
      </c>
      <c r="G4965" s="4" t="str">
        <f>HYPERLINK("http://141.218.60.56/~jnz1568/getInfo.php?workbook=14_04.xlsx&amp;sheet=U0&amp;row=4965&amp;col=7&amp;number=0.0175&amp;sourceID=14","0.0175")</f>
        <v>0.0175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HYPERLINK("http://141.218.60.56/~jnz1568/getInfo.php?workbook=14_04.xlsx&amp;sheet=U0&amp;row=4966&amp;col=6&amp;number=3.2&amp;sourceID=14","3.2")</f>
        <v>3.2</v>
      </c>
      <c r="G4966" s="4" t="str">
        <f>HYPERLINK("http://141.218.60.56/~jnz1568/getInfo.php?workbook=14_04.xlsx&amp;sheet=U0&amp;row=4966&amp;col=7&amp;number=0.0175&amp;sourceID=14","0.0175")</f>
        <v>0.0175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HYPERLINK("http://141.218.60.56/~jnz1568/getInfo.php?workbook=14_04.xlsx&amp;sheet=U0&amp;row=4967&amp;col=6&amp;number=3.3&amp;sourceID=14","3.3")</f>
        <v>3.3</v>
      </c>
      <c r="G4967" s="4" t="str">
        <f>HYPERLINK("http://141.218.60.56/~jnz1568/getInfo.php?workbook=14_04.xlsx&amp;sheet=U0&amp;row=4967&amp;col=7&amp;number=0.0175&amp;sourceID=14","0.0175")</f>
        <v>0.0175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HYPERLINK("http://141.218.60.56/~jnz1568/getInfo.php?workbook=14_04.xlsx&amp;sheet=U0&amp;row=4968&amp;col=6&amp;number=3.4&amp;sourceID=14","3.4")</f>
        <v>3.4</v>
      </c>
      <c r="G4968" s="4" t="str">
        <f>HYPERLINK("http://141.218.60.56/~jnz1568/getInfo.php?workbook=14_04.xlsx&amp;sheet=U0&amp;row=4968&amp;col=7&amp;number=0.0175&amp;sourceID=14","0.0175")</f>
        <v>0.0175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HYPERLINK("http://141.218.60.56/~jnz1568/getInfo.php?workbook=14_04.xlsx&amp;sheet=U0&amp;row=4969&amp;col=6&amp;number=3.5&amp;sourceID=14","3.5")</f>
        <v>3.5</v>
      </c>
      <c r="G4969" s="4" t="str">
        <f>HYPERLINK("http://141.218.60.56/~jnz1568/getInfo.php?workbook=14_04.xlsx&amp;sheet=U0&amp;row=4969&amp;col=7&amp;number=0.0175&amp;sourceID=14","0.0175")</f>
        <v>0.0175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HYPERLINK("http://141.218.60.56/~jnz1568/getInfo.php?workbook=14_04.xlsx&amp;sheet=U0&amp;row=4970&amp;col=6&amp;number=3.6&amp;sourceID=14","3.6")</f>
        <v>3.6</v>
      </c>
      <c r="G4970" s="4" t="str">
        <f>HYPERLINK("http://141.218.60.56/~jnz1568/getInfo.php?workbook=14_04.xlsx&amp;sheet=U0&amp;row=4970&amp;col=7&amp;number=0.0175&amp;sourceID=14","0.0175")</f>
        <v>0.0175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HYPERLINK("http://141.218.60.56/~jnz1568/getInfo.php?workbook=14_04.xlsx&amp;sheet=U0&amp;row=4971&amp;col=6&amp;number=3.7&amp;sourceID=14","3.7")</f>
        <v>3.7</v>
      </c>
      <c r="G4971" s="4" t="str">
        <f>HYPERLINK("http://141.218.60.56/~jnz1568/getInfo.php?workbook=14_04.xlsx&amp;sheet=U0&amp;row=4971&amp;col=7&amp;number=0.0175&amp;sourceID=14","0.0175")</f>
        <v>0.0175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HYPERLINK("http://141.218.60.56/~jnz1568/getInfo.php?workbook=14_04.xlsx&amp;sheet=U0&amp;row=4972&amp;col=6&amp;number=3.8&amp;sourceID=14","3.8")</f>
        <v>3.8</v>
      </c>
      <c r="G4972" s="4" t="str">
        <f>HYPERLINK("http://141.218.60.56/~jnz1568/getInfo.php?workbook=14_04.xlsx&amp;sheet=U0&amp;row=4972&amp;col=7&amp;number=0.0175&amp;sourceID=14","0.0175")</f>
        <v>0.0175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HYPERLINK("http://141.218.60.56/~jnz1568/getInfo.php?workbook=14_04.xlsx&amp;sheet=U0&amp;row=4973&amp;col=6&amp;number=3.9&amp;sourceID=14","3.9")</f>
        <v>3.9</v>
      </c>
      <c r="G4973" s="4" t="str">
        <f>HYPERLINK("http://141.218.60.56/~jnz1568/getInfo.php?workbook=14_04.xlsx&amp;sheet=U0&amp;row=4973&amp;col=7&amp;number=0.0175&amp;sourceID=14","0.0175")</f>
        <v>0.0175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HYPERLINK("http://141.218.60.56/~jnz1568/getInfo.php?workbook=14_04.xlsx&amp;sheet=U0&amp;row=4974&amp;col=6&amp;number=4&amp;sourceID=14","4")</f>
        <v>4</v>
      </c>
      <c r="G4974" s="4" t="str">
        <f>HYPERLINK("http://141.218.60.56/~jnz1568/getInfo.php?workbook=14_04.xlsx&amp;sheet=U0&amp;row=4974&amp;col=7&amp;number=0.0175&amp;sourceID=14","0.0175")</f>
        <v>0.0175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HYPERLINK("http://141.218.60.56/~jnz1568/getInfo.php?workbook=14_04.xlsx&amp;sheet=U0&amp;row=4975&amp;col=6&amp;number=4.1&amp;sourceID=14","4.1")</f>
        <v>4.1</v>
      </c>
      <c r="G4975" s="4" t="str">
        <f>HYPERLINK("http://141.218.60.56/~jnz1568/getInfo.php?workbook=14_04.xlsx&amp;sheet=U0&amp;row=4975&amp;col=7&amp;number=0.0175&amp;sourceID=14","0.0175")</f>
        <v>0.0175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HYPERLINK("http://141.218.60.56/~jnz1568/getInfo.php?workbook=14_04.xlsx&amp;sheet=U0&amp;row=4976&amp;col=6&amp;number=4.2&amp;sourceID=14","4.2")</f>
        <v>4.2</v>
      </c>
      <c r="G4976" s="4" t="str">
        <f>HYPERLINK("http://141.218.60.56/~jnz1568/getInfo.php?workbook=14_04.xlsx&amp;sheet=U0&amp;row=4976&amp;col=7&amp;number=0.0175&amp;sourceID=14","0.0175")</f>
        <v>0.0175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HYPERLINK("http://141.218.60.56/~jnz1568/getInfo.php?workbook=14_04.xlsx&amp;sheet=U0&amp;row=4977&amp;col=6&amp;number=4.3&amp;sourceID=14","4.3")</f>
        <v>4.3</v>
      </c>
      <c r="G4977" s="4" t="str">
        <f>HYPERLINK("http://141.218.60.56/~jnz1568/getInfo.php?workbook=14_04.xlsx&amp;sheet=U0&amp;row=4977&amp;col=7&amp;number=0.0175&amp;sourceID=14","0.0175")</f>
        <v>0.0175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HYPERLINK("http://141.218.60.56/~jnz1568/getInfo.php?workbook=14_04.xlsx&amp;sheet=U0&amp;row=4978&amp;col=6&amp;number=4.4&amp;sourceID=14","4.4")</f>
        <v>4.4</v>
      </c>
      <c r="G4978" s="4" t="str">
        <f>HYPERLINK("http://141.218.60.56/~jnz1568/getInfo.php?workbook=14_04.xlsx&amp;sheet=U0&amp;row=4978&amp;col=7&amp;number=0.0175&amp;sourceID=14","0.0175")</f>
        <v>0.0175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HYPERLINK("http://141.218.60.56/~jnz1568/getInfo.php?workbook=14_04.xlsx&amp;sheet=U0&amp;row=4979&amp;col=6&amp;number=4.5&amp;sourceID=14","4.5")</f>
        <v>4.5</v>
      </c>
      <c r="G4979" s="4" t="str">
        <f>HYPERLINK("http://141.218.60.56/~jnz1568/getInfo.php?workbook=14_04.xlsx&amp;sheet=U0&amp;row=4979&amp;col=7&amp;number=0.0175&amp;sourceID=14","0.0175")</f>
        <v>0.0175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HYPERLINK("http://141.218.60.56/~jnz1568/getInfo.php?workbook=14_04.xlsx&amp;sheet=U0&amp;row=4980&amp;col=6&amp;number=4.6&amp;sourceID=14","4.6")</f>
        <v>4.6</v>
      </c>
      <c r="G4980" s="4" t="str">
        <f>HYPERLINK("http://141.218.60.56/~jnz1568/getInfo.php?workbook=14_04.xlsx&amp;sheet=U0&amp;row=4980&amp;col=7&amp;number=0.0175&amp;sourceID=14","0.0175")</f>
        <v>0.0175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HYPERLINK("http://141.218.60.56/~jnz1568/getInfo.php?workbook=14_04.xlsx&amp;sheet=U0&amp;row=4981&amp;col=6&amp;number=4.7&amp;sourceID=14","4.7")</f>
        <v>4.7</v>
      </c>
      <c r="G4981" s="4" t="str">
        <f>HYPERLINK("http://141.218.60.56/~jnz1568/getInfo.php?workbook=14_04.xlsx&amp;sheet=U0&amp;row=4981&amp;col=7&amp;number=0.0175&amp;sourceID=14","0.0175")</f>
        <v>0.0175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HYPERLINK("http://141.218.60.56/~jnz1568/getInfo.php?workbook=14_04.xlsx&amp;sheet=U0&amp;row=4982&amp;col=6&amp;number=4.8&amp;sourceID=14","4.8")</f>
        <v>4.8</v>
      </c>
      <c r="G4982" s="4" t="str">
        <f>HYPERLINK("http://141.218.60.56/~jnz1568/getInfo.php?workbook=14_04.xlsx&amp;sheet=U0&amp;row=4982&amp;col=7&amp;number=0.0175&amp;sourceID=14","0.0175")</f>
        <v>0.0175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HYPERLINK("http://141.218.60.56/~jnz1568/getInfo.php?workbook=14_04.xlsx&amp;sheet=U0&amp;row=4983&amp;col=6&amp;number=4.9&amp;sourceID=14","4.9")</f>
        <v>4.9</v>
      </c>
      <c r="G4983" s="4" t="str">
        <f>HYPERLINK("http://141.218.60.56/~jnz1568/getInfo.php?workbook=14_04.xlsx&amp;sheet=U0&amp;row=4983&amp;col=7&amp;number=0.0175&amp;sourceID=14","0.0175")</f>
        <v>0.0175</v>
      </c>
    </row>
    <row r="4984" spans="1:7">
      <c r="A4984" s="3">
        <v>14</v>
      </c>
      <c r="B4984" s="3">
        <v>4</v>
      </c>
      <c r="C4984" s="3">
        <v>3</v>
      </c>
      <c r="D4984" s="3">
        <v>51</v>
      </c>
      <c r="E4984" s="3">
        <v>1</v>
      </c>
      <c r="F4984" s="4" t="str">
        <f>HYPERLINK("http://141.218.60.56/~jnz1568/getInfo.php?workbook=14_04.xlsx&amp;sheet=U0&amp;row=4984&amp;col=6&amp;number=3&amp;sourceID=14","3")</f>
        <v>3</v>
      </c>
      <c r="G4984" s="4" t="str">
        <f>HYPERLINK("http://141.218.60.56/~jnz1568/getInfo.php?workbook=14_04.xlsx&amp;sheet=U0&amp;row=4984&amp;col=7&amp;number=0.00406&amp;sourceID=14","0.00406")</f>
        <v>0.00406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HYPERLINK("http://141.218.60.56/~jnz1568/getInfo.php?workbook=14_04.xlsx&amp;sheet=U0&amp;row=4985&amp;col=6&amp;number=3.1&amp;sourceID=14","3.1")</f>
        <v>3.1</v>
      </c>
      <c r="G4985" s="4" t="str">
        <f>HYPERLINK("http://141.218.60.56/~jnz1568/getInfo.php?workbook=14_04.xlsx&amp;sheet=U0&amp;row=4985&amp;col=7&amp;number=0.00406&amp;sourceID=14","0.00406")</f>
        <v>0.00406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HYPERLINK("http://141.218.60.56/~jnz1568/getInfo.php?workbook=14_04.xlsx&amp;sheet=U0&amp;row=4986&amp;col=6&amp;number=3.2&amp;sourceID=14","3.2")</f>
        <v>3.2</v>
      </c>
      <c r="G4986" s="4" t="str">
        <f>HYPERLINK("http://141.218.60.56/~jnz1568/getInfo.php?workbook=14_04.xlsx&amp;sheet=U0&amp;row=4986&amp;col=7&amp;number=0.00406&amp;sourceID=14","0.00406")</f>
        <v>0.00406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HYPERLINK("http://141.218.60.56/~jnz1568/getInfo.php?workbook=14_04.xlsx&amp;sheet=U0&amp;row=4987&amp;col=6&amp;number=3.3&amp;sourceID=14","3.3")</f>
        <v>3.3</v>
      </c>
      <c r="G4987" s="4" t="str">
        <f>HYPERLINK("http://141.218.60.56/~jnz1568/getInfo.php?workbook=14_04.xlsx&amp;sheet=U0&amp;row=4987&amp;col=7&amp;number=0.00406&amp;sourceID=14","0.00406")</f>
        <v>0.00406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HYPERLINK("http://141.218.60.56/~jnz1568/getInfo.php?workbook=14_04.xlsx&amp;sheet=U0&amp;row=4988&amp;col=6&amp;number=3.4&amp;sourceID=14","3.4")</f>
        <v>3.4</v>
      </c>
      <c r="G4988" s="4" t="str">
        <f>HYPERLINK("http://141.218.60.56/~jnz1568/getInfo.php?workbook=14_04.xlsx&amp;sheet=U0&amp;row=4988&amp;col=7&amp;number=0.00406&amp;sourceID=14","0.00406")</f>
        <v>0.00406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HYPERLINK("http://141.218.60.56/~jnz1568/getInfo.php?workbook=14_04.xlsx&amp;sheet=U0&amp;row=4989&amp;col=6&amp;number=3.5&amp;sourceID=14","3.5")</f>
        <v>3.5</v>
      </c>
      <c r="G4989" s="4" t="str">
        <f>HYPERLINK("http://141.218.60.56/~jnz1568/getInfo.php?workbook=14_04.xlsx&amp;sheet=U0&amp;row=4989&amp;col=7&amp;number=0.00406&amp;sourceID=14","0.00406")</f>
        <v>0.00406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HYPERLINK("http://141.218.60.56/~jnz1568/getInfo.php?workbook=14_04.xlsx&amp;sheet=U0&amp;row=4990&amp;col=6&amp;number=3.6&amp;sourceID=14","3.6")</f>
        <v>3.6</v>
      </c>
      <c r="G4990" s="4" t="str">
        <f>HYPERLINK("http://141.218.60.56/~jnz1568/getInfo.php?workbook=14_04.xlsx&amp;sheet=U0&amp;row=4990&amp;col=7&amp;number=0.00406&amp;sourceID=14","0.00406")</f>
        <v>0.00406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HYPERLINK("http://141.218.60.56/~jnz1568/getInfo.php?workbook=14_04.xlsx&amp;sheet=U0&amp;row=4991&amp;col=6&amp;number=3.7&amp;sourceID=14","3.7")</f>
        <v>3.7</v>
      </c>
      <c r="G4991" s="4" t="str">
        <f>HYPERLINK("http://141.218.60.56/~jnz1568/getInfo.php?workbook=14_04.xlsx&amp;sheet=U0&amp;row=4991&amp;col=7&amp;number=0.00406&amp;sourceID=14","0.00406")</f>
        <v>0.00406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HYPERLINK("http://141.218.60.56/~jnz1568/getInfo.php?workbook=14_04.xlsx&amp;sheet=U0&amp;row=4992&amp;col=6&amp;number=3.8&amp;sourceID=14","3.8")</f>
        <v>3.8</v>
      </c>
      <c r="G4992" s="4" t="str">
        <f>HYPERLINK("http://141.218.60.56/~jnz1568/getInfo.php?workbook=14_04.xlsx&amp;sheet=U0&amp;row=4992&amp;col=7&amp;number=0.00406&amp;sourceID=14","0.00406")</f>
        <v>0.00406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HYPERLINK("http://141.218.60.56/~jnz1568/getInfo.php?workbook=14_04.xlsx&amp;sheet=U0&amp;row=4993&amp;col=6&amp;number=3.9&amp;sourceID=14","3.9")</f>
        <v>3.9</v>
      </c>
      <c r="G4993" s="4" t="str">
        <f>HYPERLINK("http://141.218.60.56/~jnz1568/getInfo.php?workbook=14_04.xlsx&amp;sheet=U0&amp;row=4993&amp;col=7&amp;number=0.00406&amp;sourceID=14","0.00406")</f>
        <v>0.00406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HYPERLINK("http://141.218.60.56/~jnz1568/getInfo.php?workbook=14_04.xlsx&amp;sheet=U0&amp;row=4994&amp;col=6&amp;number=4&amp;sourceID=14","4")</f>
        <v>4</v>
      </c>
      <c r="G4994" s="4" t="str">
        <f>HYPERLINK("http://141.218.60.56/~jnz1568/getInfo.php?workbook=14_04.xlsx&amp;sheet=U0&amp;row=4994&amp;col=7&amp;number=0.00405&amp;sourceID=14","0.00405")</f>
        <v>0.00405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HYPERLINK("http://141.218.60.56/~jnz1568/getInfo.php?workbook=14_04.xlsx&amp;sheet=U0&amp;row=4995&amp;col=6&amp;number=4.1&amp;sourceID=14","4.1")</f>
        <v>4.1</v>
      </c>
      <c r="G4995" s="4" t="str">
        <f>HYPERLINK("http://141.218.60.56/~jnz1568/getInfo.php?workbook=14_04.xlsx&amp;sheet=U0&amp;row=4995&amp;col=7&amp;number=0.00405&amp;sourceID=14","0.00405")</f>
        <v>0.00405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HYPERLINK("http://141.218.60.56/~jnz1568/getInfo.php?workbook=14_04.xlsx&amp;sheet=U0&amp;row=4996&amp;col=6&amp;number=4.2&amp;sourceID=14","4.2")</f>
        <v>4.2</v>
      </c>
      <c r="G4996" s="4" t="str">
        <f>HYPERLINK("http://141.218.60.56/~jnz1568/getInfo.php?workbook=14_04.xlsx&amp;sheet=U0&amp;row=4996&amp;col=7&amp;number=0.00405&amp;sourceID=14","0.00405")</f>
        <v>0.00405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HYPERLINK("http://141.218.60.56/~jnz1568/getInfo.php?workbook=14_04.xlsx&amp;sheet=U0&amp;row=4997&amp;col=6&amp;number=4.3&amp;sourceID=14","4.3")</f>
        <v>4.3</v>
      </c>
      <c r="G4997" s="4" t="str">
        <f>HYPERLINK("http://141.218.60.56/~jnz1568/getInfo.php?workbook=14_04.xlsx&amp;sheet=U0&amp;row=4997&amp;col=7&amp;number=0.00405&amp;sourceID=14","0.00405")</f>
        <v>0.00405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HYPERLINK("http://141.218.60.56/~jnz1568/getInfo.php?workbook=14_04.xlsx&amp;sheet=U0&amp;row=4998&amp;col=6&amp;number=4.4&amp;sourceID=14","4.4")</f>
        <v>4.4</v>
      </c>
      <c r="G4998" s="4" t="str">
        <f>HYPERLINK("http://141.218.60.56/~jnz1568/getInfo.php?workbook=14_04.xlsx&amp;sheet=U0&amp;row=4998&amp;col=7&amp;number=0.00405&amp;sourceID=14","0.00405")</f>
        <v>0.00405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HYPERLINK("http://141.218.60.56/~jnz1568/getInfo.php?workbook=14_04.xlsx&amp;sheet=U0&amp;row=4999&amp;col=6&amp;number=4.5&amp;sourceID=14","4.5")</f>
        <v>4.5</v>
      </c>
      <c r="G4999" s="4" t="str">
        <f>HYPERLINK("http://141.218.60.56/~jnz1568/getInfo.php?workbook=14_04.xlsx&amp;sheet=U0&amp;row=4999&amp;col=7&amp;number=0.00405&amp;sourceID=14","0.00405")</f>
        <v>0.00405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HYPERLINK("http://141.218.60.56/~jnz1568/getInfo.php?workbook=14_04.xlsx&amp;sheet=U0&amp;row=5000&amp;col=6&amp;number=4.6&amp;sourceID=14","4.6")</f>
        <v>4.6</v>
      </c>
      <c r="G5000" s="4" t="str">
        <f>HYPERLINK("http://141.218.60.56/~jnz1568/getInfo.php?workbook=14_04.xlsx&amp;sheet=U0&amp;row=5000&amp;col=7&amp;number=0.00405&amp;sourceID=14","0.00405")</f>
        <v>0.00405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HYPERLINK("http://141.218.60.56/~jnz1568/getInfo.php?workbook=14_04.xlsx&amp;sheet=U0&amp;row=5001&amp;col=6&amp;number=4.7&amp;sourceID=14","4.7")</f>
        <v>4.7</v>
      </c>
      <c r="G5001" s="4" t="str">
        <f>HYPERLINK("http://141.218.60.56/~jnz1568/getInfo.php?workbook=14_04.xlsx&amp;sheet=U0&amp;row=5001&amp;col=7&amp;number=0.00405&amp;sourceID=14","0.00405")</f>
        <v>0.00405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HYPERLINK("http://141.218.60.56/~jnz1568/getInfo.php?workbook=14_04.xlsx&amp;sheet=U0&amp;row=5002&amp;col=6&amp;number=4.8&amp;sourceID=14","4.8")</f>
        <v>4.8</v>
      </c>
      <c r="G5002" s="4" t="str">
        <f>HYPERLINK("http://141.218.60.56/~jnz1568/getInfo.php?workbook=14_04.xlsx&amp;sheet=U0&amp;row=5002&amp;col=7&amp;number=0.00404&amp;sourceID=14","0.00404")</f>
        <v>0.00404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HYPERLINK("http://141.218.60.56/~jnz1568/getInfo.php?workbook=14_04.xlsx&amp;sheet=U0&amp;row=5003&amp;col=6&amp;number=4.9&amp;sourceID=14","4.9")</f>
        <v>4.9</v>
      </c>
      <c r="G5003" s="4" t="str">
        <f>HYPERLINK("http://141.218.60.56/~jnz1568/getInfo.php?workbook=14_04.xlsx&amp;sheet=U0&amp;row=5003&amp;col=7&amp;number=0.00404&amp;sourceID=14","0.00404")</f>
        <v>0.00404</v>
      </c>
    </row>
    <row r="5004" spans="1:7">
      <c r="A5004" s="3">
        <v>14</v>
      </c>
      <c r="B5004" s="3">
        <v>4</v>
      </c>
      <c r="C5004" s="3">
        <v>3</v>
      </c>
      <c r="D5004" s="3">
        <v>52</v>
      </c>
      <c r="E5004" s="3">
        <v>1</v>
      </c>
      <c r="F5004" s="4" t="str">
        <f>HYPERLINK("http://141.218.60.56/~jnz1568/getInfo.php?workbook=14_04.xlsx&amp;sheet=U0&amp;row=5004&amp;col=6&amp;number=3&amp;sourceID=14","3")</f>
        <v>3</v>
      </c>
      <c r="G5004" s="4" t="str">
        <f>HYPERLINK("http://141.218.60.56/~jnz1568/getInfo.php?workbook=14_04.xlsx&amp;sheet=U0&amp;row=5004&amp;col=7&amp;number=0.00251&amp;sourceID=14","0.00251")</f>
        <v>0.00251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HYPERLINK("http://141.218.60.56/~jnz1568/getInfo.php?workbook=14_04.xlsx&amp;sheet=U0&amp;row=5005&amp;col=6&amp;number=3.1&amp;sourceID=14","3.1")</f>
        <v>3.1</v>
      </c>
      <c r="G5005" s="4" t="str">
        <f>HYPERLINK("http://141.218.60.56/~jnz1568/getInfo.php?workbook=14_04.xlsx&amp;sheet=U0&amp;row=5005&amp;col=7&amp;number=0.00251&amp;sourceID=14","0.00251")</f>
        <v>0.00251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HYPERLINK("http://141.218.60.56/~jnz1568/getInfo.php?workbook=14_04.xlsx&amp;sheet=U0&amp;row=5006&amp;col=6&amp;number=3.2&amp;sourceID=14","3.2")</f>
        <v>3.2</v>
      </c>
      <c r="G5006" s="4" t="str">
        <f>HYPERLINK("http://141.218.60.56/~jnz1568/getInfo.php?workbook=14_04.xlsx&amp;sheet=U0&amp;row=5006&amp;col=7&amp;number=0.00251&amp;sourceID=14","0.00251")</f>
        <v>0.00251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HYPERLINK("http://141.218.60.56/~jnz1568/getInfo.php?workbook=14_04.xlsx&amp;sheet=U0&amp;row=5007&amp;col=6&amp;number=3.3&amp;sourceID=14","3.3")</f>
        <v>3.3</v>
      </c>
      <c r="G5007" s="4" t="str">
        <f>HYPERLINK("http://141.218.60.56/~jnz1568/getInfo.php?workbook=14_04.xlsx&amp;sheet=U0&amp;row=5007&amp;col=7&amp;number=0.00251&amp;sourceID=14","0.00251")</f>
        <v>0.00251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HYPERLINK("http://141.218.60.56/~jnz1568/getInfo.php?workbook=14_04.xlsx&amp;sheet=U0&amp;row=5008&amp;col=6&amp;number=3.4&amp;sourceID=14","3.4")</f>
        <v>3.4</v>
      </c>
      <c r="G5008" s="4" t="str">
        <f>HYPERLINK("http://141.218.60.56/~jnz1568/getInfo.php?workbook=14_04.xlsx&amp;sheet=U0&amp;row=5008&amp;col=7&amp;number=0.00251&amp;sourceID=14","0.00251")</f>
        <v>0.00251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HYPERLINK("http://141.218.60.56/~jnz1568/getInfo.php?workbook=14_04.xlsx&amp;sheet=U0&amp;row=5009&amp;col=6&amp;number=3.5&amp;sourceID=14","3.5")</f>
        <v>3.5</v>
      </c>
      <c r="G5009" s="4" t="str">
        <f>HYPERLINK("http://141.218.60.56/~jnz1568/getInfo.php?workbook=14_04.xlsx&amp;sheet=U0&amp;row=5009&amp;col=7&amp;number=0.00251&amp;sourceID=14","0.00251")</f>
        <v>0.00251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HYPERLINK("http://141.218.60.56/~jnz1568/getInfo.php?workbook=14_04.xlsx&amp;sheet=U0&amp;row=5010&amp;col=6&amp;number=3.6&amp;sourceID=14","3.6")</f>
        <v>3.6</v>
      </c>
      <c r="G5010" s="4" t="str">
        <f>HYPERLINK("http://141.218.60.56/~jnz1568/getInfo.php?workbook=14_04.xlsx&amp;sheet=U0&amp;row=5010&amp;col=7&amp;number=0.00251&amp;sourceID=14","0.00251")</f>
        <v>0.00251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HYPERLINK("http://141.218.60.56/~jnz1568/getInfo.php?workbook=14_04.xlsx&amp;sheet=U0&amp;row=5011&amp;col=6&amp;number=3.7&amp;sourceID=14","3.7")</f>
        <v>3.7</v>
      </c>
      <c r="G5011" s="4" t="str">
        <f>HYPERLINK("http://141.218.60.56/~jnz1568/getInfo.php?workbook=14_04.xlsx&amp;sheet=U0&amp;row=5011&amp;col=7&amp;number=0.00251&amp;sourceID=14","0.00251")</f>
        <v>0.00251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HYPERLINK("http://141.218.60.56/~jnz1568/getInfo.php?workbook=14_04.xlsx&amp;sheet=U0&amp;row=5012&amp;col=6&amp;number=3.8&amp;sourceID=14","3.8")</f>
        <v>3.8</v>
      </c>
      <c r="G5012" s="4" t="str">
        <f>HYPERLINK("http://141.218.60.56/~jnz1568/getInfo.php?workbook=14_04.xlsx&amp;sheet=U0&amp;row=5012&amp;col=7&amp;number=0.00251&amp;sourceID=14","0.00251")</f>
        <v>0.00251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HYPERLINK("http://141.218.60.56/~jnz1568/getInfo.php?workbook=14_04.xlsx&amp;sheet=U0&amp;row=5013&amp;col=6&amp;number=3.9&amp;sourceID=14","3.9")</f>
        <v>3.9</v>
      </c>
      <c r="G5013" s="4" t="str">
        <f>HYPERLINK("http://141.218.60.56/~jnz1568/getInfo.php?workbook=14_04.xlsx&amp;sheet=U0&amp;row=5013&amp;col=7&amp;number=0.00251&amp;sourceID=14","0.00251")</f>
        <v>0.00251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HYPERLINK("http://141.218.60.56/~jnz1568/getInfo.php?workbook=14_04.xlsx&amp;sheet=U0&amp;row=5014&amp;col=6&amp;number=4&amp;sourceID=14","4")</f>
        <v>4</v>
      </c>
      <c r="G5014" s="4" t="str">
        <f>HYPERLINK("http://141.218.60.56/~jnz1568/getInfo.php?workbook=14_04.xlsx&amp;sheet=U0&amp;row=5014&amp;col=7&amp;number=0.00251&amp;sourceID=14","0.00251")</f>
        <v>0.00251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HYPERLINK("http://141.218.60.56/~jnz1568/getInfo.php?workbook=14_04.xlsx&amp;sheet=U0&amp;row=5015&amp;col=6&amp;number=4.1&amp;sourceID=14","4.1")</f>
        <v>4.1</v>
      </c>
      <c r="G5015" s="4" t="str">
        <f>HYPERLINK("http://141.218.60.56/~jnz1568/getInfo.php?workbook=14_04.xlsx&amp;sheet=U0&amp;row=5015&amp;col=7&amp;number=0.00251&amp;sourceID=14","0.00251")</f>
        <v>0.00251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HYPERLINK("http://141.218.60.56/~jnz1568/getInfo.php?workbook=14_04.xlsx&amp;sheet=U0&amp;row=5016&amp;col=6&amp;number=4.2&amp;sourceID=14","4.2")</f>
        <v>4.2</v>
      </c>
      <c r="G5016" s="4" t="str">
        <f>HYPERLINK("http://141.218.60.56/~jnz1568/getInfo.php?workbook=14_04.xlsx&amp;sheet=U0&amp;row=5016&amp;col=7&amp;number=0.00251&amp;sourceID=14","0.00251")</f>
        <v>0.00251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HYPERLINK("http://141.218.60.56/~jnz1568/getInfo.php?workbook=14_04.xlsx&amp;sheet=U0&amp;row=5017&amp;col=6&amp;number=4.3&amp;sourceID=14","4.3")</f>
        <v>4.3</v>
      </c>
      <c r="G5017" s="4" t="str">
        <f>HYPERLINK("http://141.218.60.56/~jnz1568/getInfo.php?workbook=14_04.xlsx&amp;sheet=U0&amp;row=5017&amp;col=7&amp;number=0.00251&amp;sourceID=14","0.00251")</f>
        <v>0.00251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HYPERLINK("http://141.218.60.56/~jnz1568/getInfo.php?workbook=14_04.xlsx&amp;sheet=U0&amp;row=5018&amp;col=6&amp;number=4.4&amp;sourceID=14","4.4")</f>
        <v>4.4</v>
      </c>
      <c r="G5018" s="4" t="str">
        <f>HYPERLINK("http://141.218.60.56/~jnz1568/getInfo.php?workbook=14_04.xlsx&amp;sheet=U0&amp;row=5018&amp;col=7&amp;number=0.00251&amp;sourceID=14","0.00251")</f>
        <v>0.00251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HYPERLINK("http://141.218.60.56/~jnz1568/getInfo.php?workbook=14_04.xlsx&amp;sheet=U0&amp;row=5019&amp;col=6&amp;number=4.5&amp;sourceID=14","4.5")</f>
        <v>4.5</v>
      </c>
      <c r="G5019" s="4" t="str">
        <f>HYPERLINK("http://141.218.60.56/~jnz1568/getInfo.php?workbook=14_04.xlsx&amp;sheet=U0&amp;row=5019&amp;col=7&amp;number=0.00251&amp;sourceID=14","0.00251")</f>
        <v>0.00251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HYPERLINK("http://141.218.60.56/~jnz1568/getInfo.php?workbook=14_04.xlsx&amp;sheet=U0&amp;row=5020&amp;col=6&amp;number=4.6&amp;sourceID=14","4.6")</f>
        <v>4.6</v>
      </c>
      <c r="G5020" s="4" t="str">
        <f>HYPERLINK("http://141.218.60.56/~jnz1568/getInfo.php?workbook=14_04.xlsx&amp;sheet=U0&amp;row=5020&amp;col=7&amp;number=0.0025&amp;sourceID=14","0.0025")</f>
        <v>0.0025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HYPERLINK("http://141.218.60.56/~jnz1568/getInfo.php?workbook=14_04.xlsx&amp;sheet=U0&amp;row=5021&amp;col=6&amp;number=4.7&amp;sourceID=14","4.7")</f>
        <v>4.7</v>
      </c>
      <c r="G5021" s="4" t="str">
        <f>HYPERLINK("http://141.218.60.56/~jnz1568/getInfo.php?workbook=14_04.xlsx&amp;sheet=U0&amp;row=5021&amp;col=7&amp;number=0.0025&amp;sourceID=14","0.0025")</f>
        <v>0.0025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HYPERLINK("http://141.218.60.56/~jnz1568/getInfo.php?workbook=14_04.xlsx&amp;sheet=U0&amp;row=5022&amp;col=6&amp;number=4.8&amp;sourceID=14","4.8")</f>
        <v>4.8</v>
      </c>
      <c r="G5022" s="4" t="str">
        <f>HYPERLINK("http://141.218.60.56/~jnz1568/getInfo.php?workbook=14_04.xlsx&amp;sheet=U0&amp;row=5022&amp;col=7&amp;number=0.0025&amp;sourceID=14","0.0025")</f>
        <v>0.0025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HYPERLINK("http://141.218.60.56/~jnz1568/getInfo.php?workbook=14_04.xlsx&amp;sheet=U0&amp;row=5023&amp;col=6&amp;number=4.9&amp;sourceID=14","4.9")</f>
        <v>4.9</v>
      </c>
      <c r="G5023" s="4" t="str">
        <f>HYPERLINK("http://141.218.60.56/~jnz1568/getInfo.php?workbook=14_04.xlsx&amp;sheet=U0&amp;row=5023&amp;col=7&amp;number=0.00249&amp;sourceID=14","0.00249")</f>
        <v>0.00249</v>
      </c>
    </row>
    <row r="5024" spans="1:7">
      <c r="A5024" s="3">
        <v>14</v>
      </c>
      <c r="B5024" s="3">
        <v>4</v>
      </c>
      <c r="C5024" s="3">
        <v>3</v>
      </c>
      <c r="D5024" s="3">
        <v>53</v>
      </c>
      <c r="E5024" s="3">
        <v>1</v>
      </c>
      <c r="F5024" s="4" t="str">
        <f>HYPERLINK("http://141.218.60.56/~jnz1568/getInfo.php?workbook=14_04.xlsx&amp;sheet=U0&amp;row=5024&amp;col=6&amp;number=3&amp;sourceID=14","3")</f>
        <v>3</v>
      </c>
      <c r="G5024" s="4" t="str">
        <f>HYPERLINK("http://141.218.60.56/~jnz1568/getInfo.php?workbook=14_04.xlsx&amp;sheet=U0&amp;row=5024&amp;col=7&amp;number=0.0125&amp;sourceID=14","0.0125")</f>
        <v>0.0125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HYPERLINK("http://141.218.60.56/~jnz1568/getInfo.php?workbook=14_04.xlsx&amp;sheet=U0&amp;row=5025&amp;col=6&amp;number=3.1&amp;sourceID=14","3.1")</f>
        <v>3.1</v>
      </c>
      <c r="G5025" s="4" t="str">
        <f>HYPERLINK("http://141.218.60.56/~jnz1568/getInfo.php?workbook=14_04.xlsx&amp;sheet=U0&amp;row=5025&amp;col=7&amp;number=0.0125&amp;sourceID=14","0.0125")</f>
        <v>0.0125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HYPERLINK("http://141.218.60.56/~jnz1568/getInfo.php?workbook=14_04.xlsx&amp;sheet=U0&amp;row=5026&amp;col=6&amp;number=3.2&amp;sourceID=14","3.2")</f>
        <v>3.2</v>
      </c>
      <c r="G5026" s="4" t="str">
        <f>HYPERLINK("http://141.218.60.56/~jnz1568/getInfo.php?workbook=14_04.xlsx&amp;sheet=U0&amp;row=5026&amp;col=7&amp;number=0.0125&amp;sourceID=14","0.0125")</f>
        <v>0.0125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HYPERLINK("http://141.218.60.56/~jnz1568/getInfo.php?workbook=14_04.xlsx&amp;sheet=U0&amp;row=5027&amp;col=6&amp;number=3.3&amp;sourceID=14","3.3")</f>
        <v>3.3</v>
      </c>
      <c r="G5027" s="4" t="str">
        <f>HYPERLINK("http://141.218.60.56/~jnz1568/getInfo.php?workbook=14_04.xlsx&amp;sheet=U0&amp;row=5027&amp;col=7&amp;number=0.0125&amp;sourceID=14","0.0125")</f>
        <v>0.0125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HYPERLINK("http://141.218.60.56/~jnz1568/getInfo.php?workbook=14_04.xlsx&amp;sheet=U0&amp;row=5028&amp;col=6&amp;number=3.4&amp;sourceID=14","3.4")</f>
        <v>3.4</v>
      </c>
      <c r="G5028" s="4" t="str">
        <f>HYPERLINK("http://141.218.60.56/~jnz1568/getInfo.php?workbook=14_04.xlsx&amp;sheet=U0&amp;row=5028&amp;col=7&amp;number=0.0125&amp;sourceID=14","0.0125")</f>
        <v>0.0125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HYPERLINK("http://141.218.60.56/~jnz1568/getInfo.php?workbook=14_04.xlsx&amp;sheet=U0&amp;row=5029&amp;col=6&amp;number=3.5&amp;sourceID=14","3.5")</f>
        <v>3.5</v>
      </c>
      <c r="G5029" s="4" t="str">
        <f>HYPERLINK("http://141.218.60.56/~jnz1568/getInfo.php?workbook=14_04.xlsx&amp;sheet=U0&amp;row=5029&amp;col=7&amp;number=0.0125&amp;sourceID=14","0.0125")</f>
        <v>0.0125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HYPERLINK("http://141.218.60.56/~jnz1568/getInfo.php?workbook=14_04.xlsx&amp;sheet=U0&amp;row=5030&amp;col=6&amp;number=3.6&amp;sourceID=14","3.6")</f>
        <v>3.6</v>
      </c>
      <c r="G5030" s="4" t="str">
        <f>HYPERLINK("http://141.218.60.56/~jnz1568/getInfo.php?workbook=14_04.xlsx&amp;sheet=U0&amp;row=5030&amp;col=7&amp;number=0.0125&amp;sourceID=14","0.0125")</f>
        <v>0.0125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HYPERLINK("http://141.218.60.56/~jnz1568/getInfo.php?workbook=14_04.xlsx&amp;sheet=U0&amp;row=5031&amp;col=6&amp;number=3.7&amp;sourceID=14","3.7")</f>
        <v>3.7</v>
      </c>
      <c r="G5031" s="4" t="str">
        <f>HYPERLINK("http://141.218.60.56/~jnz1568/getInfo.php?workbook=14_04.xlsx&amp;sheet=U0&amp;row=5031&amp;col=7&amp;number=0.0125&amp;sourceID=14","0.0125")</f>
        <v>0.0125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HYPERLINK("http://141.218.60.56/~jnz1568/getInfo.php?workbook=14_04.xlsx&amp;sheet=U0&amp;row=5032&amp;col=6&amp;number=3.8&amp;sourceID=14","3.8")</f>
        <v>3.8</v>
      </c>
      <c r="G5032" s="4" t="str">
        <f>HYPERLINK("http://141.218.60.56/~jnz1568/getInfo.php?workbook=14_04.xlsx&amp;sheet=U0&amp;row=5032&amp;col=7&amp;number=0.0125&amp;sourceID=14","0.0125")</f>
        <v>0.0125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HYPERLINK("http://141.218.60.56/~jnz1568/getInfo.php?workbook=14_04.xlsx&amp;sheet=U0&amp;row=5033&amp;col=6&amp;number=3.9&amp;sourceID=14","3.9")</f>
        <v>3.9</v>
      </c>
      <c r="G5033" s="4" t="str">
        <f>HYPERLINK("http://141.218.60.56/~jnz1568/getInfo.php?workbook=14_04.xlsx&amp;sheet=U0&amp;row=5033&amp;col=7&amp;number=0.0125&amp;sourceID=14","0.0125")</f>
        <v>0.0125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HYPERLINK("http://141.218.60.56/~jnz1568/getInfo.php?workbook=14_04.xlsx&amp;sheet=U0&amp;row=5034&amp;col=6&amp;number=4&amp;sourceID=14","4")</f>
        <v>4</v>
      </c>
      <c r="G5034" s="4" t="str">
        <f>HYPERLINK("http://141.218.60.56/~jnz1568/getInfo.php?workbook=14_04.xlsx&amp;sheet=U0&amp;row=5034&amp;col=7&amp;number=0.0125&amp;sourceID=14","0.0125")</f>
        <v>0.0125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HYPERLINK("http://141.218.60.56/~jnz1568/getInfo.php?workbook=14_04.xlsx&amp;sheet=U0&amp;row=5035&amp;col=6&amp;number=4.1&amp;sourceID=14","4.1")</f>
        <v>4.1</v>
      </c>
      <c r="G5035" s="4" t="str">
        <f>HYPERLINK("http://141.218.60.56/~jnz1568/getInfo.php?workbook=14_04.xlsx&amp;sheet=U0&amp;row=5035&amp;col=7&amp;number=0.0125&amp;sourceID=14","0.0125")</f>
        <v>0.0125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HYPERLINK("http://141.218.60.56/~jnz1568/getInfo.php?workbook=14_04.xlsx&amp;sheet=U0&amp;row=5036&amp;col=6&amp;number=4.2&amp;sourceID=14","4.2")</f>
        <v>4.2</v>
      </c>
      <c r="G5036" s="4" t="str">
        <f>HYPERLINK("http://141.218.60.56/~jnz1568/getInfo.php?workbook=14_04.xlsx&amp;sheet=U0&amp;row=5036&amp;col=7&amp;number=0.0125&amp;sourceID=14","0.0125")</f>
        <v>0.0125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HYPERLINK("http://141.218.60.56/~jnz1568/getInfo.php?workbook=14_04.xlsx&amp;sheet=U0&amp;row=5037&amp;col=6&amp;number=4.3&amp;sourceID=14","4.3")</f>
        <v>4.3</v>
      </c>
      <c r="G5037" s="4" t="str">
        <f>HYPERLINK("http://141.218.60.56/~jnz1568/getInfo.php?workbook=14_04.xlsx&amp;sheet=U0&amp;row=5037&amp;col=7&amp;number=0.0125&amp;sourceID=14","0.0125")</f>
        <v>0.0125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HYPERLINK("http://141.218.60.56/~jnz1568/getInfo.php?workbook=14_04.xlsx&amp;sheet=U0&amp;row=5038&amp;col=6&amp;number=4.4&amp;sourceID=14","4.4")</f>
        <v>4.4</v>
      </c>
      <c r="G5038" s="4" t="str">
        <f>HYPERLINK("http://141.218.60.56/~jnz1568/getInfo.php?workbook=14_04.xlsx&amp;sheet=U0&amp;row=5038&amp;col=7&amp;number=0.0125&amp;sourceID=14","0.0125")</f>
        <v>0.0125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HYPERLINK("http://141.218.60.56/~jnz1568/getInfo.php?workbook=14_04.xlsx&amp;sheet=U0&amp;row=5039&amp;col=6&amp;number=4.5&amp;sourceID=14","4.5")</f>
        <v>4.5</v>
      </c>
      <c r="G5039" s="4" t="str">
        <f>HYPERLINK("http://141.218.60.56/~jnz1568/getInfo.php?workbook=14_04.xlsx&amp;sheet=U0&amp;row=5039&amp;col=7&amp;number=0.0125&amp;sourceID=14","0.0125")</f>
        <v>0.0125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HYPERLINK("http://141.218.60.56/~jnz1568/getInfo.php?workbook=14_04.xlsx&amp;sheet=U0&amp;row=5040&amp;col=6&amp;number=4.6&amp;sourceID=14","4.6")</f>
        <v>4.6</v>
      </c>
      <c r="G5040" s="4" t="str">
        <f>HYPERLINK("http://141.218.60.56/~jnz1568/getInfo.php?workbook=14_04.xlsx&amp;sheet=U0&amp;row=5040&amp;col=7&amp;number=0.0126&amp;sourceID=14","0.0126")</f>
        <v>0.0126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HYPERLINK("http://141.218.60.56/~jnz1568/getInfo.php?workbook=14_04.xlsx&amp;sheet=U0&amp;row=5041&amp;col=6&amp;number=4.7&amp;sourceID=14","4.7")</f>
        <v>4.7</v>
      </c>
      <c r="G5041" s="4" t="str">
        <f>HYPERLINK("http://141.218.60.56/~jnz1568/getInfo.php?workbook=14_04.xlsx&amp;sheet=U0&amp;row=5041&amp;col=7&amp;number=0.0126&amp;sourceID=14","0.0126")</f>
        <v>0.0126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HYPERLINK("http://141.218.60.56/~jnz1568/getInfo.php?workbook=14_04.xlsx&amp;sheet=U0&amp;row=5042&amp;col=6&amp;number=4.8&amp;sourceID=14","4.8")</f>
        <v>4.8</v>
      </c>
      <c r="G5042" s="4" t="str">
        <f>HYPERLINK("http://141.218.60.56/~jnz1568/getInfo.php?workbook=14_04.xlsx&amp;sheet=U0&amp;row=5042&amp;col=7&amp;number=0.0126&amp;sourceID=14","0.0126")</f>
        <v>0.0126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HYPERLINK("http://141.218.60.56/~jnz1568/getInfo.php?workbook=14_04.xlsx&amp;sheet=U0&amp;row=5043&amp;col=6&amp;number=4.9&amp;sourceID=14","4.9")</f>
        <v>4.9</v>
      </c>
      <c r="G5043" s="4" t="str">
        <f>HYPERLINK("http://141.218.60.56/~jnz1568/getInfo.php?workbook=14_04.xlsx&amp;sheet=U0&amp;row=5043&amp;col=7&amp;number=0.0126&amp;sourceID=14","0.0126")</f>
        <v>0.0126</v>
      </c>
    </row>
    <row r="5044" spans="1:7">
      <c r="A5044" s="3">
        <v>14</v>
      </c>
      <c r="B5044" s="3">
        <v>4</v>
      </c>
      <c r="C5044" s="3">
        <v>3</v>
      </c>
      <c r="D5044" s="3">
        <v>54</v>
      </c>
      <c r="E5044" s="3">
        <v>1</v>
      </c>
      <c r="F5044" s="4" t="str">
        <f>HYPERLINK("http://141.218.60.56/~jnz1568/getInfo.php?workbook=14_04.xlsx&amp;sheet=U0&amp;row=5044&amp;col=6&amp;number=3&amp;sourceID=14","3")</f>
        <v>3</v>
      </c>
      <c r="G5044" s="4" t="str">
        <f>HYPERLINK("http://141.218.60.56/~jnz1568/getInfo.php?workbook=14_04.xlsx&amp;sheet=U0&amp;row=5044&amp;col=7&amp;number=0.0299&amp;sourceID=14","0.0299")</f>
        <v>0.0299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HYPERLINK("http://141.218.60.56/~jnz1568/getInfo.php?workbook=14_04.xlsx&amp;sheet=U0&amp;row=5045&amp;col=6&amp;number=3.1&amp;sourceID=14","3.1")</f>
        <v>3.1</v>
      </c>
      <c r="G5045" s="4" t="str">
        <f>HYPERLINK("http://141.218.60.56/~jnz1568/getInfo.php?workbook=14_04.xlsx&amp;sheet=U0&amp;row=5045&amp;col=7&amp;number=0.0299&amp;sourceID=14","0.0299")</f>
        <v>0.0299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HYPERLINK("http://141.218.60.56/~jnz1568/getInfo.php?workbook=14_04.xlsx&amp;sheet=U0&amp;row=5046&amp;col=6&amp;number=3.2&amp;sourceID=14","3.2")</f>
        <v>3.2</v>
      </c>
      <c r="G5046" s="4" t="str">
        <f>HYPERLINK("http://141.218.60.56/~jnz1568/getInfo.php?workbook=14_04.xlsx&amp;sheet=U0&amp;row=5046&amp;col=7&amp;number=0.03&amp;sourceID=14","0.03")</f>
        <v>0.03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HYPERLINK("http://141.218.60.56/~jnz1568/getInfo.php?workbook=14_04.xlsx&amp;sheet=U0&amp;row=5047&amp;col=6&amp;number=3.3&amp;sourceID=14","3.3")</f>
        <v>3.3</v>
      </c>
      <c r="G5047" s="4" t="str">
        <f>HYPERLINK("http://141.218.60.56/~jnz1568/getInfo.php?workbook=14_04.xlsx&amp;sheet=U0&amp;row=5047&amp;col=7&amp;number=0.03&amp;sourceID=14","0.03")</f>
        <v>0.03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HYPERLINK("http://141.218.60.56/~jnz1568/getInfo.php?workbook=14_04.xlsx&amp;sheet=U0&amp;row=5048&amp;col=6&amp;number=3.4&amp;sourceID=14","3.4")</f>
        <v>3.4</v>
      </c>
      <c r="G5048" s="4" t="str">
        <f>HYPERLINK("http://141.218.60.56/~jnz1568/getInfo.php?workbook=14_04.xlsx&amp;sheet=U0&amp;row=5048&amp;col=7&amp;number=0.03&amp;sourceID=14","0.03")</f>
        <v>0.03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HYPERLINK("http://141.218.60.56/~jnz1568/getInfo.php?workbook=14_04.xlsx&amp;sheet=U0&amp;row=5049&amp;col=6&amp;number=3.5&amp;sourceID=14","3.5")</f>
        <v>3.5</v>
      </c>
      <c r="G5049" s="4" t="str">
        <f>HYPERLINK("http://141.218.60.56/~jnz1568/getInfo.php?workbook=14_04.xlsx&amp;sheet=U0&amp;row=5049&amp;col=7&amp;number=0.03&amp;sourceID=14","0.03")</f>
        <v>0.03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HYPERLINK("http://141.218.60.56/~jnz1568/getInfo.php?workbook=14_04.xlsx&amp;sheet=U0&amp;row=5050&amp;col=6&amp;number=3.6&amp;sourceID=14","3.6")</f>
        <v>3.6</v>
      </c>
      <c r="G5050" s="4" t="str">
        <f>HYPERLINK("http://141.218.60.56/~jnz1568/getInfo.php?workbook=14_04.xlsx&amp;sheet=U0&amp;row=5050&amp;col=7&amp;number=0.03&amp;sourceID=14","0.03")</f>
        <v>0.03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HYPERLINK("http://141.218.60.56/~jnz1568/getInfo.php?workbook=14_04.xlsx&amp;sheet=U0&amp;row=5051&amp;col=6&amp;number=3.7&amp;sourceID=14","3.7")</f>
        <v>3.7</v>
      </c>
      <c r="G5051" s="4" t="str">
        <f>HYPERLINK("http://141.218.60.56/~jnz1568/getInfo.php?workbook=14_04.xlsx&amp;sheet=U0&amp;row=5051&amp;col=7&amp;number=0.03&amp;sourceID=14","0.03")</f>
        <v>0.03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HYPERLINK("http://141.218.60.56/~jnz1568/getInfo.php?workbook=14_04.xlsx&amp;sheet=U0&amp;row=5052&amp;col=6&amp;number=3.8&amp;sourceID=14","3.8")</f>
        <v>3.8</v>
      </c>
      <c r="G5052" s="4" t="str">
        <f>HYPERLINK("http://141.218.60.56/~jnz1568/getInfo.php?workbook=14_04.xlsx&amp;sheet=U0&amp;row=5052&amp;col=7&amp;number=0.03&amp;sourceID=14","0.03")</f>
        <v>0.03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HYPERLINK("http://141.218.60.56/~jnz1568/getInfo.php?workbook=14_04.xlsx&amp;sheet=U0&amp;row=5053&amp;col=6&amp;number=3.9&amp;sourceID=14","3.9")</f>
        <v>3.9</v>
      </c>
      <c r="G5053" s="4" t="str">
        <f>HYPERLINK("http://141.218.60.56/~jnz1568/getInfo.php?workbook=14_04.xlsx&amp;sheet=U0&amp;row=5053&amp;col=7&amp;number=0.03&amp;sourceID=14","0.03")</f>
        <v>0.03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HYPERLINK("http://141.218.60.56/~jnz1568/getInfo.php?workbook=14_04.xlsx&amp;sheet=U0&amp;row=5054&amp;col=6&amp;number=4&amp;sourceID=14","4")</f>
        <v>4</v>
      </c>
      <c r="G5054" s="4" t="str">
        <f>HYPERLINK("http://141.218.60.56/~jnz1568/getInfo.php?workbook=14_04.xlsx&amp;sheet=U0&amp;row=5054&amp;col=7&amp;number=0.03&amp;sourceID=14","0.03")</f>
        <v>0.03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HYPERLINK("http://141.218.60.56/~jnz1568/getInfo.php?workbook=14_04.xlsx&amp;sheet=U0&amp;row=5055&amp;col=6&amp;number=4.1&amp;sourceID=14","4.1")</f>
        <v>4.1</v>
      </c>
      <c r="G5055" s="4" t="str">
        <f>HYPERLINK("http://141.218.60.56/~jnz1568/getInfo.php?workbook=14_04.xlsx&amp;sheet=U0&amp;row=5055&amp;col=7&amp;number=0.03&amp;sourceID=14","0.03")</f>
        <v>0.03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HYPERLINK("http://141.218.60.56/~jnz1568/getInfo.php?workbook=14_04.xlsx&amp;sheet=U0&amp;row=5056&amp;col=6&amp;number=4.2&amp;sourceID=14","4.2")</f>
        <v>4.2</v>
      </c>
      <c r="G5056" s="4" t="str">
        <f>HYPERLINK("http://141.218.60.56/~jnz1568/getInfo.php?workbook=14_04.xlsx&amp;sheet=U0&amp;row=5056&amp;col=7&amp;number=0.03&amp;sourceID=14","0.03")</f>
        <v>0.03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HYPERLINK("http://141.218.60.56/~jnz1568/getInfo.php?workbook=14_04.xlsx&amp;sheet=U0&amp;row=5057&amp;col=6&amp;number=4.3&amp;sourceID=14","4.3")</f>
        <v>4.3</v>
      </c>
      <c r="G5057" s="4" t="str">
        <f>HYPERLINK("http://141.218.60.56/~jnz1568/getInfo.php?workbook=14_04.xlsx&amp;sheet=U0&amp;row=5057&amp;col=7&amp;number=0.0301&amp;sourceID=14","0.0301")</f>
        <v>0.0301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HYPERLINK("http://141.218.60.56/~jnz1568/getInfo.php?workbook=14_04.xlsx&amp;sheet=U0&amp;row=5058&amp;col=6&amp;number=4.4&amp;sourceID=14","4.4")</f>
        <v>4.4</v>
      </c>
      <c r="G5058" s="4" t="str">
        <f>HYPERLINK("http://141.218.60.56/~jnz1568/getInfo.php?workbook=14_04.xlsx&amp;sheet=U0&amp;row=5058&amp;col=7&amp;number=0.0301&amp;sourceID=14","0.0301")</f>
        <v>0.0301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HYPERLINK("http://141.218.60.56/~jnz1568/getInfo.php?workbook=14_04.xlsx&amp;sheet=U0&amp;row=5059&amp;col=6&amp;number=4.5&amp;sourceID=14","4.5")</f>
        <v>4.5</v>
      </c>
      <c r="G5059" s="4" t="str">
        <f>HYPERLINK("http://141.218.60.56/~jnz1568/getInfo.php?workbook=14_04.xlsx&amp;sheet=U0&amp;row=5059&amp;col=7&amp;number=0.0302&amp;sourceID=14","0.0302")</f>
        <v>0.0302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HYPERLINK("http://141.218.60.56/~jnz1568/getInfo.php?workbook=14_04.xlsx&amp;sheet=U0&amp;row=5060&amp;col=6&amp;number=4.6&amp;sourceID=14","4.6")</f>
        <v>4.6</v>
      </c>
      <c r="G5060" s="4" t="str">
        <f>HYPERLINK("http://141.218.60.56/~jnz1568/getInfo.php?workbook=14_04.xlsx&amp;sheet=U0&amp;row=5060&amp;col=7&amp;number=0.0302&amp;sourceID=14","0.0302")</f>
        <v>0.0302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HYPERLINK("http://141.218.60.56/~jnz1568/getInfo.php?workbook=14_04.xlsx&amp;sheet=U0&amp;row=5061&amp;col=6&amp;number=4.7&amp;sourceID=14","4.7")</f>
        <v>4.7</v>
      </c>
      <c r="G5061" s="4" t="str">
        <f>HYPERLINK("http://141.218.60.56/~jnz1568/getInfo.php?workbook=14_04.xlsx&amp;sheet=U0&amp;row=5061&amp;col=7&amp;number=0.0303&amp;sourceID=14","0.0303")</f>
        <v>0.0303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HYPERLINK("http://141.218.60.56/~jnz1568/getInfo.php?workbook=14_04.xlsx&amp;sheet=U0&amp;row=5062&amp;col=6&amp;number=4.8&amp;sourceID=14","4.8")</f>
        <v>4.8</v>
      </c>
      <c r="G5062" s="4" t="str">
        <f>HYPERLINK("http://141.218.60.56/~jnz1568/getInfo.php?workbook=14_04.xlsx&amp;sheet=U0&amp;row=5062&amp;col=7&amp;number=0.0304&amp;sourceID=14","0.0304")</f>
        <v>0.0304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HYPERLINK("http://141.218.60.56/~jnz1568/getInfo.php?workbook=14_04.xlsx&amp;sheet=U0&amp;row=5063&amp;col=6&amp;number=4.9&amp;sourceID=14","4.9")</f>
        <v>4.9</v>
      </c>
      <c r="G5063" s="4" t="str">
        <f>HYPERLINK("http://141.218.60.56/~jnz1568/getInfo.php?workbook=14_04.xlsx&amp;sheet=U0&amp;row=5063&amp;col=7&amp;number=0.0305&amp;sourceID=14","0.0305")</f>
        <v>0.0305</v>
      </c>
    </row>
    <row r="5064" spans="1:7">
      <c r="A5064" s="3">
        <v>14</v>
      </c>
      <c r="B5064" s="3">
        <v>4</v>
      </c>
      <c r="C5064" s="3">
        <v>3</v>
      </c>
      <c r="D5064" s="3">
        <v>55</v>
      </c>
      <c r="E5064" s="3">
        <v>1</v>
      </c>
      <c r="F5064" s="4" t="str">
        <f>HYPERLINK("http://141.218.60.56/~jnz1568/getInfo.php?workbook=14_04.xlsx&amp;sheet=U0&amp;row=5064&amp;col=6&amp;number=3&amp;sourceID=14","3")</f>
        <v>3</v>
      </c>
      <c r="G5064" s="4" t="str">
        <f>HYPERLINK("http://141.218.60.56/~jnz1568/getInfo.php?workbook=14_04.xlsx&amp;sheet=U0&amp;row=5064&amp;col=7&amp;number=0.00698&amp;sourceID=14","0.00698")</f>
        <v>0.00698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HYPERLINK("http://141.218.60.56/~jnz1568/getInfo.php?workbook=14_04.xlsx&amp;sheet=U0&amp;row=5065&amp;col=6&amp;number=3.1&amp;sourceID=14","3.1")</f>
        <v>3.1</v>
      </c>
      <c r="G5065" s="4" t="str">
        <f>HYPERLINK("http://141.218.60.56/~jnz1568/getInfo.php?workbook=14_04.xlsx&amp;sheet=U0&amp;row=5065&amp;col=7&amp;number=0.00698&amp;sourceID=14","0.00698")</f>
        <v>0.00698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HYPERLINK("http://141.218.60.56/~jnz1568/getInfo.php?workbook=14_04.xlsx&amp;sheet=U0&amp;row=5066&amp;col=6&amp;number=3.2&amp;sourceID=14","3.2")</f>
        <v>3.2</v>
      </c>
      <c r="G5066" s="4" t="str">
        <f>HYPERLINK("http://141.218.60.56/~jnz1568/getInfo.php?workbook=14_04.xlsx&amp;sheet=U0&amp;row=5066&amp;col=7&amp;number=0.00698&amp;sourceID=14","0.00698")</f>
        <v>0.00698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HYPERLINK("http://141.218.60.56/~jnz1568/getInfo.php?workbook=14_04.xlsx&amp;sheet=U0&amp;row=5067&amp;col=6&amp;number=3.3&amp;sourceID=14","3.3")</f>
        <v>3.3</v>
      </c>
      <c r="G5067" s="4" t="str">
        <f>HYPERLINK("http://141.218.60.56/~jnz1568/getInfo.php?workbook=14_04.xlsx&amp;sheet=U0&amp;row=5067&amp;col=7&amp;number=0.00698&amp;sourceID=14","0.00698")</f>
        <v>0.00698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HYPERLINK("http://141.218.60.56/~jnz1568/getInfo.php?workbook=14_04.xlsx&amp;sheet=U0&amp;row=5068&amp;col=6&amp;number=3.4&amp;sourceID=14","3.4")</f>
        <v>3.4</v>
      </c>
      <c r="G5068" s="4" t="str">
        <f>HYPERLINK("http://141.218.60.56/~jnz1568/getInfo.php?workbook=14_04.xlsx&amp;sheet=U0&amp;row=5068&amp;col=7&amp;number=0.00698&amp;sourceID=14","0.00698")</f>
        <v>0.00698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HYPERLINK("http://141.218.60.56/~jnz1568/getInfo.php?workbook=14_04.xlsx&amp;sheet=U0&amp;row=5069&amp;col=6&amp;number=3.5&amp;sourceID=14","3.5")</f>
        <v>3.5</v>
      </c>
      <c r="G5069" s="4" t="str">
        <f>HYPERLINK("http://141.218.60.56/~jnz1568/getInfo.php?workbook=14_04.xlsx&amp;sheet=U0&amp;row=5069&amp;col=7&amp;number=0.00698&amp;sourceID=14","0.00698")</f>
        <v>0.00698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HYPERLINK("http://141.218.60.56/~jnz1568/getInfo.php?workbook=14_04.xlsx&amp;sheet=U0&amp;row=5070&amp;col=6&amp;number=3.6&amp;sourceID=14","3.6")</f>
        <v>3.6</v>
      </c>
      <c r="G5070" s="4" t="str">
        <f>HYPERLINK("http://141.218.60.56/~jnz1568/getInfo.php?workbook=14_04.xlsx&amp;sheet=U0&amp;row=5070&amp;col=7&amp;number=0.00698&amp;sourceID=14","0.00698")</f>
        <v>0.00698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HYPERLINK("http://141.218.60.56/~jnz1568/getInfo.php?workbook=14_04.xlsx&amp;sheet=U0&amp;row=5071&amp;col=6&amp;number=3.7&amp;sourceID=14","3.7")</f>
        <v>3.7</v>
      </c>
      <c r="G5071" s="4" t="str">
        <f>HYPERLINK("http://141.218.60.56/~jnz1568/getInfo.php?workbook=14_04.xlsx&amp;sheet=U0&amp;row=5071&amp;col=7&amp;number=0.00698&amp;sourceID=14","0.00698")</f>
        <v>0.00698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HYPERLINK("http://141.218.60.56/~jnz1568/getInfo.php?workbook=14_04.xlsx&amp;sheet=U0&amp;row=5072&amp;col=6&amp;number=3.8&amp;sourceID=14","3.8")</f>
        <v>3.8</v>
      </c>
      <c r="G5072" s="4" t="str">
        <f>HYPERLINK("http://141.218.60.56/~jnz1568/getInfo.php?workbook=14_04.xlsx&amp;sheet=U0&amp;row=5072&amp;col=7&amp;number=0.00698&amp;sourceID=14","0.00698")</f>
        <v>0.00698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HYPERLINK("http://141.218.60.56/~jnz1568/getInfo.php?workbook=14_04.xlsx&amp;sheet=U0&amp;row=5073&amp;col=6&amp;number=3.9&amp;sourceID=14","3.9")</f>
        <v>3.9</v>
      </c>
      <c r="G5073" s="4" t="str">
        <f>HYPERLINK("http://141.218.60.56/~jnz1568/getInfo.php?workbook=14_04.xlsx&amp;sheet=U0&amp;row=5073&amp;col=7&amp;number=0.00698&amp;sourceID=14","0.00698")</f>
        <v>0.00698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HYPERLINK("http://141.218.60.56/~jnz1568/getInfo.php?workbook=14_04.xlsx&amp;sheet=U0&amp;row=5074&amp;col=6&amp;number=4&amp;sourceID=14","4")</f>
        <v>4</v>
      </c>
      <c r="G5074" s="4" t="str">
        <f>HYPERLINK("http://141.218.60.56/~jnz1568/getInfo.php?workbook=14_04.xlsx&amp;sheet=U0&amp;row=5074&amp;col=7&amp;number=0.00698&amp;sourceID=14","0.00698")</f>
        <v>0.00698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HYPERLINK("http://141.218.60.56/~jnz1568/getInfo.php?workbook=14_04.xlsx&amp;sheet=U0&amp;row=5075&amp;col=6&amp;number=4.1&amp;sourceID=14","4.1")</f>
        <v>4.1</v>
      </c>
      <c r="G5075" s="4" t="str">
        <f>HYPERLINK("http://141.218.60.56/~jnz1568/getInfo.php?workbook=14_04.xlsx&amp;sheet=U0&amp;row=5075&amp;col=7&amp;number=0.00697&amp;sourceID=14","0.00697")</f>
        <v>0.00697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HYPERLINK("http://141.218.60.56/~jnz1568/getInfo.php?workbook=14_04.xlsx&amp;sheet=U0&amp;row=5076&amp;col=6&amp;number=4.2&amp;sourceID=14","4.2")</f>
        <v>4.2</v>
      </c>
      <c r="G5076" s="4" t="str">
        <f>HYPERLINK("http://141.218.60.56/~jnz1568/getInfo.php?workbook=14_04.xlsx&amp;sheet=U0&amp;row=5076&amp;col=7&amp;number=0.00697&amp;sourceID=14","0.00697")</f>
        <v>0.00697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HYPERLINK("http://141.218.60.56/~jnz1568/getInfo.php?workbook=14_04.xlsx&amp;sheet=U0&amp;row=5077&amp;col=6&amp;number=4.3&amp;sourceID=14","4.3")</f>
        <v>4.3</v>
      </c>
      <c r="G5077" s="4" t="str">
        <f>HYPERLINK("http://141.218.60.56/~jnz1568/getInfo.php?workbook=14_04.xlsx&amp;sheet=U0&amp;row=5077&amp;col=7&amp;number=0.00697&amp;sourceID=14","0.00697")</f>
        <v>0.00697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HYPERLINK("http://141.218.60.56/~jnz1568/getInfo.php?workbook=14_04.xlsx&amp;sheet=U0&amp;row=5078&amp;col=6&amp;number=4.4&amp;sourceID=14","4.4")</f>
        <v>4.4</v>
      </c>
      <c r="G5078" s="4" t="str">
        <f>HYPERLINK("http://141.218.60.56/~jnz1568/getInfo.php?workbook=14_04.xlsx&amp;sheet=U0&amp;row=5078&amp;col=7&amp;number=0.00696&amp;sourceID=14","0.00696")</f>
        <v>0.00696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HYPERLINK("http://141.218.60.56/~jnz1568/getInfo.php?workbook=14_04.xlsx&amp;sheet=U0&amp;row=5079&amp;col=6&amp;number=4.5&amp;sourceID=14","4.5")</f>
        <v>4.5</v>
      </c>
      <c r="G5079" s="4" t="str">
        <f>HYPERLINK("http://141.218.60.56/~jnz1568/getInfo.php?workbook=14_04.xlsx&amp;sheet=U0&amp;row=5079&amp;col=7&amp;number=0.00695&amp;sourceID=14","0.00695")</f>
        <v>0.00695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HYPERLINK("http://141.218.60.56/~jnz1568/getInfo.php?workbook=14_04.xlsx&amp;sheet=U0&amp;row=5080&amp;col=6&amp;number=4.6&amp;sourceID=14","4.6")</f>
        <v>4.6</v>
      </c>
      <c r="G5080" s="4" t="str">
        <f>HYPERLINK("http://141.218.60.56/~jnz1568/getInfo.php?workbook=14_04.xlsx&amp;sheet=U0&amp;row=5080&amp;col=7&amp;number=0.00695&amp;sourceID=14","0.00695")</f>
        <v>0.00695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HYPERLINK("http://141.218.60.56/~jnz1568/getInfo.php?workbook=14_04.xlsx&amp;sheet=U0&amp;row=5081&amp;col=6&amp;number=4.7&amp;sourceID=14","4.7")</f>
        <v>4.7</v>
      </c>
      <c r="G5081" s="4" t="str">
        <f>HYPERLINK("http://141.218.60.56/~jnz1568/getInfo.php?workbook=14_04.xlsx&amp;sheet=U0&amp;row=5081&amp;col=7&amp;number=0.00694&amp;sourceID=14","0.00694")</f>
        <v>0.00694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HYPERLINK("http://141.218.60.56/~jnz1568/getInfo.php?workbook=14_04.xlsx&amp;sheet=U0&amp;row=5082&amp;col=6&amp;number=4.8&amp;sourceID=14","4.8")</f>
        <v>4.8</v>
      </c>
      <c r="G5082" s="4" t="str">
        <f>HYPERLINK("http://141.218.60.56/~jnz1568/getInfo.php?workbook=14_04.xlsx&amp;sheet=U0&amp;row=5082&amp;col=7&amp;number=0.00692&amp;sourceID=14","0.00692")</f>
        <v>0.00692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HYPERLINK("http://141.218.60.56/~jnz1568/getInfo.php?workbook=14_04.xlsx&amp;sheet=U0&amp;row=5083&amp;col=6&amp;number=4.9&amp;sourceID=14","4.9")</f>
        <v>4.9</v>
      </c>
      <c r="G5083" s="4" t="str">
        <f>HYPERLINK("http://141.218.60.56/~jnz1568/getInfo.php?workbook=14_04.xlsx&amp;sheet=U0&amp;row=5083&amp;col=7&amp;number=0.00691&amp;sourceID=14","0.00691")</f>
        <v>0.00691</v>
      </c>
    </row>
    <row r="5084" spans="1:7">
      <c r="A5084" s="3">
        <v>14</v>
      </c>
      <c r="B5084" s="3">
        <v>4</v>
      </c>
      <c r="C5084" s="3">
        <v>3</v>
      </c>
      <c r="D5084" s="3">
        <v>56</v>
      </c>
      <c r="E5084" s="3">
        <v>1</v>
      </c>
      <c r="F5084" s="4" t="str">
        <f>HYPERLINK("http://141.218.60.56/~jnz1568/getInfo.php?workbook=14_04.xlsx&amp;sheet=U0&amp;row=5084&amp;col=6&amp;number=3&amp;sourceID=14","3")</f>
        <v>3</v>
      </c>
      <c r="G5084" s="4" t="str">
        <f>HYPERLINK("http://141.218.60.56/~jnz1568/getInfo.php?workbook=14_04.xlsx&amp;sheet=U0&amp;row=5084&amp;col=7&amp;number=0.00677&amp;sourceID=14","0.00677")</f>
        <v>0.00677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HYPERLINK("http://141.218.60.56/~jnz1568/getInfo.php?workbook=14_04.xlsx&amp;sheet=U0&amp;row=5085&amp;col=6&amp;number=3.1&amp;sourceID=14","3.1")</f>
        <v>3.1</v>
      </c>
      <c r="G5085" s="4" t="str">
        <f>HYPERLINK("http://141.218.60.56/~jnz1568/getInfo.php?workbook=14_04.xlsx&amp;sheet=U0&amp;row=5085&amp;col=7&amp;number=0.00677&amp;sourceID=14","0.00677")</f>
        <v>0.00677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HYPERLINK("http://141.218.60.56/~jnz1568/getInfo.php?workbook=14_04.xlsx&amp;sheet=U0&amp;row=5086&amp;col=6&amp;number=3.2&amp;sourceID=14","3.2")</f>
        <v>3.2</v>
      </c>
      <c r="G5086" s="4" t="str">
        <f>HYPERLINK("http://141.218.60.56/~jnz1568/getInfo.php?workbook=14_04.xlsx&amp;sheet=U0&amp;row=5086&amp;col=7&amp;number=0.00677&amp;sourceID=14","0.00677")</f>
        <v>0.00677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HYPERLINK("http://141.218.60.56/~jnz1568/getInfo.php?workbook=14_04.xlsx&amp;sheet=U0&amp;row=5087&amp;col=6&amp;number=3.3&amp;sourceID=14","3.3")</f>
        <v>3.3</v>
      </c>
      <c r="G5087" s="4" t="str">
        <f>HYPERLINK("http://141.218.60.56/~jnz1568/getInfo.php?workbook=14_04.xlsx&amp;sheet=U0&amp;row=5087&amp;col=7&amp;number=0.00677&amp;sourceID=14","0.00677")</f>
        <v>0.00677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HYPERLINK("http://141.218.60.56/~jnz1568/getInfo.php?workbook=14_04.xlsx&amp;sheet=U0&amp;row=5088&amp;col=6&amp;number=3.4&amp;sourceID=14","3.4")</f>
        <v>3.4</v>
      </c>
      <c r="G5088" s="4" t="str">
        <f>HYPERLINK("http://141.218.60.56/~jnz1568/getInfo.php?workbook=14_04.xlsx&amp;sheet=U0&amp;row=5088&amp;col=7&amp;number=0.00677&amp;sourceID=14","0.00677")</f>
        <v>0.00677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HYPERLINK("http://141.218.60.56/~jnz1568/getInfo.php?workbook=14_04.xlsx&amp;sheet=U0&amp;row=5089&amp;col=6&amp;number=3.5&amp;sourceID=14","3.5")</f>
        <v>3.5</v>
      </c>
      <c r="G5089" s="4" t="str">
        <f>HYPERLINK("http://141.218.60.56/~jnz1568/getInfo.php?workbook=14_04.xlsx&amp;sheet=U0&amp;row=5089&amp;col=7&amp;number=0.00677&amp;sourceID=14","0.00677")</f>
        <v>0.00677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HYPERLINK("http://141.218.60.56/~jnz1568/getInfo.php?workbook=14_04.xlsx&amp;sheet=U0&amp;row=5090&amp;col=6&amp;number=3.6&amp;sourceID=14","3.6")</f>
        <v>3.6</v>
      </c>
      <c r="G5090" s="4" t="str">
        <f>HYPERLINK("http://141.218.60.56/~jnz1568/getInfo.php?workbook=14_04.xlsx&amp;sheet=U0&amp;row=5090&amp;col=7&amp;number=0.00677&amp;sourceID=14","0.00677")</f>
        <v>0.00677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HYPERLINK("http://141.218.60.56/~jnz1568/getInfo.php?workbook=14_04.xlsx&amp;sheet=U0&amp;row=5091&amp;col=6&amp;number=3.7&amp;sourceID=14","3.7")</f>
        <v>3.7</v>
      </c>
      <c r="G5091" s="4" t="str">
        <f>HYPERLINK("http://141.218.60.56/~jnz1568/getInfo.php?workbook=14_04.xlsx&amp;sheet=U0&amp;row=5091&amp;col=7&amp;number=0.00677&amp;sourceID=14","0.00677")</f>
        <v>0.00677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HYPERLINK("http://141.218.60.56/~jnz1568/getInfo.php?workbook=14_04.xlsx&amp;sheet=U0&amp;row=5092&amp;col=6&amp;number=3.8&amp;sourceID=14","3.8")</f>
        <v>3.8</v>
      </c>
      <c r="G5092" s="4" t="str">
        <f>HYPERLINK("http://141.218.60.56/~jnz1568/getInfo.php?workbook=14_04.xlsx&amp;sheet=U0&amp;row=5092&amp;col=7&amp;number=0.00677&amp;sourceID=14","0.00677")</f>
        <v>0.00677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HYPERLINK("http://141.218.60.56/~jnz1568/getInfo.php?workbook=14_04.xlsx&amp;sheet=U0&amp;row=5093&amp;col=6&amp;number=3.9&amp;sourceID=14","3.9")</f>
        <v>3.9</v>
      </c>
      <c r="G5093" s="4" t="str">
        <f>HYPERLINK("http://141.218.60.56/~jnz1568/getInfo.php?workbook=14_04.xlsx&amp;sheet=U0&amp;row=5093&amp;col=7&amp;number=0.00676&amp;sourceID=14","0.00676")</f>
        <v>0.00676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HYPERLINK("http://141.218.60.56/~jnz1568/getInfo.php?workbook=14_04.xlsx&amp;sheet=U0&amp;row=5094&amp;col=6&amp;number=4&amp;sourceID=14","4")</f>
        <v>4</v>
      </c>
      <c r="G5094" s="4" t="str">
        <f>HYPERLINK("http://141.218.60.56/~jnz1568/getInfo.php?workbook=14_04.xlsx&amp;sheet=U0&amp;row=5094&amp;col=7&amp;number=0.00676&amp;sourceID=14","0.00676")</f>
        <v>0.00676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HYPERLINK("http://141.218.60.56/~jnz1568/getInfo.php?workbook=14_04.xlsx&amp;sheet=U0&amp;row=5095&amp;col=6&amp;number=4.1&amp;sourceID=14","4.1")</f>
        <v>4.1</v>
      </c>
      <c r="G5095" s="4" t="str">
        <f>HYPERLINK("http://141.218.60.56/~jnz1568/getInfo.php?workbook=14_04.xlsx&amp;sheet=U0&amp;row=5095&amp;col=7&amp;number=0.00676&amp;sourceID=14","0.00676")</f>
        <v>0.00676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HYPERLINK("http://141.218.60.56/~jnz1568/getInfo.php?workbook=14_04.xlsx&amp;sheet=U0&amp;row=5096&amp;col=6&amp;number=4.2&amp;sourceID=14","4.2")</f>
        <v>4.2</v>
      </c>
      <c r="G5096" s="4" t="str">
        <f>HYPERLINK("http://141.218.60.56/~jnz1568/getInfo.php?workbook=14_04.xlsx&amp;sheet=U0&amp;row=5096&amp;col=7&amp;number=0.00675&amp;sourceID=14","0.00675")</f>
        <v>0.00675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HYPERLINK("http://141.218.60.56/~jnz1568/getInfo.php?workbook=14_04.xlsx&amp;sheet=U0&amp;row=5097&amp;col=6&amp;number=4.3&amp;sourceID=14","4.3")</f>
        <v>4.3</v>
      </c>
      <c r="G5097" s="4" t="str">
        <f>HYPERLINK("http://141.218.60.56/~jnz1568/getInfo.php?workbook=14_04.xlsx&amp;sheet=U0&amp;row=5097&amp;col=7&amp;number=0.00675&amp;sourceID=14","0.00675")</f>
        <v>0.00675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HYPERLINK("http://141.218.60.56/~jnz1568/getInfo.php?workbook=14_04.xlsx&amp;sheet=U0&amp;row=5098&amp;col=6&amp;number=4.4&amp;sourceID=14","4.4")</f>
        <v>4.4</v>
      </c>
      <c r="G5098" s="4" t="str">
        <f>HYPERLINK("http://141.218.60.56/~jnz1568/getInfo.php?workbook=14_04.xlsx&amp;sheet=U0&amp;row=5098&amp;col=7&amp;number=0.00674&amp;sourceID=14","0.00674")</f>
        <v>0.00674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HYPERLINK("http://141.218.60.56/~jnz1568/getInfo.php?workbook=14_04.xlsx&amp;sheet=U0&amp;row=5099&amp;col=6&amp;number=4.5&amp;sourceID=14","4.5")</f>
        <v>4.5</v>
      </c>
      <c r="G5099" s="4" t="str">
        <f>HYPERLINK("http://141.218.60.56/~jnz1568/getInfo.php?workbook=14_04.xlsx&amp;sheet=U0&amp;row=5099&amp;col=7&amp;number=0.00674&amp;sourceID=14","0.00674")</f>
        <v>0.00674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HYPERLINK("http://141.218.60.56/~jnz1568/getInfo.php?workbook=14_04.xlsx&amp;sheet=U0&amp;row=5100&amp;col=6&amp;number=4.6&amp;sourceID=14","4.6")</f>
        <v>4.6</v>
      </c>
      <c r="G5100" s="4" t="str">
        <f>HYPERLINK("http://141.218.60.56/~jnz1568/getInfo.php?workbook=14_04.xlsx&amp;sheet=U0&amp;row=5100&amp;col=7&amp;number=0.00673&amp;sourceID=14","0.00673")</f>
        <v>0.00673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HYPERLINK("http://141.218.60.56/~jnz1568/getInfo.php?workbook=14_04.xlsx&amp;sheet=U0&amp;row=5101&amp;col=6&amp;number=4.7&amp;sourceID=14","4.7")</f>
        <v>4.7</v>
      </c>
      <c r="G5101" s="4" t="str">
        <f>HYPERLINK("http://141.218.60.56/~jnz1568/getInfo.php?workbook=14_04.xlsx&amp;sheet=U0&amp;row=5101&amp;col=7&amp;number=0.00671&amp;sourceID=14","0.00671")</f>
        <v>0.00671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HYPERLINK("http://141.218.60.56/~jnz1568/getInfo.php?workbook=14_04.xlsx&amp;sheet=U0&amp;row=5102&amp;col=6&amp;number=4.8&amp;sourceID=14","4.8")</f>
        <v>4.8</v>
      </c>
      <c r="G5102" s="4" t="str">
        <f>HYPERLINK("http://141.218.60.56/~jnz1568/getInfo.php?workbook=14_04.xlsx&amp;sheet=U0&amp;row=5102&amp;col=7&amp;number=0.0067&amp;sourceID=14","0.0067")</f>
        <v>0.0067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HYPERLINK("http://141.218.60.56/~jnz1568/getInfo.php?workbook=14_04.xlsx&amp;sheet=U0&amp;row=5103&amp;col=6&amp;number=4.9&amp;sourceID=14","4.9")</f>
        <v>4.9</v>
      </c>
      <c r="G5103" s="4" t="str">
        <f>HYPERLINK("http://141.218.60.56/~jnz1568/getInfo.php?workbook=14_04.xlsx&amp;sheet=U0&amp;row=5103&amp;col=7&amp;number=0.00668&amp;sourceID=14","0.00668")</f>
        <v>0.00668</v>
      </c>
    </row>
    <row r="5104" spans="1:7">
      <c r="A5104" s="3">
        <v>14</v>
      </c>
      <c r="B5104" s="3">
        <v>4</v>
      </c>
      <c r="C5104" s="3">
        <v>3</v>
      </c>
      <c r="D5104" s="3">
        <v>57</v>
      </c>
      <c r="E5104" s="3">
        <v>1</v>
      </c>
      <c r="F5104" s="4" t="str">
        <f>HYPERLINK("http://141.218.60.56/~jnz1568/getInfo.php?workbook=14_04.xlsx&amp;sheet=U0&amp;row=5104&amp;col=6&amp;number=3&amp;sourceID=14","3")</f>
        <v>3</v>
      </c>
      <c r="G5104" s="4" t="str">
        <f>HYPERLINK("http://141.218.60.56/~jnz1568/getInfo.php?workbook=14_04.xlsx&amp;sheet=U0&amp;row=5104&amp;col=7&amp;number=0.000377&amp;sourceID=14","0.000377")</f>
        <v>0.000377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HYPERLINK("http://141.218.60.56/~jnz1568/getInfo.php?workbook=14_04.xlsx&amp;sheet=U0&amp;row=5105&amp;col=6&amp;number=3.1&amp;sourceID=14","3.1")</f>
        <v>3.1</v>
      </c>
      <c r="G5105" s="4" t="str">
        <f>HYPERLINK("http://141.218.60.56/~jnz1568/getInfo.php?workbook=14_04.xlsx&amp;sheet=U0&amp;row=5105&amp;col=7&amp;number=0.000377&amp;sourceID=14","0.000377")</f>
        <v>0.000377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HYPERLINK("http://141.218.60.56/~jnz1568/getInfo.php?workbook=14_04.xlsx&amp;sheet=U0&amp;row=5106&amp;col=6&amp;number=3.2&amp;sourceID=14","3.2")</f>
        <v>3.2</v>
      </c>
      <c r="G5106" s="4" t="str">
        <f>HYPERLINK("http://141.218.60.56/~jnz1568/getInfo.php?workbook=14_04.xlsx&amp;sheet=U0&amp;row=5106&amp;col=7&amp;number=0.000377&amp;sourceID=14","0.000377")</f>
        <v>0.000377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HYPERLINK("http://141.218.60.56/~jnz1568/getInfo.php?workbook=14_04.xlsx&amp;sheet=U0&amp;row=5107&amp;col=6&amp;number=3.3&amp;sourceID=14","3.3")</f>
        <v>3.3</v>
      </c>
      <c r="G5107" s="4" t="str">
        <f>HYPERLINK("http://141.218.60.56/~jnz1568/getInfo.php?workbook=14_04.xlsx&amp;sheet=U0&amp;row=5107&amp;col=7&amp;number=0.000377&amp;sourceID=14","0.000377")</f>
        <v>0.000377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HYPERLINK("http://141.218.60.56/~jnz1568/getInfo.php?workbook=14_04.xlsx&amp;sheet=U0&amp;row=5108&amp;col=6&amp;number=3.4&amp;sourceID=14","3.4")</f>
        <v>3.4</v>
      </c>
      <c r="G5108" s="4" t="str">
        <f>HYPERLINK("http://141.218.60.56/~jnz1568/getInfo.php?workbook=14_04.xlsx&amp;sheet=U0&amp;row=5108&amp;col=7&amp;number=0.000377&amp;sourceID=14","0.000377")</f>
        <v>0.000377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HYPERLINK("http://141.218.60.56/~jnz1568/getInfo.php?workbook=14_04.xlsx&amp;sheet=U0&amp;row=5109&amp;col=6&amp;number=3.5&amp;sourceID=14","3.5")</f>
        <v>3.5</v>
      </c>
      <c r="G5109" s="4" t="str">
        <f>HYPERLINK("http://141.218.60.56/~jnz1568/getInfo.php?workbook=14_04.xlsx&amp;sheet=U0&amp;row=5109&amp;col=7&amp;number=0.000377&amp;sourceID=14","0.000377")</f>
        <v>0.000377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HYPERLINK("http://141.218.60.56/~jnz1568/getInfo.php?workbook=14_04.xlsx&amp;sheet=U0&amp;row=5110&amp;col=6&amp;number=3.6&amp;sourceID=14","3.6")</f>
        <v>3.6</v>
      </c>
      <c r="G5110" s="4" t="str">
        <f>HYPERLINK("http://141.218.60.56/~jnz1568/getInfo.php?workbook=14_04.xlsx&amp;sheet=U0&amp;row=5110&amp;col=7&amp;number=0.000377&amp;sourceID=14","0.000377")</f>
        <v>0.000377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HYPERLINK("http://141.218.60.56/~jnz1568/getInfo.php?workbook=14_04.xlsx&amp;sheet=U0&amp;row=5111&amp;col=6&amp;number=3.7&amp;sourceID=14","3.7")</f>
        <v>3.7</v>
      </c>
      <c r="G5111" s="4" t="str">
        <f>HYPERLINK("http://141.218.60.56/~jnz1568/getInfo.php?workbook=14_04.xlsx&amp;sheet=U0&amp;row=5111&amp;col=7&amp;number=0.000377&amp;sourceID=14","0.000377")</f>
        <v>0.000377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HYPERLINK("http://141.218.60.56/~jnz1568/getInfo.php?workbook=14_04.xlsx&amp;sheet=U0&amp;row=5112&amp;col=6&amp;number=3.8&amp;sourceID=14","3.8")</f>
        <v>3.8</v>
      </c>
      <c r="G5112" s="4" t="str">
        <f>HYPERLINK("http://141.218.60.56/~jnz1568/getInfo.php?workbook=14_04.xlsx&amp;sheet=U0&amp;row=5112&amp;col=7&amp;number=0.000377&amp;sourceID=14","0.000377")</f>
        <v>0.000377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HYPERLINK("http://141.218.60.56/~jnz1568/getInfo.php?workbook=14_04.xlsx&amp;sheet=U0&amp;row=5113&amp;col=6&amp;number=3.9&amp;sourceID=14","3.9")</f>
        <v>3.9</v>
      </c>
      <c r="G5113" s="4" t="str">
        <f>HYPERLINK("http://141.218.60.56/~jnz1568/getInfo.php?workbook=14_04.xlsx&amp;sheet=U0&amp;row=5113&amp;col=7&amp;number=0.000377&amp;sourceID=14","0.000377")</f>
        <v>0.000377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HYPERLINK("http://141.218.60.56/~jnz1568/getInfo.php?workbook=14_04.xlsx&amp;sheet=U0&amp;row=5114&amp;col=6&amp;number=4&amp;sourceID=14","4")</f>
        <v>4</v>
      </c>
      <c r="G5114" s="4" t="str">
        <f>HYPERLINK("http://141.218.60.56/~jnz1568/getInfo.php?workbook=14_04.xlsx&amp;sheet=U0&amp;row=5114&amp;col=7&amp;number=0.000377&amp;sourceID=14","0.000377")</f>
        <v>0.000377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HYPERLINK("http://141.218.60.56/~jnz1568/getInfo.php?workbook=14_04.xlsx&amp;sheet=U0&amp;row=5115&amp;col=6&amp;number=4.1&amp;sourceID=14","4.1")</f>
        <v>4.1</v>
      </c>
      <c r="G5115" s="4" t="str">
        <f>HYPERLINK("http://141.218.60.56/~jnz1568/getInfo.php?workbook=14_04.xlsx&amp;sheet=U0&amp;row=5115&amp;col=7&amp;number=0.000376&amp;sourceID=14","0.000376")</f>
        <v>0.000376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HYPERLINK("http://141.218.60.56/~jnz1568/getInfo.php?workbook=14_04.xlsx&amp;sheet=U0&amp;row=5116&amp;col=6&amp;number=4.2&amp;sourceID=14","4.2")</f>
        <v>4.2</v>
      </c>
      <c r="G5116" s="4" t="str">
        <f>HYPERLINK("http://141.218.60.56/~jnz1568/getInfo.php?workbook=14_04.xlsx&amp;sheet=U0&amp;row=5116&amp;col=7&amp;number=0.000376&amp;sourceID=14","0.000376")</f>
        <v>0.000376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HYPERLINK("http://141.218.60.56/~jnz1568/getInfo.php?workbook=14_04.xlsx&amp;sheet=U0&amp;row=5117&amp;col=6&amp;number=4.3&amp;sourceID=14","4.3")</f>
        <v>4.3</v>
      </c>
      <c r="G5117" s="4" t="str">
        <f>HYPERLINK("http://141.218.60.56/~jnz1568/getInfo.php?workbook=14_04.xlsx&amp;sheet=U0&amp;row=5117&amp;col=7&amp;number=0.000376&amp;sourceID=14","0.000376")</f>
        <v>0.000376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HYPERLINK("http://141.218.60.56/~jnz1568/getInfo.php?workbook=14_04.xlsx&amp;sheet=U0&amp;row=5118&amp;col=6&amp;number=4.4&amp;sourceID=14","4.4")</f>
        <v>4.4</v>
      </c>
      <c r="G5118" s="4" t="str">
        <f>HYPERLINK("http://141.218.60.56/~jnz1568/getInfo.php?workbook=14_04.xlsx&amp;sheet=U0&amp;row=5118&amp;col=7&amp;number=0.000376&amp;sourceID=14","0.000376")</f>
        <v>0.000376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HYPERLINK("http://141.218.60.56/~jnz1568/getInfo.php?workbook=14_04.xlsx&amp;sheet=U0&amp;row=5119&amp;col=6&amp;number=4.5&amp;sourceID=14","4.5")</f>
        <v>4.5</v>
      </c>
      <c r="G5119" s="4" t="str">
        <f>HYPERLINK("http://141.218.60.56/~jnz1568/getInfo.php?workbook=14_04.xlsx&amp;sheet=U0&amp;row=5119&amp;col=7&amp;number=0.000375&amp;sourceID=14","0.000375")</f>
        <v>0.000375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HYPERLINK("http://141.218.60.56/~jnz1568/getInfo.php?workbook=14_04.xlsx&amp;sheet=U0&amp;row=5120&amp;col=6&amp;number=4.6&amp;sourceID=14","4.6")</f>
        <v>4.6</v>
      </c>
      <c r="G5120" s="4" t="str">
        <f>HYPERLINK("http://141.218.60.56/~jnz1568/getInfo.php?workbook=14_04.xlsx&amp;sheet=U0&amp;row=5120&amp;col=7&amp;number=0.000375&amp;sourceID=14","0.000375")</f>
        <v>0.000375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HYPERLINK("http://141.218.60.56/~jnz1568/getInfo.php?workbook=14_04.xlsx&amp;sheet=U0&amp;row=5121&amp;col=6&amp;number=4.7&amp;sourceID=14","4.7")</f>
        <v>4.7</v>
      </c>
      <c r="G5121" s="4" t="str">
        <f>HYPERLINK("http://141.218.60.56/~jnz1568/getInfo.php?workbook=14_04.xlsx&amp;sheet=U0&amp;row=5121&amp;col=7&amp;number=0.000374&amp;sourceID=14","0.000374")</f>
        <v>0.000374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HYPERLINK("http://141.218.60.56/~jnz1568/getInfo.php?workbook=14_04.xlsx&amp;sheet=U0&amp;row=5122&amp;col=6&amp;number=4.8&amp;sourceID=14","4.8")</f>
        <v>4.8</v>
      </c>
      <c r="G5122" s="4" t="str">
        <f>HYPERLINK("http://141.218.60.56/~jnz1568/getInfo.php?workbook=14_04.xlsx&amp;sheet=U0&amp;row=5122&amp;col=7&amp;number=0.000374&amp;sourceID=14","0.000374")</f>
        <v>0.000374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HYPERLINK("http://141.218.60.56/~jnz1568/getInfo.php?workbook=14_04.xlsx&amp;sheet=U0&amp;row=5123&amp;col=6&amp;number=4.9&amp;sourceID=14","4.9")</f>
        <v>4.9</v>
      </c>
      <c r="G5123" s="4" t="str">
        <f>HYPERLINK("http://141.218.60.56/~jnz1568/getInfo.php?workbook=14_04.xlsx&amp;sheet=U0&amp;row=5123&amp;col=7&amp;number=0.000373&amp;sourceID=14","0.000373")</f>
        <v>0.000373</v>
      </c>
    </row>
    <row r="5124" spans="1:7">
      <c r="A5124" s="3">
        <v>14</v>
      </c>
      <c r="B5124" s="3">
        <v>4</v>
      </c>
      <c r="C5124" s="3">
        <v>3</v>
      </c>
      <c r="D5124" s="3">
        <v>58</v>
      </c>
      <c r="E5124" s="3">
        <v>1</v>
      </c>
      <c r="F5124" s="4" t="str">
        <f>HYPERLINK("http://141.218.60.56/~jnz1568/getInfo.php?workbook=14_04.xlsx&amp;sheet=U0&amp;row=5124&amp;col=6&amp;number=3&amp;sourceID=14","3")</f>
        <v>3</v>
      </c>
      <c r="G5124" s="4" t="str">
        <f>HYPERLINK("http://141.218.60.56/~jnz1568/getInfo.php?workbook=14_04.xlsx&amp;sheet=U0&amp;row=5124&amp;col=7&amp;number=0.0109&amp;sourceID=14","0.0109")</f>
        <v>0.0109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HYPERLINK("http://141.218.60.56/~jnz1568/getInfo.php?workbook=14_04.xlsx&amp;sheet=U0&amp;row=5125&amp;col=6&amp;number=3.1&amp;sourceID=14","3.1")</f>
        <v>3.1</v>
      </c>
      <c r="G5125" s="4" t="str">
        <f>HYPERLINK("http://141.218.60.56/~jnz1568/getInfo.php?workbook=14_04.xlsx&amp;sheet=U0&amp;row=5125&amp;col=7&amp;number=0.0109&amp;sourceID=14","0.0109")</f>
        <v>0.0109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HYPERLINK("http://141.218.60.56/~jnz1568/getInfo.php?workbook=14_04.xlsx&amp;sheet=U0&amp;row=5126&amp;col=6&amp;number=3.2&amp;sourceID=14","3.2")</f>
        <v>3.2</v>
      </c>
      <c r="G5126" s="4" t="str">
        <f>HYPERLINK("http://141.218.60.56/~jnz1568/getInfo.php?workbook=14_04.xlsx&amp;sheet=U0&amp;row=5126&amp;col=7&amp;number=0.0109&amp;sourceID=14","0.0109")</f>
        <v>0.0109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HYPERLINK("http://141.218.60.56/~jnz1568/getInfo.php?workbook=14_04.xlsx&amp;sheet=U0&amp;row=5127&amp;col=6&amp;number=3.3&amp;sourceID=14","3.3")</f>
        <v>3.3</v>
      </c>
      <c r="G5127" s="4" t="str">
        <f>HYPERLINK("http://141.218.60.56/~jnz1568/getInfo.php?workbook=14_04.xlsx&amp;sheet=U0&amp;row=5127&amp;col=7&amp;number=0.0109&amp;sourceID=14","0.0109")</f>
        <v>0.0109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HYPERLINK("http://141.218.60.56/~jnz1568/getInfo.php?workbook=14_04.xlsx&amp;sheet=U0&amp;row=5128&amp;col=6&amp;number=3.4&amp;sourceID=14","3.4")</f>
        <v>3.4</v>
      </c>
      <c r="G5128" s="4" t="str">
        <f>HYPERLINK("http://141.218.60.56/~jnz1568/getInfo.php?workbook=14_04.xlsx&amp;sheet=U0&amp;row=5128&amp;col=7&amp;number=0.0109&amp;sourceID=14","0.0109")</f>
        <v>0.0109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HYPERLINK("http://141.218.60.56/~jnz1568/getInfo.php?workbook=14_04.xlsx&amp;sheet=U0&amp;row=5129&amp;col=6&amp;number=3.5&amp;sourceID=14","3.5")</f>
        <v>3.5</v>
      </c>
      <c r="G5129" s="4" t="str">
        <f>HYPERLINK("http://141.218.60.56/~jnz1568/getInfo.php?workbook=14_04.xlsx&amp;sheet=U0&amp;row=5129&amp;col=7&amp;number=0.0109&amp;sourceID=14","0.0109")</f>
        <v>0.0109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HYPERLINK("http://141.218.60.56/~jnz1568/getInfo.php?workbook=14_04.xlsx&amp;sheet=U0&amp;row=5130&amp;col=6&amp;number=3.6&amp;sourceID=14","3.6")</f>
        <v>3.6</v>
      </c>
      <c r="G5130" s="4" t="str">
        <f>HYPERLINK("http://141.218.60.56/~jnz1568/getInfo.php?workbook=14_04.xlsx&amp;sheet=U0&amp;row=5130&amp;col=7&amp;number=0.0109&amp;sourceID=14","0.0109")</f>
        <v>0.0109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HYPERLINK("http://141.218.60.56/~jnz1568/getInfo.php?workbook=14_04.xlsx&amp;sheet=U0&amp;row=5131&amp;col=6&amp;number=3.7&amp;sourceID=14","3.7")</f>
        <v>3.7</v>
      </c>
      <c r="G5131" s="4" t="str">
        <f>HYPERLINK("http://141.218.60.56/~jnz1568/getInfo.php?workbook=14_04.xlsx&amp;sheet=U0&amp;row=5131&amp;col=7&amp;number=0.0109&amp;sourceID=14","0.0109")</f>
        <v>0.0109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HYPERLINK("http://141.218.60.56/~jnz1568/getInfo.php?workbook=14_04.xlsx&amp;sheet=U0&amp;row=5132&amp;col=6&amp;number=3.8&amp;sourceID=14","3.8")</f>
        <v>3.8</v>
      </c>
      <c r="G5132" s="4" t="str">
        <f>HYPERLINK("http://141.218.60.56/~jnz1568/getInfo.php?workbook=14_04.xlsx&amp;sheet=U0&amp;row=5132&amp;col=7&amp;number=0.0109&amp;sourceID=14","0.0109")</f>
        <v>0.0109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HYPERLINK("http://141.218.60.56/~jnz1568/getInfo.php?workbook=14_04.xlsx&amp;sheet=U0&amp;row=5133&amp;col=6&amp;number=3.9&amp;sourceID=14","3.9")</f>
        <v>3.9</v>
      </c>
      <c r="G5133" s="4" t="str">
        <f>HYPERLINK("http://141.218.60.56/~jnz1568/getInfo.php?workbook=14_04.xlsx&amp;sheet=U0&amp;row=5133&amp;col=7&amp;number=0.0109&amp;sourceID=14","0.0109")</f>
        <v>0.0109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HYPERLINK("http://141.218.60.56/~jnz1568/getInfo.php?workbook=14_04.xlsx&amp;sheet=U0&amp;row=5134&amp;col=6&amp;number=4&amp;sourceID=14","4")</f>
        <v>4</v>
      </c>
      <c r="G5134" s="4" t="str">
        <f>HYPERLINK("http://141.218.60.56/~jnz1568/getInfo.php?workbook=14_04.xlsx&amp;sheet=U0&amp;row=5134&amp;col=7&amp;number=0.0109&amp;sourceID=14","0.0109")</f>
        <v>0.0109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HYPERLINK("http://141.218.60.56/~jnz1568/getInfo.php?workbook=14_04.xlsx&amp;sheet=U0&amp;row=5135&amp;col=6&amp;number=4.1&amp;sourceID=14","4.1")</f>
        <v>4.1</v>
      </c>
      <c r="G5135" s="4" t="str">
        <f>HYPERLINK("http://141.218.60.56/~jnz1568/getInfo.php?workbook=14_04.xlsx&amp;sheet=U0&amp;row=5135&amp;col=7&amp;number=0.0109&amp;sourceID=14","0.0109")</f>
        <v>0.0109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HYPERLINK("http://141.218.60.56/~jnz1568/getInfo.php?workbook=14_04.xlsx&amp;sheet=U0&amp;row=5136&amp;col=6&amp;number=4.2&amp;sourceID=14","4.2")</f>
        <v>4.2</v>
      </c>
      <c r="G5136" s="4" t="str">
        <f>HYPERLINK("http://141.218.60.56/~jnz1568/getInfo.php?workbook=14_04.xlsx&amp;sheet=U0&amp;row=5136&amp;col=7&amp;number=0.0109&amp;sourceID=14","0.0109")</f>
        <v>0.0109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HYPERLINK("http://141.218.60.56/~jnz1568/getInfo.php?workbook=14_04.xlsx&amp;sheet=U0&amp;row=5137&amp;col=6&amp;number=4.3&amp;sourceID=14","4.3")</f>
        <v>4.3</v>
      </c>
      <c r="G5137" s="4" t="str">
        <f>HYPERLINK("http://141.218.60.56/~jnz1568/getInfo.php?workbook=14_04.xlsx&amp;sheet=U0&amp;row=5137&amp;col=7&amp;number=0.0109&amp;sourceID=14","0.0109")</f>
        <v>0.0109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HYPERLINK("http://141.218.60.56/~jnz1568/getInfo.php?workbook=14_04.xlsx&amp;sheet=U0&amp;row=5138&amp;col=6&amp;number=4.4&amp;sourceID=14","4.4")</f>
        <v>4.4</v>
      </c>
      <c r="G5138" s="4" t="str">
        <f>HYPERLINK("http://141.218.60.56/~jnz1568/getInfo.php?workbook=14_04.xlsx&amp;sheet=U0&amp;row=5138&amp;col=7&amp;number=0.0109&amp;sourceID=14","0.0109")</f>
        <v>0.0109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HYPERLINK("http://141.218.60.56/~jnz1568/getInfo.php?workbook=14_04.xlsx&amp;sheet=U0&amp;row=5139&amp;col=6&amp;number=4.5&amp;sourceID=14","4.5")</f>
        <v>4.5</v>
      </c>
      <c r="G5139" s="4" t="str">
        <f>HYPERLINK("http://141.218.60.56/~jnz1568/getInfo.php?workbook=14_04.xlsx&amp;sheet=U0&amp;row=5139&amp;col=7&amp;number=0.0109&amp;sourceID=14","0.0109")</f>
        <v>0.0109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HYPERLINK("http://141.218.60.56/~jnz1568/getInfo.php?workbook=14_04.xlsx&amp;sheet=U0&amp;row=5140&amp;col=6&amp;number=4.6&amp;sourceID=14","4.6")</f>
        <v>4.6</v>
      </c>
      <c r="G5140" s="4" t="str">
        <f>HYPERLINK("http://141.218.60.56/~jnz1568/getInfo.php?workbook=14_04.xlsx&amp;sheet=U0&amp;row=5140&amp;col=7&amp;number=0.0109&amp;sourceID=14","0.0109")</f>
        <v>0.0109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HYPERLINK("http://141.218.60.56/~jnz1568/getInfo.php?workbook=14_04.xlsx&amp;sheet=U0&amp;row=5141&amp;col=6&amp;number=4.7&amp;sourceID=14","4.7")</f>
        <v>4.7</v>
      </c>
      <c r="G5141" s="4" t="str">
        <f>HYPERLINK("http://141.218.60.56/~jnz1568/getInfo.php?workbook=14_04.xlsx&amp;sheet=U0&amp;row=5141&amp;col=7&amp;number=0.0109&amp;sourceID=14","0.0109")</f>
        <v>0.0109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HYPERLINK("http://141.218.60.56/~jnz1568/getInfo.php?workbook=14_04.xlsx&amp;sheet=U0&amp;row=5142&amp;col=6&amp;number=4.8&amp;sourceID=14","4.8")</f>
        <v>4.8</v>
      </c>
      <c r="G5142" s="4" t="str">
        <f>HYPERLINK("http://141.218.60.56/~jnz1568/getInfo.php?workbook=14_04.xlsx&amp;sheet=U0&amp;row=5142&amp;col=7&amp;number=0.0109&amp;sourceID=14","0.0109")</f>
        <v>0.0109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HYPERLINK("http://141.218.60.56/~jnz1568/getInfo.php?workbook=14_04.xlsx&amp;sheet=U0&amp;row=5143&amp;col=6&amp;number=4.9&amp;sourceID=14","4.9")</f>
        <v>4.9</v>
      </c>
      <c r="G5143" s="4" t="str">
        <f>HYPERLINK("http://141.218.60.56/~jnz1568/getInfo.php?workbook=14_04.xlsx&amp;sheet=U0&amp;row=5143&amp;col=7&amp;number=0.0109&amp;sourceID=14","0.0109")</f>
        <v>0.0109</v>
      </c>
    </row>
    <row r="5144" spans="1:7">
      <c r="A5144" s="3">
        <v>14</v>
      </c>
      <c r="B5144" s="3">
        <v>4</v>
      </c>
      <c r="C5144" s="3">
        <v>3</v>
      </c>
      <c r="D5144" s="3">
        <v>59</v>
      </c>
      <c r="E5144" s="3">
        <v>1</v>
      </c>
      <c r="F5144" s="4" t="str">
        <f>HYPERLINK("http://141.218.60.56/~jnz1568/getInfo.php?workbook=14_04.xlsx&amp;sheet=U0&amp;row=5144&amp;col=6&amp;number=3&amp;sourceID=14","3")</f>
        <v>3</v>
      </c>
      <c r="G5144" s="4" t="str">
        <f>HYPERLINK("http://141.218.60.56/~jnz1568/getInfo.php?workbook=14_04.xlsx&amp;sheet=U0&amp;row=5144&amp;col=7&amp;number=0.000466&amp;sourceID=14","0.000466")</f>
        <v>0.000466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HYPERLINK("http://141.218.60.56/~jnz1568/getInfo.php?workbook=14_04.xlsx&amp;sheet=U0&amp;row=5145&amp;col=6&amp;number=3.1&amp;sourceID=14","3.1")</f>
        <v>3.1</v>
      </c>
      <c r="G5145" s="4" t="str">
        <f>HYPERLINK("http://141.218.60.56/~jnz1568/getInfo.php?workbook=14_04.xlsx&amp;sheet=U0&amp;row=5145&amp;col=7&amp;number=0.000466&amp;sourceID=14","0.000466")</f>
        <v>0.000466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HYPERLINK("http://141.218.60.56/~jnz1568/getInfo.php?workbook=14_04.xlsx&amp;sheet=U0&amp;row=5146&amp;col=6&amp;number=3.2&amp;sourceID=14","3.2")</f>
        <v>3.2</v>
      </c>
      <c r="G5146" s="4" t="str">
        <f>HYPERLINK("http://141.218.60.56/~jnz1568/getInfo.php?workbook=14_04.xlsx&amp;sheet=U0&amp;row=5146&amp;col=7&amp;number=0.000466&amp;sourceID=14","0.000466")</f>
        <v>0.000466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HYPERLINK("http://141.218.60.56/~jnz1568/getInfo.php?workbook=14_04.xlsx&amp;sheet=U0&amp;row=5147&amp;col=6&amp;number=3.3&amp;sourceID=14","3.3")</f>
        <v>3.3</v>
      </c>
      <c r="G5147" s="4" t="str">
        <f>HYPERLINK("http://141.218.60.56/~jnz1568/getInfo.php?workbook=14_04.xlsx&amp;sheet=U0&amp;row=5147&amp;col=7&amp;number=0.000466&amp;sourceID=14","0.000466")</f>
        <v>0.000466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HYPERLINK("http://141.218.60.56/~jnz1568/getInfo.php?workbook=14_04.xlsx&amp;sheet=U0&amp;row=5148&amp;col=6&amp;number=3.4&amp;sourceID=14","3.4")</f>
        <v>3.4</v>
      </c>
      <c r="G5148" s="4" t="str">
        <f>HYPERLINK("http://141.218.60.56/~jnz1568/getInfo.php?workbook=14_04.xlsx&amp;sheet=U0&amp;row=5148&amp;col=7&amp;number=0.000466&amp;sourceID=14","0.000466")</f>
        <v>0.000466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HYPERLINK("http://141.218.60.56/~jnz1568/getInfo.php?workbook=14_04.xlsx&amp;sheet=U0&amp;row=5149&amp;col=6&amp;number=3.5&amp;sourceID=14","3.5")</f>
        <v>3.5</v>
      </c>
      <c r="G5149" s="4" t="str">
        <f>HYPERLINK("http://141.218.60.56/~jnz1568/getInfo.php?workbook=14_04.xlsx&amp;sheet=U0&amp;row=5149&amp;col=7&amp;number=0.000466&amp;sourceID=14","0.000466")</f>
        <v>0.000466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HYPERLINK("http://141.218.60.56/~jnz1568/getInfo.php?workbook=14_04.xlsx&amp;sheet=U0&amp;row=5150&amp;col=6&amp;number=3.6&amp;sourceID=14","3.6")</f>
        <v>3.6</v>
      </c>
      <c r="G5150" s="4" t="str">
        <f>HYPERLINK("http://141.218.60.56/~jnz1568/getInfo.php?workbook=14_04.xlsx&amp;sheet=U0&amp;row=5150&amp;col=7&amp;number=0.000465&amp;sourceID=14","0.000465")</f>
        <v>0.000465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HYPERLINK("http://141.218.60.56/~jnz1568/getInfo.php?workbook=14_04.xlsx&amp;sheet=U0&amp;row=5151&amp;col=6&amp;number=3.7&amp;sourceID=14","3.7")</f>
        <v>3.7</v>
      </c>
      <c r="G5151" s="4" t="str">
        <f>HYPERLINK("http://141.218.60.56/~jnz1568/getInfo.php?workbook=14_04.xlsx&amp;sheet=U0&amp;row=5151&amp;col=7&amp;number=0.000465&amp;sourceID=14","0.000465")</f>
        <v>0.000465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HYPERLINK("http://141.218.60.56/~jnz1568/getInfo.php?workbook=14_04.xlsx&amp;sheet=U0&amp;row=5152&amp;col=6&amp;number=3.8&amp;sourceID=14","3.8")</f>
        <v>3.8</v>
      </c>
      <c r="G5152" s="4" t="str">
        <f>HYPERLINK("http://141.218.60.56/~jnz1568/getInfo.php?workbook=14_04.xlsx&amp;sheet=U0&amp;row=5152&amp;col=7&amp;number=0.000465&amp;sourceID=14","0.000465")</f>
        <v>0.000465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HYPERLINK("http://141.218.60.56/~jnz1568/getInfo.php?workbook=14_04.xlsx&amp;sheet=U0&amp;row=5153&amp;col=6&amp;number=3.9&amp;sourceID=14","3.9")</f>
        <v>3.9</v>
      </c>
      <c r="G5153" s="4" t="str">
        <f>HYPERLINK("http://141.218.60.56/~jnz1568/getInfo.php?workbook=14_04.xlsx&amp;sheet=U0&amp;row=5153&amp;col=7&amp;number=0.000465&amp;sourceID=14","0.000465")</f>
        <v>0.000465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HYPERLINK("http://141.218.60.56/~jnz1568/getInfo.php?workbook=14_04.xlsx&amp;sheet=U0&amp;row=5154&amp;col=6&amp;number=4&amp;sourceID=14","4")</f>
        <v>4</v>
      </c>
      <c r="G5154" s="4" t="str">
        <f>HYPERLINK("http://141.218.60.56/~jnz1568/getInfo.php?workbook=14_04.xlsx&amp;sheet=U0&amp;row=5154&amp;col=7&amp;number=0.000465&amp;sourceID=14","0.000465")</f>
        <v>0.000465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HYPERLINK("http://141.218.60.56/~jnz1568/getInfo.php?workbook=14_04.xlsx&amp;sheet=U0&amp;row=5155&amp;col=6&amp;number=4.1&amp;sourceID=14","4.1")</f>
        <v>4.1</v>
      </c>
      <c r="G5155" s="4" t="str">
        <f>HYPERLINK("http://141.218.60.56/~jnz1568/getInfo.php?workbook=14_04.xlsx&amp;sheet=U0&amp;row=5155&amp;col=7&amp;number=0.000465&amp;sourceID=14","0.000465")</f>
        <v>0.000465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HYPERLINK("http://141.218.60.56/~jnz1568/getInfo.php?workbook=14_04.xlsx&amp;sheet=U0&amp;row=5156&amp;col=6&amp;number=4.2&amp;sourceID=14","4.2")</f>
        <v>4.2</v>
      </c>
      <c r="G5156" s="4" t="str">
        <f>HYPERLINK("http://141.218.60.56/~jnz1568/getInfo.php?workbook=14_04.xlsx&amp;sheet=U0&amp;row=5156&amp;col=7&amp;number=0.000465&amp;sourceID=14","0.000465")</f>
        <v>0.000465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HYPERLINK("http://141.218.60.56/~jnz1568/getInfo.php?workbook=14_04.xlsx&amp;sheet=U0&amp;row=5157&amp;col=6&amp;number=4.3&amp;sourceID=14","4.3")</f>
        <v>4.3</v>
      </c>
      <c r="G5157" s="4" t="str">
        <f>HYPERLINK("http://141.218.60.56/~jnz1568/getInfo.php?workbook=14_04.xlsx&amp;sheet=U0&amp;row=5157&amp;col=7&amp;number=0.000464&amp;sourceID=14","0.000464")</f>
        <v>0.000464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HYPERLINK("http://141.218.60.56/~jnz1568/getInfo.php?workbook=14_04.xlsx&amp;sheet=U0&amp;row=5158&amp;col=6&amp;number=4.4&amp;sourceID=14","4.4")</f>
        <v>4.4</v>
      </c>
      <c r="G5158" s="4" t="str">
        <f>HYPERLINK("http://141.218.60.56/~jnz1568/getInfo.php?workbook=14_04.xlsx&amp;sheet=U0&amp;row=5158&amp;col=7&amp;number=0.000464&amp;sourceID=14","0.000464")</f>
        <v>0.000464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HYPERLINK("http://141.218.60.56/~jnz1568/getInfo.php?workbook=14_04.xlsx&amp;sheet=U0&amp;row=5159&amp;col=6&amp;number=4.5&amp;sourceID=14","4.5")</f>
        <v>4.5</v>
      </c>
      <c r="G5159" s="4" t="str">
        <f>HYPERLINK("http://141.218.60.56/~jnz1568/getInfo.php?workbook=14_04.xlsx&amp;sheet=U0&amp;row=5159&amp;col=7&amp;number=0.000464&amp;sourceID=14","0.000464")</f>
        <v>0.000464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HYPERLINK("http://141.218.60.56/~jnz1568/getInfo.php?workbook=14_04.xlsx&amp;sheet=U0&amp;row=5160&amp;col=6&amp;number=4.6&amp;sourceID=14","4.6")</f>
        <v>4.6</v>
      </c>
      <c r="G5160" s="4" t="str">
        <f>HYPERLINK("http://141.218.60.56/~jnz1568/getInfo.php?workbook=14_04.xlsx&amp;sheet=U0&amp;row=5160&amp;col=7&amp;number=0.000463&amp;sourceID=14","0.000463")</f>
        <v>0.000463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HYPERLINK("http://141.218.60.56/~jnz1568/getInfo.php?workbook=14_04.xlsx&amp;sheet=U0&amp;row=5161&amp;col=6&amp;number=4.7&amp;sourceID=14","4.7")</f>
        <v>4.7</v>
      </c>
      <c r="G5161" s="4" t="str">
        <f>HYPERLINK("http://141.218.60.56/~jnz1568/getInfo.php?workbook=14_04.xlsx&amp;sheet=U0&amp;row=5161&amp;col=7&amp;number=0.000463&amp;sourceID=14","0.000463")</f>
        <v>0.000463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HYPERLINK("http://141.218.60.56/~jnz1568/getInfo.php?workbook=14_04.xlsx&amp;sheet=U0&amp;row=5162&amp;col=6&amp;number=4.8&amp;sourceID=14","4.8")</f>
        <v>4.8</v>
      </c>
      <c r="G5162" s="4" t="str">
        <f>HYPERLINK("http://141.218.60.56/~jnz1568/getInfo.php?workbook=14_04.xlsx&amp;sheet=U0&amp;row=5162&amp;col=7&amp;number=0.000462&amp;sourceID=14","0.000462")</f>
        <v>0.000462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HYPERLINK("http://141.218.60.56/~jnz1568/getInfo.php?workbook=14_04.xlsx&amp;sheet=U0&amp;row=5163&amp;col=6&amp;number=4.9&amp;sourceID=14","4.9")</f>
        <v>4.9</v>
      </c>
      <c r="G5163" s="4" t="str">
        <f>HYPERLINK("http://141.218.60.56/~jnz1568/getInfo.php?workbook=14_04.xlsx&amp;sheet=U0&amp;row=5163&amp;col=7&amp;number=0.000461&amp;sourceID=14","0.000461")</f>
        <v>0.000461</v>
      </c>
    </row>
    <row r="5164" spans="1:7">
      <c r="A5164" s="3">
        <v>14</v>
      </c>
      <c r="B5164" s="3">
        <v>4</v>
      </c>
      <c r="C5164" s="3">
        <v>3</v>
      </c>
      <c r="D5164" s="3">
        <v>60</v>
      </c>
      <c r="E5164" s="3">
        <v>1</v>
      </c>
      <c r="F5164" s="4" t="str">
        <f>HYPERLINK("http://141.218.60.56/~jnz1568/getInfo.php?workbook=14_04.xlsx&amp;sheet=U0&amp;row=5164&amp;col=6&amp;number=3&amp;sourceID=14","3")</f>
        <v>3</v>
      </c>
      <c r="G5164" s="4" t="str">
        <f>HYPERLINK("http://141.218.60.56/~jnz1568/getInfo.php?workbook=14_04.xlsx&amp;sheet=U0&amp;row=5164&amp;col=7&amp;number=0.00122&amp;sourceID=14","0.00122")</f>
        <v>0.00122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HYPERLINK("http://141.218.60.56/~jnz1568/getInfo.php?workbook=14_04.xlsx&amp;sheet=U0&amp;row=5165&amp;col=6&amp;number=3.1&amp;sourceID=14","3.1")</f>
        <v>3.1</v>
      </c>
      <c r="G5165" s="4" t="str">
        <f>HYPERLINK("http://141.218.60.56/~jnz1568/getInfo.php?workbook=14_04.xlsx&amp;sheet=U0&amp;row=5165&amp;col=7&amp;number=0.00122&amp;sourceID=14","0.00122")</f>
        <v>0.00122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HYPERLINK("http://141.218.60.56/~jnz1568/getInfo.php?workbook=14_04.xlsx&amp;sheet=U0&amp;row=5166&amp;col=6&amp;number=3.2&amp;sourceID=14","3.2")</f>
        <v>3.2</v>
      </c>
      <c r="G5166" s="4" t="str">
        <f>HYPERLINK("http://141.218.60.56/~jnz1568/getInfo.php?workbook=14_04.xlsx&amp;sheet=U0&amp;row=5166&amp;col=7&amp;number=0.00122&amp;sourceID=14","0.00122")</f>
        <v>0.00122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HYPERLINK("http://141.218.60.56/~jnz1568/getInfo.php?workbook=14_04.xlsx&amp;sheet=U0&amp;row=5167&amp;col=6&amp;number=3.3&amp;sourceID=14","3.3")</f>
        <v>3.3</v>
      </c>
      <c r="G5167" s="4" t="str">
        <f>HYPERLINK("http://141.218.60.56/~jnz1568/getInfo.php?workbook=14_04.xlsx&amp;sheet=U0&amp;row=5167&amp;col=7&amp;number=0.00122&amp;sourceID=14","0.00122")</f>
        <v>0.00122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HYPERLINK("http://141.218.60.56/~jnz1568/getInfo.php?workbook=14_04.xlsx&amp;sheet=U0&amp;row=5168&amp;col=6&amp;number=3.4&amp;sourceID=14","3.4")</f>
        <v>3.4</v>
      </c>
      <c r="G5168" s="4" t="str">
        <f>HYPERLINK("http://141.218.60.56/~jnz1568/getInfo.php?workbook=14_04.xlsx&amp;sheet=U0&amp;row=5168&amp;col=7&amp;number=0.00122&amp;sourceID=14","0.00122")</f>
        <v>0.00122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HYPERLINK("http://141.218.60.56/~jnz1568/getInfo.php?workbook=14_04.xlsx&amp;sheet=U0&amp;row=5169&amp;col=6&amp;number=3.5&amp;sourceID=14","3.5")</f>
        <v>3.5</v>
      </c>
      <c r="G5169" s="4" t="str">
        <f>HYPERLINK("http://141.218.60.56/~jnz1568/getInfo.php?workbook=14_04.xlsx&amp;sheet=U0&amp;row=5169&amp;col=7&amp;number=0.00122&amp;sourceID=14","0.00122")</f>
        <v>0.00122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HYPERLINK("http://141.218.60.56/~jnz1568/getInfo.php?workbook=14_04.xlsx&amp;sheet=U0&amp;row=5170&amp;col=6&amp;number=3.6&amp;sourceID=14","3.6")</f>
        <v>3.6</v>
      </c>
      <c r="G5170" s="4" t="str">
        <f>HYPERLINK("http://141.218.60.56/~jnz1568/getInfo.php?workbook=14_04.xlsx&amp;sheet=U0&amp;row=5170&amp;col=7&amp;number=0.00122&amp;sourceID=14","0.00122")</f>
        <v>0.00122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HYPERLINK("http://141.218.60.56/~jnz1568/getInfo.php?workbook=14_04.xlsx&amp;sheet=U0&amp;row=5171&amp;col=6&amp;number=3.7&amp;sourceID=14","3.7")</f>
        <v>3.7</v>
      </c>
      <c r="G5171" s="4" t="str">
        <f>HYPERLINK("http://141.218.60.56/~jnz1568/getInfo.php?workbook=14_04.xlsx&amp;sheet=U0&amp;row=5171&amp;col=7&amp;number=0.00122&amp;sourceID=14","0.00122")</f>
        <v>0.00122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HYPERLINK("http://141.218.60.56/~jnz1568/getInfo.php?workbook=14_04.xlsx&amp;sheet=U0&amp;row=5172&amp;col=6&amp;number=3.8&amp;sourceID=14","3.8")</f>
        <v>3.8</v>
      </c>
      <c r="G5172" s="4" t="str">
        <f>HYPERLINK("http://141.218.60.56/~jnz1568/getInfo.php?workbook=14_04.xlsx&amp;sheet=U0&amp;row=5172&amp;col=7&amp;number=0.00122&amp;sourceID=14","0.00122")</f>
        <v>0.00122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HYPERLINK("http://141.218.60.56/~jnz1568/getInfo.php?workbook=14_04.xlsx&amp;sheet=U0&amp;row=5173&amp;col=6&amp;number=3.9&amp;sourceID=14","3.9")</f>
        <v>3.9</v>
      </c>
      <c r="G5173" s="4" t="str">
        <f>HYPERLINK("http://141.218.60.56/~jnz1568/getInfo.php?workbook=14_04.xlsx&amp;sheet=U0&amp;row=5173&amp;col=7&amp;number=0.00122&amp;sourceID=14","0.00122")</f>
        <v>0.00122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HYPERLINK("http://141.218.60.56/~jnz1568/getInfo.php?workbook=14_04.xlsx&amp;sheet=U0&amp;row=5174&amp;col=6&amp;number=4&amp;sourceID=14","4")</f>
        <v>4</v>
      </c>
      <c r="G5174" s="4" t="str">
        <f>HYPERLINK("http://141.218.60.56/~jnz1568/getInfo.php?workbook=14_04.xlsx&amp;sheet=U0&amp;row=5174&amp;col=7&amp;number=0.00122&amp;sourceID=14","0.00122")</f>
        <v>0.00122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HYPERLINK("http://141.218.60.56/~jnz1568/getInfo.php?workbook=14_04.xlsx&amp;sheet=U0&amp;row=5175&amp;col=6&amp;number=4.1&amp;sourceID=14","4.1")</f>
        <v>4.1</v>
      </c>
      <c r="G5175" s="4" t="str">
        <f>HYPERLINK("http://141.218.60.56/~jnz1568/getInfo.php?workbook=14_04.xlsx&amp;sheet=U0&amp;row=5175&amp;col=7&amp;number=0.00122&amp;sourceID=14","0.00122")</f>
        <v>0.00122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HYPERLINK("http://141.218.60.56/~jnz1568/getInfo.php?workbook=14_04.xlsx&amp;sheet=U0&amp;row=5176&amp;col=6&amp;number=4.2&amp;sourceID=14","4.2")</f>
        <v>4.2</v>
      </c>
      <c r="G5176" s="4" t="str">
        <f>HYPERLINK("http://141.218.60.56/~jnz1568/getInfo.php?workbook=14_04.xlsx&amp;sheet=U0&amp;row=5176&amp;col=7&amp;number=0.00122&amp;sourceID=14","0.00122")</f>
        <v>0.00122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HYPERLINK("http://141.218.60.56/~jnz1568/getInfo.php?workbook=14_04.xlsx&amp;sheet=U0&amp;row=5177&amp;col=6&amp;number=4.3&amp;sourceID=14","4.3")</f>
        <v>4.3</v>
      </c>
      <c r="G5177" s="4" t="str">
        <f>HYPERLINK("http://141.218.60.56/~jnz1568/getInfo.php?workbook=14_04.xlsx&amp;sheet=U0&amp;row=5177&amp;col=7&amp;number=0.00122&amp;sourceID=14","0.00122")</f>
        <v>0.00122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HYPERLINK("http://141.218.60.56/~jnz1568/getInfo.php?workbook=14_04.xlsx&amp;sheet=U0&amp;row=5178&amp;col=6&amp;number=4.4&amp;sourceID=14","4.4")</f>
        <v>4.4</v>
      </c>
      <c r="G5178" s="4" t="str">
        <f>HYPERLINK("http://141.218.60.56/~jnz1568/getInfo.php?workbook=14_04.xlsx&amp;sheet=U0&amp;row=5178&amp;col=7&amp;number=0.00122&amp;sourceID=14","0.00122")</f>
        <v>0.00122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HYPERLINK("http://141.218.60.56/~jnz1568/getInfo.php?workbook=14_04.xlsx&amp;sheet=U0&amp;row=5179&amp;col=6&amp;number=4.5&amp;sourceID=14","4.5")</f>
        <v>4.5</v>
      </c>
      <c r="G5179" s="4" t="str">
        <f>HYPERLINK("http://141.218.60.56/~jnz1568/getInfo.php?workbook=14_04.xlsx&amp;sheet=U0&amp;row=5179&amp;col=7&amp;number=0.00122&amp;sourceID=14","0.00122")</f>
        <v>0.00122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HYPERLINK("http://141.218.60.56/~jnz1568/getInfo.php?workbook=14_04.xlsx&amp;sheet=U0&amp;row=5180&amp;col=6&amp;number=4.6&amp;sourceID=14","4.6")</f>
        <v>4.6</v>
      </c>
      <c r="G5180" s="4" t="str">
        <f>HYPERLINK("http://141.218.60.56/~jnz1568/getInfo.php?workbook=14_04.xlsx&amp;sheet=U0&amp;row=5180&amp;col=7&amp;number=0.00122&amp;sourceID=14","0.00122")</f>
        <v>0.00122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HYPERLINK("http://141.218.60.56/~jnz1568/getInfo.php?workbook=14_04.xlsx&amp;sheet=U0&amp;row=5181&amp;col=6&amp;number=4.7&amp;sourceID=14","4.7")</f>
        <v>4.7</v>
      </c>
      <c r="G5181" s="4" t="str">
        <f>HYPERLINK("http://141.218.60.56/~jnz1568/getInfo.php?workbook=14_04.xlsx&amp;sheet=U0&amp;row=5181&amp;col=7&amp;number=0.00122&amp;sourceID=14","0.00122")</f>
        <v>0.00122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HYPERLINK("http://141.218.60.56/~jnz1568/getInfo.php?workbook=14_04.xlsx&amp;sheet=U0&amp;row=5182&amp;col=6&amp;number=4.8&amp;sourceID=14","4.8")</f>
        <v>4.8</v>
      </c>
      <c r="G5182" s="4" t="str">
        <f>HYPERLINK("http://141.218.60.56/~jnz1568/getInfo.php?workbook=14_04.xlsx&amp;sheet=U0&amp;row=5182&amp;col=7&amp;number=0.00122&amp;sourceID=14","0.00122")</f>
        <v>0.00122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HYPERLINK("http://141.218.60.56/~jnz1568/getInfo.php?workbook=14_04.xlsx&amp;sheet=U0&amp;row=5183&amp;col=6&amp;number=4.9&amp;sourceID=14","4.9")</f>
        <v>4.9</v>
      </c>
      <c r="G5183" s="4" t="str">
        <f>HYPERLINK("http://141.218.60.56/~jnz1568/getInfo.php?workbook=14_04.xlsx&amp;sheet=U0&amp;row=5183&amp;col=7&amp;number=0.00122&amp;sourceID=14","0.00122")</f>
        <v>0.00122</v>
      </c>
    </row>
    <row r="5184" spans="1:7">
      <c r="A5184" s="3">
        <v>14</v>
      </c>
      <c r="B5184" s="3">
        <v>4</v>
      </c>
      <c r="C5184" s="3">
        <v>3</v>
      </c>
      <c r="D5184" s="3">
        <v>61</v>
      </c>
      <c r="E5184" s="3">
        <v>1</v>
      </c>
      <c r="F5184" s="4" t="str">
        <f>HYPERLINK("http://141.218.60.56/~jnz1568/getInfo.php?workbook=14_04.xlsx&amp;sheet=U0&amp;row=5184&amp;col=6&amp;number=3&amp;sourceID=14","3")</f>
        <v>3</v>
      </c>
      <c r="G5184" s="4" t="str">
        <f>HYPERLINK("http://141.218.60.56/~jnz1568/getInfo.php?workbook=14_04.xlsx&amp;sheet=U0&amp;row=5184&amp;col=7&amp;number=0.00128&amp;sourceID=14","0.00128")</f>
        <v>0.00128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HYPERLINK("http://141.218.60.56/~jnz1568/getInfo.php?workbook=14_04.xlsx&amp;sheet=U0&amp;row=5185&amp;col=6&amp;number=3.1&amp;sourceID=14","3.1")</f>
        <v>3.1</v>
      </c>
      <c r="G5185" s="4" t="str">
        <f>HYPERLINK("http://141.218.60.56/~jnz1568/getInfo.php?workbook=14_04.xlsx&amp;sheet=U0&amp;row=5185&amp;col=7&amp;number=0.00128&amp;sourceID=14","0.00128")</f>
        <v>0.00128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HYPERLINK("http://141.218.60.56/~jnz1568/getInfo.php?workbook=14_04.xlsx&amp;sheet=U0&amp;row=5186&amp;col=6&amp;number=3.2&amp;sourceID=14","3.2")</f>
        <v>3.2</v>
      </c>
      <c r="G5186" s="4" t="str">
        <f>HYPERLINK("http://141.218.60.56/~jnz1568/getInfo.php?workbook=14_04.xlsx&amp;sheet=U0&amp;row=5186&amp;col=7&amp;number=0.00128&amp;sourceID=14","0.00128")</f>
        <v>0.00128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HYPERLINK("http://141.218.60.56/~jnz1568/getInfo.php?workbook=14_04.xlsx&amp;sheet=U0&amp;row=5187&amp;col=6&amp;number=3.3&amp;sourceID=14","3.3")</f>
        <v>3.3</v>
      </c>
      <c r="G5187" s="4" t="str">
        <f>HYPERLINK("http://141.218.60.56/~jnz1568/getInfo.php?workbook=14_04.xlsx&amp;sheet=U0&amp;row=5187&amp;col=7&amp;number=0.00128&amp;sourceID=14","0.00128")</f>
        <v>0.00128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HYPERLINK("http://141.218.60.56/~jnz1568/getInfo.php?workbook=14_04.xlsx&amp;sheet=U0&amp;row=5188&amp;col=6&amp;number=3.4&amp;sourceID=14","3.4")</f>
        <v>3.4</v>
      </c>
      <c r="G5188" s="4" t="str">
        <f>HYPERLINK("http://141.218.60.56/~jnz1568/getInfo.php?workbook=14_04.xlsx&amp;sheet=U0&amp;row=5188&amp;col=7&amp;number=0.00128&amp;sourceID=14","0.00128")</f>
        <v>0.00128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HYPERLINK("http://141.218.60.56/~jnz1568/getInfo.php?workbook=14_04.xlsx&amp;sheet=U0&amp;row=5189&amp;col=6&amp;number=3.5&amp;sourceID=14","3.5")</f>
        <v>3.5</v>
      </c>
      <c r="G5189" s="4" t="str">
        <f>HYPERLINK("http://141.218.60.56/~jnz1568/getInfo.php?workbook=14_04.xlsx&amp;sheet=U0&amp;row=5189&amp;col=7&amp;number=0.00128&amp;sourceID=14","0.00128")</f>
        <v>0.00128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HYPERLINK("http://141.218.60.56/~jnz1568/getInfo.php?workbook=14_04.xlsx&amp;sheet=U0&amp;row=5190&amp;col=6&amp;number=3.6&amp;sourceID=14","3.6")</f>
        <v>3.6</v>
      </c>
      <c r="G5190" s="4" t="str">
        <f>HYPERLINK("http://141.218.60.56/~jnz1568/getInfo.php?workbook=14_04.xlsx&amp;sheet=U0&amp;row=5190&amp;col=7&amp;number=0.00128&amp;sourceID=14","0.00128")</f>
        <v>0.00128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HYPERLINK("http://141.218.60.56/~jnz1568/getInfo.php?workbook=14_04.xlsx&amp;sheet=U0&amp;row=5191&amp;col=6&amp;number=3.7&amp;sourceID=14","3.7")</f>
        <v>3.7</v>
      </c>
      <c r="G5191" s="4" t="str">
        <f>HYPERLINK("http://141.218.60.56/~jnz1568/getInfo.php?workbook=14_04.xlsx&amp;sheet=U0&amp;row=5191&amp;col=7&amp;number=0.00128&amp;sourceID=14","0.00128")</f>
        <v>0.00128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HYPERLINK("http://141.218.60.56/~jnz1568/getInfo.php?workbook=14_04.xlsx&amp;sheet=U0&amp;row=5192&amp;col=6&amp;number=3.8&amp;sourceID=14","3.8")</f>
        <v>3.8</v>
      </c>
      <c r="G5192" s="4" t="str">
        <f>HYPERLINK("http://141.218.60.56/~jnz1568/getInfo.php?workbook=14_04.xlsx&amp;sheet=U0&amp;row=5192&amp;col=7&amp;number=0.00128&amp;sourceID=14","0.00128")</f>
        <v>0.00128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HYPERLINK("http://141.218.60.56/~jnz1568/getInfo.php?workbook=14_04.xlsx&amp;sheet=U0&amp;row=5193&amp;col=6&amp;number=3.9&amp;sourceID=14","3.9")</f>
        <v>3.9</v>
      </c>
      <c r="G5193" s="4" t="str">
        <f>HYPERLINK("http://141.218.60.56/~jnz1568/getInfo.php?workbook=14_04.xlsx&amp;sheet=U0&amp;row=5193&amp;col=7&amp;number=0.00128&amp;sourceID=14","0.00128")</f>
        <v>0.00128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HYPERLINK("http://141.218.60.56/~jnz1568/getInfo.php?workbook=14_04.xlsx&amp;sheet=U0&amp;row=5194&amp;col=6&amp;number=4&amp;sourceID=14","4")</f>
        <v>4</v>
      </c>
      <c r="G5194" s="4" t="str">
        <f>HYPERLINK("http://141.218.60.56/~jnz1568/getInfo.php?workbook=14_04.xlsx&amp;sheet=U0&amp;row=5194&amp;col=7&amp;number=0.00128&amp;sourceID=14","0.00128")</f>
        <v>0.00128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HYPERLINK("http://141.218.60.56/~jnz1568/getInfo.php?workbook=14_04.xlsx&amp;sheet=U0&amp;row=5195&amp;col=6&amp;number=4.1&amp;sourceID=14","4.1")</f>
        <v>4.1</v>
      </c>
      <c r="G5195" s="4" t="str">
        <f>HYPERLINK("http://141.218.60.56/~jnz1568/getInfo.php?workbook=14_04.xlsx&amp;sheet=U0&amp;row=5195&amp;col=7&amp;number=0.00128&amp;sourceID=14","0.00128")</f>
        <v>0.00128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HYPERLINK("http://141.218.60.56/~jnz1568/getInfo.php?workbook=14_04.xlsx&amp;sheet=U0&amp;row=5196&amp;col=6&amp;number=4.2&amp;sourceID=14","4.2")</f>
        <v>4.2</v>
      </c>
      <c r="G5196" s="4" t="str">
        <f>HYPERLINK("http://141.218.60.56/~jnz1568/getInfo.php?workbook=14_04.xlsx&amp;sheet=U0&amp;row=5196&amp;col=7&amp;number=0.00128&amp;sourceID=14","0.00128")</f>
        <v>0.00128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HYPERLINK("http://141.218.60.56/~jnz1568/getInfo.php?workbook=14_04.xlsx&amp;sheet=U0&amp;row=5197&amp;col=6&amp;number=4.3&amp;sourceID=14","4.3")</f>
        <v>4.3</v>
      </c>
      <c r="G5197" s="4" t="str">
        <f>HYPERLINK("http://141.218.60.56/~jnz1568/getInfo.php?workbook=14_04.xlsx&amp;sheet=U0&amp;row=5197&amp;col=7&amp;number=0.00128&amp;sourceID=14","0.00128")</f>
        <v>0.00128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HYPERLINK("http://141.218.60.56/~jnz1568/getInfo.php?workbook=14_04.xlsx&amp;sheet=U0&amp;row=5198&amp;col=6&amp;number=4.4&amp;sourceID=14","4.4")</f>
        <v>4.4</v>
      </c>
      <c r="G5198" s="4" t="str">
        <f>HYPERLINK("http://141.218.60.56/~jnz1568/getInfo.php?workbook=14_04.xlsx&amp;sheet=U0&amp;row=5198&amp;col=7&amp;number=0.00128&amp;sourceID=14","0.00128")</f>
        <v>0.00128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HYPERLINK("http://141.218.60.56/~jnz1568/getInfo.php?workbook=14_04.xlsx&amp;sheet=U0&amp;row=5199&amp;col=6&amp;number=4.5&amp;sourceID=14","4.5")</f>
        <v>4.5</v>
      </c>
      <c r="G5199" s="4" t="str">
        <f>HYPERLINK("http://141.218.60.56/~jnz1568/getInfo.php?workbook=14_04.xlsx&amp;sheet=U0&amp;row=5199&amp;col=7&amp;number=0.00128&amp;sourceID=14","0.00128")</f>
        <v>0.00128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HYPERLINK("http://141.218.60.56/~jnz1568/getInfo.php?workbook=14_04.xlsx&amp;sheet=U0&amp;row=5200&amp;col=6&amp;number=4.6&amp;sourceID=14","4.6")</f>
        <v>4.6</v>
      </c>
      <c r="G5200" s="4" t="str">
        <f>HYPERLINK("http://141.218.60.56/~jnz1568/getInfo.php?workbook=14_04.xlsx&amp;sheet=U0&amp;row=5200&amp;col=7&amp;number=0.00128&amp;sourceID=14","0.00128")</f>
        <v>0.00128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HYPERLINK("http://141.218.60.56/~jnz1568/getInfo.php?workbook=14_04.xlsx&amp;sheet=U0&amp;row=5201&amp;col=6&amp;number=4.7&amp;sourceID=14","4.7")</f>
        <v>4.7</v>
      </c>
      <c r="G5201" s="4" t="str">
        <f>HYPERLINK("http://141.218.60.56/~jnz1568/getInfo.php?workbook=14_04.xlsx&amp;sheet=U0&amp;row=5201&amp;col=7&amp;number=0.00129&amp;sourceID=14","0.00129")</f>
        <v>0.00129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HYPERLINK("http://141.218.60.56/~jnz1568/getInfo.php?workbook=14_04.xlsx&amp;sheet=U0&amp;row=5202&amp;col=6&amp;number=4.8&amp;sourceID=14","4.8")</f>
        <v>4.8</v>
      </c>
      <c r="G5202" s="4" t="str">
        <f>HYPERLINK("http://141.218.60.56/~jnz1568/getInfo.php?workbook=14_04.xlsx&amp;sheet=U0&amp;row=5202&amp;col=7&amp;number=0.00129&amp;sourceID=14","0.00129")</f>
        <v>0.00129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HYPERLINK("http://141.218.60.56/~jnz1568/getInfo.php?workbook=14_04.xlsx&amp;sheet=U0&amp;row=5203&amp;col=6&amp;number=4.9&amp;sourceID=14","4.9")</f>
        <v>4.9</v>
      </c>
      <c r="G5203" s="4" t="str">
        <f>HYPERLINK("http://141.218.60.56/~jnz1568/getInfo.php?workbook=14_04.xlsx&amp;sheet=U0&amp;row=5203&amp;col=7&amp;number=0.00129&amp;sourceID=14","0.00129")</f>
        <v>0.00129</v>
      </c>
    </row>
    <row r="5204" spans="1:7">
      <c r="A5204" s="3">
        <v>14</v>
      </c>
      <c r="B5204" s="3">
        <v>4</v>
      </c>
      <c r="C5204" s="3">
        <v>3</v>
      </c>
      <c r="D5204" s="3">
        <v>62</v>
      </c>
      <c r="E5204" s="3">
        <v>1</v>
      </c>
      <c r="F5204" s="4" t="str">
        <f>HYPERLINK("http://141.218.60.56/~jnz1568/getInfo.php?workbook=14_04.xlsx&amp;sheet=U0&amp;row=5204&amp;col=6&amp;number=3&amp;sourceID=14","3")</f>
        <v>3</v>
      </c>
      <c r="G5204" s="4" t="str">
        <f>HYPERLINK("http://141.218.60.56/~jnz1568/getInfo.php?workbook=14_04.xlsx&amp;sheet=U0&amp;row=5204&amp;col=7&amp;number=0.000911&amp;sourceID=14","0.000911")</f>
        <v>0.000911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HYPERLINK("http://141.218.60.56/~jnz1568/getInfo.php?workbook=14_04.xlsx&amp;sheet=U0&amp;row=5205&amp;col=6&amp;number=3.1&amp;sourceID=14","3.1")</f>
        <v>3.1</v>
      </c>
      <c r="G5205" s="4" t="str">
        <f>HYPERLINK("http://141.218.60.56/~jnz1568/getInfo.php?workbook=14_04.xlsx&amp;sheet=U0&amp;row=5205&amp;col=7&amp;number=0.000911&amp;sourceID=14","0.000911")</f>
        <v>0.000911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HYPERLINK("http://141.218.60.56/~jnz1568/getInfo.php?workbook=14_04.xlsx&amp;sheet=U0&amp;row=5206&amp;col=6&amp;number=3.2&amp;sourceID=14","3.2")</f>
        <v>3.2</v>
      </c>
      <c r="G5206" s="4" t="str">
        <f>HYPERLINK("http://141.218.60.56/~jnz1568/getInfo.php?workbook=14_04.xlsx&amp;sheet=U0&amp;row=5206&amp;col=7&amp;number=0.000911&amp;sourceID=14","0.000911")</f>
        <v>0.000911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HYPERLINK("http://141.218.60.56/~jnz1568/getInfo.php?workbook=14_04.xlsx&amp;sheet=U0&amp;row=5207&amp;col=6&amp;number=3.3&amp;sourceID=14","3.3")</f>
        <v>3.3</v>
      </c>
      <c r="G5207" s="4" t="str">
        <f>HYPERLINK("http://141.218.60.56/~jnz1568/getInfo.php?workbook=14_04.xlsx&amp;sheet=U0&amp;row=5207&amp;col=7&amp;number=0.000911&amp;sourceID=14","0.000911")</f>
        <v>0.000911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HYPERLINK("http://141.218.60.56/~jnz1568/getInfo.php?workbook=14_04.xlsx&amp;sheet=U0&amp;row=5208&amp;col=6&amp;number=3.4&amp;sourceID=14","3.4")</f>
        <v>3.4</v>
      </c>
      <c r="G5208" s="4" t="str">
        <f>HYPERLINK("http://141.218.60.56/~jnz1568/getInfo.php?workbook=14_04.xlsx&amp;sheet=U0&amp;row=5208&amp;col=7&amp;number=0.000911&amp;sourceID=14","0.000911")</f>
        <v>0.000911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HYPERLINK("http://141.218.60.56/~jnz1568/getInfo.php?workbook=14_04.xlsx&amp;sheet=U0&amp;row=5209&amp;col=6&amp;number=3.5&amp;sourceID=14","3.5")</f>
        <v>3.5</v>
      </c>
      <c r="G5209" s="4" t="str">
        <f>HYPERLINK("http://141.218.60.56/~jnz1568/getInfo.php?workbook=14_04.xlsx&amp;sheet=U0&amp;row=5209&amp;col=7&amp;number=0.000911&amp;sourceID=14","0.000911")</f>
        <v>0.000911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HYPERLINK("http://141.218.60.56/~jnz1568/getInfo.php?workbook=14_04.xlsx&amp;sheet=U0&amp;row=5210&amp;col=6&amp;number=3.6&amp;sourceID=14","3.6")</f>
        <v>3.6</v>
      </c>
      <c r="G5210" s="4" t="str">
        <f>HYPERLINK("http://141.218.60.56/~jnz1568/getInfo.php?workbook=14_04.xlsx&amp;sheet=U0&amp;row=5210&amp;col=7&amp;number=0.000911&amp;sourceID=14","0.000911")</f>
        <v>0.000911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HYPERLINK("http://141.218.60.56/~jnz1568/getInfo.php?workbook=14_04.xlsx&amp;sheet=U0&amp;row=5211&amp;col=6&amp;number=3.7&amp;sourceID=14","3.7")</f>
        <v>3.7</v>
      </c>
      <c r="G5211" s="4" t="str">
        <f>HYPERLINK("http://141.218.60.56/~jnz1568/getInfo.php?workbook=14_04.xlsx&amp;sheet=U0&amp;row=5211&amp;col=7&amp;number=0.000911&amp;sourceID=14","0.000911")</f>
        <v>0.000911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HYPERLINK("http://141.218.60.56/~jnz1568/getInfo.php?workbook=14_04.xlsx&amp;sheet=U0&amp;row=5212&amp;col=6&amp;number=3.8&amp;sourceID=14","3.8")</f>
        <v>3.8</v>
      </c>
      <c r="G5212" s="4" t="str">
        <f>HYPERLINK("http://141.218.60.56/~jnz1568/getInfo.php?workbook=14_04.xlsx&amp;sheet=U0&amp;row=5212&amp;col=7&amp;number=0.000911&amp;sourceID=14","0.000911")</f>
        <v>0.000911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HYPERLINK("http://141.218.60.56/~jnz1568/getInfo.php?workbook=14_04.xlsx&amp;sheet=U0&amp;row=5213&amp;col=6&amp;number=3.9&amp;sourceID=14","3.9")</f>
        <v>3.9</v>
      </c>
      <c r="G5213" s="4" t="str">
        <f>HYPERLINK("http://141.218.60.56/~jnz1568/getInfo.php?workbook=14_04.xlsx&amp;sheet=U0&amp;row=5213&amp;col=7&amp;number=0.00091&amp;sourceID=14","0.00091")</f>
        <v>0.00091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HYPERLINK("http://141.218.60.56/~jnz1568/getInfo.php?workbook=14_04.xlsx&amp;sheet=U0&amp;row=5214&amp;col=6&amp;number=4&amp;sourceID=14","4")</f>
        <v>4</v>
      </c>
      <c r="G5214" s="4" t="str">
        <f>HYPERLINK("http://141.218.60.56/~jnz1568/getInfo.php?workbook=14_04.xlsx&amp;sheet=U0&amp;row=5214&amp;col=7&amp;number=0.00091&amp;sourceID=14","0.00091")</f>
        <v>0.00091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HYPERLINK("http://141.218.60.56/~jnz1568/getInfo.php?workbook=14_04.xlsx&amp;sheet=U0&amp;row=5215&amp;col=6&amp;number=4.1&amp;sourceID=14","4.1")</f>
        <v>4.1</v>
      </c>
      <c r="G5215" s="4" t="str">
        <f>HYPERLINK("http://141.218.60.56/~jnz1568/getInfo.php?workbook=14_04.xlsx&amp;sheet=U0&amp;row=5215&amp;col=7&amp;number=0.00091&amp;sourceID=14","0.00091")</f>
        <v>0.00091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HYPERLINK("http://141.218.60.56/~jnz1568/getInfo.php?workbook=14_04.xlsx&amp;sheet=U0&amp;row=5216&amp;col=6&amp;number=4.2&amp;sourceID=14","4.2")</f>
        <v>4.2</v>
      </c>
      <c r="G5216" s="4" t="str">
        <f>HYPERLINK("http://141.218.60.56/~jnz1568/getInfo.php?workbook=14_04.xlsx&amp;sheet=U0&amp;row=5216&amp;col=7&amp;number=0.000909&amp;sourceID=14","0.000909")</f>
        <v>0.000909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HYPERLINK("http://141.218.60.56/~jnz1568/getInfo.php?workbook=14_04.xlsx&amp;sheet=U0&amp;row=5217&amp;col=6&amp;number=4.3&amp;sourceID=14","4.3")</f>
        <v>4.3</v>
      </c>
      <c r="G5217" s="4" t="str">
        <f>HYPERLINK("http://141.218.60.56/~jnz1568/getInfo.php?workbook=14_04.xlsx&amp;sheet=U0&amp;row=5217&amp;col=7&amp;number=0.000909&amp;sourceID=14","0.000909")</f>
        <v>0.000909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HYPERLINK("http://141.218.60.56/~jnz1568/getInfo.php?workbook=14_04.xlsx&amp;sheet=U0&amp;row=5218&amp;col=6&amp;number=4.4&amp;sourceID=14","4.4")</f>
        <v>4.4</v>
      </c>
      <c r="G5218" s="4" t="str">
        <f>HYPERLINK("http://141.218.60.56/~jnz1568/getInfo.php?workbook=14_04.xlsx&amp;sheet=U0&amp;row=5218&amp;col=7&amp;number=0.000908&amp;sourceID=14","0.000908")</f>
        <v>0.000908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HYPERLINK("http://141.218.60.56/~jnz1568/getInfo.php?workbook=14_04.xlsx&amp;sheet=U0&amp;row=5219&amp;col=6&amp;number=4.5&amp;sourceID=14","4.5")</f>
        <v>4.5</v>
      </c>
      <c r="G5219" s="4" t="str">
        <f>HYPERLINK("http://141.218.60.56/~jnz1568/getInfo.php?workbook=14_04.xlsx&amp;sheet=U0&amp;row=5219&amp;col=7&amp;number=0.000907&amp;sourceID=14","0.000907")</f>
        <v>0.000907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HYPERLINK("http://141.218.60.56/~jnz1568/getInfo.php?workbook=14_04.xlsx&amp;sheet=U0&amp;row=5220&amp;col=6&amp;number=4.6&amp;sourceID=14","4.6")</f>
        <v>4.6</v>
      </c>
      <c r="G5220" s="4" t="str">
        <f>HYPERLINK("http://141.218.60.56/~jnz1568/getInfo.php?workbook=14_04.xlsx&amp;sheet=U0&amp;row=5220&amp;col=7&amp;number=0.000906&amp;sourceID=14","0.000906")</f>
        <v>0.000906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HYPERLINK("http://141.218.60.56/~jnz1568/getInfo.php?workbook=14_04.xlsx&amp;sheet=U0&amp;row=5221&amp;col=6&amp;number=4.7&amp;sourceID=14","4.7")</f>
        <v>4.7</v>
      </c>
      <c r="G5221" s="4" t="str">
        <f>HYPERLINK("http://141.218.60.56/~jnz1568/getInfo.php?workbook=14_04.xlsx&amp;sheet=U0&amp;row=5221&amp;col=7&amp;number=0.000904&amp;sourceID=14","0.000904")</f>
        <v>0.000904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HYPERLINK("http://141.218.60.56/~jnz1568/getInfo.php?workbook=14_04.xlsx&amp;sheet=U0&amp;row=5222&amp;col=6&amp;number=4.8&amp;sourceID=14","4.8")</f>
        <v>4.8</v>
      </c>
      <c r="G5222" s="4" t="str">
        <f>HYPERLINK("http://141.218.60.56/~jnz1568/getInfo.php?workbook=14_04.xlsx&amp;sheet=U0&amp;row=5222&amp;col=7&amp;number=0.000902&amp;sourceID=14","0.000902")</f>
        <v>0.000902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HYPERLINK("http://141.218.60.56/~jnz1568/getInfo.php?workbook=14_04.xlsx&amp;sheet=U0&amp;row=5223&amp;col=6&amp;number=4.9&amp;sourceID=14","4.9")</f>
        <v>4.9</v>
      </c>
      <c r="G5223" s="4" t="str">
        <f>HYPERLINK("http://141.218.60.56/~jnz1568/getInfo.php?workbook=14_04.xlsx&amp;sheet=U0&amp;row=5223&amp;col=7&amp;number=0.0009&amp;sourceID=14","0.0009")</f>
        <v>0.0009</v>
      </c>
    </row>
    <row r="5224" spans="1:7">
      <c r="A5224" s="3">
        <v>14</v>
      </c>
      <c r="B5224" s="3">
        <v>4</v>
      </c>
      <c r="C5224" s="3">
        <v>3</v>
      </c>
      <c r="D5224" s="3">
        <v>63</v>
      </c>
      <c r="E5224" s="3">
        <v>1</v>
      </c>
      <c r="F5224" s="4" t="str">
        <f>HYPERLINK("http://141.218.60.56/~jnz1568/getInfo.php?workbook=14_04.xlsx&amp;sheet=U0&amp;row=5224&amp;col=6&amp;number=3&amp;sourceID=14","3")</f>
        <v>3</v>
      </c>
      <c r="G5224" s="4" t="str">
        <f>HYPERLINK("http://141.218.60.56/~jnz1568/getInfo.php?workbook=14_04.xlsx&amp;sheet=U0&amp;row=5224&amp;col=7&amp;number=0.00208&amp;sourceID=14","0.00208")</f>
        <v>0.00208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HYPERLINK("http://141.218.60.56/~jnz1568/getInfo.php?workbook=14_04.xlsx&amp;sheet=U0&amp;row=5225&amp;col=6&amp;number=3.1&amp;sourceID=14","3.1")</f>
        <v>3.1</v>
      </c>
      <c r="G5225" s="4" t="str">
        <f>HYPERLINK("http://141.218.60.56/~jnz1568/getInfo.php?workbook=14_04.xlsx&amp;sheet=U0&amp;row=5225&amp;col=7&amp;number=0.00208&amp;sourceID=14","0.00208")</f>
        <v>0.00208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HYPERLINK("http://141.218.60.56/~jnz1568/getInfo.php?workbook=14_04.xlsx&amp;sheet=U0&amp;row=5226&amp;col=6&amp;number=3.2&amp;sourceID=14","3.2")</f>
        <v>3.2</v>
      </c>
      <c r="G5226" s="4" t="str">
        <f>HYPERLINK("http://141.218.60.56/~jnz1568/getInfo.php?workbook=14_04.xlsx&amp;sheet=U0&amp;row=5226&amp;col=7&amp;number=0.00208&amp;sourceID=14","0.00208")</f>
        <v>0.00208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HYPERLINK("http://141.218.60.56/~jnz1568/getInfo.php?workbook=14_04.xlsx&amp;sheet=U0&amp;row=5227&amp;col=6&amp;number=3.3&amp;sourceID=14","3.3")</f>
        <v>3.3</v>
      </c>
      <c r="G5227" s="4" t="str">
        <f>HYPERLINK("http://141.218.60.56/~jnz1568/getInfo.php?workbook=14_04.xlsx&amp;sheet=U0&amp;row=5227&amp;col=7&amp;number=0.00208&amp;sourceID=14","0.00208")</f>
        <v>0.00208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HYPERLINK("http://141.218.60.56/~jnz1568/getInfo.php?workbook=14_04.xlsx&amp;sheet=U0&amp;row=5228&amp;col=6&amp;number=3.4&amp;sourceID=14","3.4")</f>
        <v>3.4</v>
      </c>
      <c r="G5228" s="4" t="str">
        <f>HYPERLINK("http://141.218.60.56/~jnz1568/getInfo.php?workbook=14_04.xlsx&amp;sheet=U0&amp;row=5228&amp;col=7&amp;number=0.00208&amp;sourceID=14","0.00208")</f>
        <v>0.00208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HYPERLINK("http://141.218.60.56/~jnz1568/getInfo.php?workbook=14_04.xlsx&amp;sheet=U0&amp;row=5229&amp;col=6&amp;number=3.5&amp;sourceID=14","3.5")</f>
        <v>3.5</v>
      </c>
      <c r="G5229" s="4" t="str">
        <f>HYPERLINK("http://141.218.60.56/~jnz1568/getInfo.php?workbook=14_04.xlsx&amp;sheet=U0&amp;row=5229&amp;col=7&amp;number=0.00208&amp;sourceID=14","0.00208")</f>
        <v>0.00208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HYPERLINK("http://141.218.60.56/~jnz1568/getInfo.php?workbook=14_04.xlsx&amp;sheet=U0&amp;row=5230&amp;col=6&amp;number=3.6&amp;sourceID=14","3.6")</f>
        <v>3.6</v>
      </c>
      <c r="G5230" s="4" t="str">
        <f>HYPERLINK("http://141.218.60.56/~jnz1568/getInfo.php?workbook=14_04.xlsx&amp;sheet=U0&amp;row=5230&amp;col=7&amp;number=0.00208&amp;sourceID=14","0.00208")</f>
        <v>0.00208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HYPERLINK("http://141.218.60.56/~jnz1568/getInfo.php?workbook=14_04.xlsx&amp;sheet=U0&amp;row=5231&amp;col=6&amp;number=3.7&amp;sourceID=14","3.7")</f>
        <v>3.7</v>
      </c>
      <c r="G5231" s="4" t="str">
        <f>HYPERLINK("http://141.218.60.56/~jnz1568/getInfo.php?workbook=14_04.xlsx&amp;sheet=U0&amp;row=5231&amp;col=7&amp;number=0.00209&amp;sourceID=14","0.00209")</f>
        <v>0.00209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HYPERLINK("http://141.218.60.56/~jnz1568/getInfo.php?workbook=14_04.xlsx&amp;sheet=U0&amp;row=5232&amp;col=6&amp;number=3.8&amp;sourceID=14","3.8")</f>
        <v>3.8</v>
      </c>
      <c r="G5232" s="4" t="str">
        <f>HYPERLINK("http://141.218.60.56/~jnz1568/getInfo.php?workbook=14_04.xlsx&amp;sheet=U0&amp;row=5232&amp;col=7&amp;number=0.00209&amp;sourceID=14","0.00209")</f>
        <v>0.00209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HYPERLINK("http://141.218.60.56/~jnz1568/getInfo.php?workbook=14_04.xlsx&amp;sheet=U0&amp;row=5233&amp;col=6&amp;number=3.9&amp;sourceID=14","3.9")</f>
        <v>3.9</v>
      </c>
      <c r="G5233" s="4" t="str">
        <f>HYPERLINK("http://141.218.60.56/~jnz1568/getInfo.php?workbook=14_04.xlsx&amp;sheet=U0&amp;row=5233&amp;col=7&amp;number=0.00209&amp;sourceID=14","0.00209")</f>
        <v>0.00209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HYPERLINK("http://141.218.60.56/~jnz1568/getInfo.php?workbook=14_04.xlsx&amp;sheet=U0&amp;row=5234&amp;col=6&amp;number=4&amp;sourceID=14","4")</f>
        <v>4</v>
      </c>
      <c r="G5234" s="4" t="str">
        <f>HYPERLINK("http://141.218.60.56/~jnz1568/getInfo.php?workbook=14_04.xlsx&amp;sheet=U0&amp;row=5234&amp;col=7&amp;number=0.00209&amp;sourceID=14","0.00209")</f>
        <v>0.00209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HYPERLINK("http://141.218.60.56/~jnz1568/getInfo.php?workbook=14_04.xlsx&amp;sheet=U0&amp;row=5235&amp;col=6&amp;number=4.1&amp;sourceID=14","4.1")</f>
        <v>4.1</v>
      </c>
      <c r="G5235" s="4" t="str">
        <f>HYPERLINK("http://141.218.60.56/~jnz1568/getInfo.php?workbook=14_04.xlsx&amp;sheet=U0&amp;row=5235&amp;col=7&amp;number=0.0021&amp;sourceID=14","0.0021")</f>
        <v>0.0021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HYPERLINK("http://141.218.60.56/~jnz1568/getInfo.php?workbook=14_04.xlsx&amp;sheet=U0&amp;row=5236&amp;col=6&amp;number=4.2&amp;sourceID=14","4.2")</f>
        <v>4.2</v>
      </c>
      <c r="G5236" s="4" t="str">
        <f>HYPERLINK("http://141.218.60.56/~jnz1568/getInfo.php?workbook=14_04.xlsx&amp;sheet=U0&amp;row=5236&amp;col=7&amp;number=0.0021&amp;sourceID=14","0.0021")</f>
        <v>0.0021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HYPERLINK("http://141.218.60.56/~jnz1568/getInfo.php?workbook=14_04.xlsx&amp;sheet=U0&amp;row=5237&amp;col=6&amp;number=4.3&amp;sourceID=14","4.3")</f>
        <v>4.3</v>
      </c>
      <c r="G5237" s="4" t="str">
        <f>HYPERLINK("http://141.218.60.56/~jnz1568/getInfo.php?workbook=14_04.xlsx&amp;sheet=U0&amp;row=5237&amp;col=7&amp;number=0.00211&amp;sourceID=14","0.00211")</f>
        <v>0.00211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HYPERLINK("http://141.218.60.56/~jnz1568/getInfo.php?workbook=14_04.xlsx&amp;sheet=U0&amp;row=5238&amp;col=6&amp;number=4.4&amp;sourceID=14","4.4")</f>
        <v>4.4</v>
      </c>
      <c r="G5238" s="4" t="str">
        <f>HYPERLINK("http://141.218.60.56/~jnz1568/getInfo.php?workbook=14_04.xlsx&amp;sheet=U0&amp;row=5238&amp;col=7&amp;number=0.00212&amp;sourceID=14","0.00212")</f>
        <v>0.00212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HYPERLINK("http://141.218.60.56/~jnz1568/getInfo.php?workbook=14_04.xlsx&amp;sheet=U0&amp;row=5239&amp;col=6&amp;number=4.5&amp;sourceID=14","4.5")</f>
        <v>4.5</v>
      </c>
      <c r="G5239" s="4" t="str">
        <f>HYPERLINK("http://141.218.60.56/~jnz1568/getInfo.php?workbook=14_04.xlsx&amp;sheet=U0&amp;row=5239&amp;col=7&amp;number=0.00213&amp;sourceID=14","0.00213")</f>
        <v>0.00213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HYPERLINK("http://141.218.60.56/~jnz1568/getInfo.php?workbook=14_04.xlsx&amp;sheet=U0&amp;row=5240&amp;col=6&amp;number=4.6&amp;sourceID=14","4.6")</f>
        <v>4.6</v>
      </c>
      <c r="G5240" s="4" t="str">
        <f>HYPERLINK("http://141.218.60.56/~jnz1568/getInfo.php?workbook=14_04.xlsx&amp;sheet=U0&amp;row=5240&amp;col=7&amp;number=0.00214&amp;sourceID=14","0.00214")</f>
        <v>0.00214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HYPERLINK("http://141.218.60.56/~jnz1568/getInfo.php?workbook=14_04.xlsx&amp;sheet=U0&amp;row=5241&amp;col=6&amp;number=4.7&amp;sourceID=14","4.7")</f>
        <v>4.7</v>
      </c>
      <c r="G5241" s="4" t="str">
        <f>HYPERLINK("http://141.218.60.56/~jnz1568/getInfo.php?workbook=14_04.xlsx&amp;sheet=U0&amp;row=5241&amp;col=7&amp;number=0.00215&amp;sourceID=14","0.00215")</f>
        <v>0.00215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HYPERLINK("http://141.218.60.56/~jnz1568/getInfo.php?workbook=14_04.xlsx&amp;sheet=U0&amp;row=5242&amp;col=6&amp;number=4.8&amp;sourceID=14","4.8")</f>
        <v>4.8</v>
      </c>
      <c r="G5242" s="4" t="str">
        <f>HYPERLINK("http://141.218.60.56/~jnz1568/getInfo.php?workbook=14_04.xlsx&amp;sheet=U0&amp;row=5242&amp;col=7&amp;number=0.00217&amp;sourceID=14","0.00217")</f>
        <v>0.00217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HYPERLINK("http://141.218.60.56/~jnz1568/getInfo.php?workbook=14_04.xlsx&amp;sheet=U0&amp;row=5243&amp;col=6&amp;number=4.9&amp;sourceID=14","4.9")</f>
        <v>4.9</v>
      </c>
      <c r="G5243" s="4" t="str">
        <f>HYPERLINK("http://141.218.60.56/~jnz1568/getInfo.php?workbook=14_04.xlsx&amp;sheet=U0&amp;row=5243&amp;col=7&amp;number=0.0022&amp;sourceID=14","0.0022")</f>
        <v>0.0022</v>
      </c>
    </row>
    <row r="5244" spans="1:7">
      <c r="A5244" s="3">
        <v>14</v>
      </c>
      <c r="B5244" s="3">
        <v>4</v>
      </c>
      <c r="C5244" s="3">
        <v>3</v>
      </c>
      <c r="D5244" s="3">
        <v>64</v>
      </c>
      <c r="E5244" s="3">
        <v>1</v>
      </c>
      <c r="F5244" s="4" t="str">
        <f>HYPERLINK("http://141.218.60.56/~jnz1568/getInfo.php?workbook=14_04.xlsx&amp;sheet=U0&amp;row=5244&amp;col=6&amp;number=3&amp;sourceID=14","3")</f>
        <v>3</v>
      </c>
      <c r="G5244" s="4" t="str">
        <f>HYPERLINK("http://141.218.60.56/~jnz1568/getInfo.php?workbook=14_04.xlsx&amp;sheet=U0&amp;row=5244&amp;col=7&amp;number=0.000634&amp;sourceID=14","0.000634")</f>
        <v>0.000634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HYPERLINK("http://141.218.60.56/~jnz1568/getInfo.php?workbook=14_04.xlsx&amp;sheet=U0&amp;row=5245&amp;col=6&amp;number=3.1&amp;sourceID=14","3.1")</f>
        <v>3.1</v>
      </c>
      <c r="G5245" s="4" t="str">
        <f>HYPERLINK("http://141.218.60.56/~jnz1568/getInfo.php?workbook=14_04.xlsx&amp;sheet=U0&amp;row=5245&amp;col=7&amp;number=0.000634&amp;sourceID=14","0.000634")</f>
        <v>0.000634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HYPERLINK("http://141.218.60.56/~jnz1568/getInfo.php?workbook=14_04.xlsx&amp;sheet=U0&amp;row=5246&amp;col=6&amp;number=3.2&amp;sourceID=14","3.2")</f>
        <v>3.2</v>
      </c>
      <c r="G5246" s="4" t="str">
        <f>HYPERLINK("http://141.218.60.56/~jnz1568/getInfo.php?workbook=14_04.xlsx&amp;sheet=U0&amp;row=5246&amp;col=7&amp;number=0.000634&amp;sourceID=14","0.000634")</f>
        <v>0.000634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HYPERLINK("http://141.218.60.56/~jnz1568/getInfo.php?workbook=14_04.xlsx&amp;sheet=U0&amp;row=5247&amp;col=6&amp;number=3.3&amp;sourceID=14","3.3")</f>
        <v>3.3</v>
      </c>
      <c r="G5247" s="4" t="str">
        <f>HYPERLINK("http://141.218.60.56/~jnz1568/getInfo.php?workbook=14_04.xlsx&amp;sheet=U0&amp;row=5247&amp;col=7&amp;number=0.000634&amp;sourceID=14","0.000634")</f>
        <v>0.000634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HYPERLINK("http://141.218.60.56/~jnz1568/getInfo.php?workbook=14_04.xlsx&amp;sheet=U0&amp;row=5248&amp;col=6&amp;number=3.4&amp;sourceID=14","3.4")</f>
        <v>3.4</v>
      </c>
      <c r="G5248" s="4" t="str">
        <f>HYPERLINK("http://141.218.60.56/~jnz1568/getInfo.php?workbook=14_04.xlsx&amp;sheet=U0&amp;row=5248&amp;col=7&amp;number=0.000634&amp;sourceID=14","0.000634")</f>
        <v>0.000634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HYPERLINK("http://141.218.60.56/~jnz1568/getInfo.php?workbook=14_04.xlsx&amp;sheet=U0&amp;row=5249&amp;col=6&amp;number=3.5&amp;sourceID=14","3.5")</f>
        <v>3.5</v>
      </c>
      <c r="G5249" s="4" t="str">
        <f>HYPERLINK("http://141.218.60.56/~jnz1568/getInfo.php?workbook=14_04.xlsx&amp;sheet=U0&amp;row=5249&amp;col=7&amp;number=0.000634&amp;sourceID=14","0.000634")</f>
        <v>0.000634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HYPERLINK("http://141.218.60.56/~jnz1568/getInfo.php?workbook=14_04.xlsx&amp;sheet=U0&amp;row=5250&amp;col=6&amp;number=3.6&amp;sourceID=14","3.6")</f>
        <v>3.6</v>
      </c>
      <c r="G5250" s="4" t="str">
        <f>HYPERLINK("http://141.218.60.56/~jnz1568/getInfo.php?workbook=14_04.xlsx&amp;sheet=U0&amp;row=5250&amp;col=7&amp;number=0.000634&amp;sourceID=14","0.000634")</f>
        <v>0.000634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HYPERLINK("http://141.218.60.56/~jnz1568/getInfo.php?workbook=14_04.xlsx&amp;sheet=U0&amp;row=5251&amp;col=6&amp;number=3.7&amp;sourceID=14","3.7")</f>
        <v>3.7</v>
      </c>
      <c r="G5251" s="4" t="str">
        <f>HYPERLINK("http://141.218.60.56/~jnz1568/getInfo.php?workbook=14_04.xlsx&amp;sheet=U0&amp;row=5251&amp;col=7&amp;number=0.000634&amp;sourceID=14","0.000634")</f>
        <v>0.000634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HYPERLINK("http://141.218.60.56/~jnz1568/getInfo.php?workbook=14_04.xlsx&amp;sheet=U0&amp;row=5252&amp;col=6&amp;number=3.8&amp;sourceID=14","3.8")</f>
        <v>3.8</v>
      </c>
      <c r="G5252" s="4" t="str">
        <f>HYPERLINK("http://141.218.60.56/~jnz1568/getInfo.php?workbook=14_04.xlsx&amp;sheet=U0&amp;row=5252&amp;col=7&amp;number=0.000634&amp;sourceID=14","0.000634")</f>
        <v>0.000634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HYPERLINK("http://141.218.60.56/~jnz1568/getInfo.php?workbook=14_04.xlsx&amp;sheet=U0&amp;row=5253&amp;col=6&amp;number=3.9&amp;sourceID=14","3.9")</f>
        <v>3.9</v>
      </c>
      <c r="G5253" s="4" t="str">
        <f>HYPERLINK("http://141.218.60.56/~jnz1568/getInfo.php?workbook=14_04.xlsx&amp;sheet=U0&amp;row=5253&amp;col=7&amp;number=0.000633&amp;sourceID=14","0.000633")</f>
        <v>0.000633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HYPERLINK("http://141.218.60.56/~jnz1568/getInfo.php?workbook=14_04.xlsx&amp;sheet=U0&amp;row=5254&amp;col=6&amp;number=4&amp;sourceID=14","4")</f>
        <v>4</v>
      </c>
      <c r="G5254" s="4" t="str">
        <f>HYPERLINK("http://141.218.60.56/~jnz1568/getInfo.php?workbook=14_04.xlsx&amp;sheet=U0&amp;row=5254&amp;col=7&amp;number=0.000633&amp;sourceID=14","0.000633")</f>
        <v>0.000633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HYPERLINK("http://141.218.60.56/~jnz1568/getInfo.php?workbook=14_04.xlsx&amp;sheet=U0&amp;row=5255&amp;col=6&amp;number=4.1&amp;sourceID=14","4.1")</f>
        <v>4.1</v>
      </c>
      <c r="G5255" s="4" t="str">
        <f>HYPERLINK("http://141.218.60.56/~jnz1568/getInfo.php?workbook=14_04.xlsx&amp;sheet=U0&amp;row=5255&amp;col=7&amp;number=0.000633&amp;sourceID=14","0.000633")</f>
        <v>0.000633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HYPERLINK("http://141.218.60.56/~jnz1568/getInfo.php?workbook=14_04.xlsx&amp;sheet=U0&amp;row=5256&amp;col=6&amp;number=4.2&amp;sourceID=14","4.2")</f>
        <v>4.2</v>
      </c>
      <c r="G5256" s="4" t="str">
        <f>HYPERLINK("http://141.218.60.56/~jnz1568/getInfo.php?workbook=14_04.xlsx&amp;sheet=U0&amp;row=5256&amp;col=7&amp;number=0.000633&amp;sourceID=14","0.000633")</f>
        <v>0.000633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HYPERLINK("http://141.218.60.56/~jnz1568/getInfo.php?workbook=14_04.xlsx&amp;sheet=U0&amp;row=5257&amp;col=6&amp;number=4.3&amp;sourceID=14","4.3")</f>
        <v>4.3</v>
      </c>
      <c r="G5257" s="4" t="str">
        <f>HYPERLINK("http://141.218.60.56/~jnz1568/getInfo.php?workbook=14_04.xlsx&amp;sheet=U0&amp;row=5257&amp;col=7&amp;number=0.000632&amp;sourceID=14","0.000632")</f>
        <v>0.000632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HYPERLINK("http://141.218.60.56/~jnz1568/getInfo.php?workbook=14_04.xlsx&amp;sheet=U0&amp;row=5258&amp;col=6&amp;number=4.4&amp;sourceID=14","4.4")</f>
        <v>4.4</v>
      </c>
      <c r="G5258" s="4" t="str">
        <f>HYPERLINK("http://141.218.60.56/~jnz1568/getInfo.php?workbook=14_04.xlsx&amp;sheet=U0&amp;row=5258&amp;col=7&amp;number=0.000632&amp;sourceID=14","0.000632")</f>
        <v>0.000632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HYPERLINK("http://141.218.60.56/~jnz1568/getInfo.php?workbook=14_04.xlsx&amp;sheet=U0&amp;row=5259&amp;col=6&amp;number=4.5&amp;sourceID=14","4.5")</f>
        <v>4.5</v>
      </c>
      <c r="G5259" s="4" t="str">
        <f>HYPERLINK("http://141.218.60.56/~jnz1568/getInfo.php?workbook=14_04.xlsx&amp;sheet=U0&amp;row=5259&amp;col=7&amp;number=0.000631&amp;sourceID=14","0.000631")</f>
        <v>0.000631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HYPERLINK("http://141.218.60.56/~jnz1568/getInfo.php?workbook=14_04.xlsx&amp;sheet=U0&amp;row=5260&amp;col=6&amp;number=4.6&amp;sourceID=14","4.6")</f>
        <v>4.6</v>
      </c>
      <c r="G5260" s="4" t="str">
        <f>HYPERLINK("http://141.218.60.56/~jnz1568/getInfo.php?workbook=14_04.xlsx&amp;sheet=U0&amp;row=5260&amp;col=7&amp;number=0.00063&amp;sourceID=14","0.00063")</f>
        <v>0.00063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HYPERLINK("http://141.218.60.56/~jnz1568/getInfo.php?workbook=14_04.xlsx&amp;sheet=U0&amp;row=5261&amp;col=6&amp;number=4.7&amp;sourceID=14","4.7")</f>
        <v>4.7</v>
      </c>
      <c r="G5261" s="4" t="str">
        <f>HYPERLINK("http://141.218.60.56/~jnz1568/getInfo.php?workbook=14_04.xlsx&amp;sheet=U0&amp;row=5261&amp;col=7&amp;number=0.000629&amp;sourceID=14","0.000629")</f>
        <v>0.000629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HYPERLINK("http://141.218.60.56/~jnz1568/getInfo.php?workbook=14_04.xlsx&amp;sheet=U0&amp;row=5262&amp;col=6&amp;number=4.8&amp;sourceID=14","4.8")</f>
        <v>4.8</v>
      </c>
      <c r="G5262" s="4" t="str">
        <f>HYPERLINK("http://141.218.60.56/~jnz1568/getInfo.php?workbook=14_04.xlsx&amp;sheet=U0&amp;row=5262&amp;col=7&amp;number=0.000628&amp;sourceID=14","0.000628")</f>
        <v>0.000628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HYPERLINK("http://141.218.60.56/~jnz1568/getInfo.php?workbook=14_04.xlsx&amp;sheet=U0&amp;row=5263&amp;col=6&amp;number=4.9&amp;sourceID=14","4.9")</f>
        <v>4.9</v>
      </c>
      <c r="G5263" s="4" t="str">
        <f>HYPERLINK("http://141.218.60.56/~jnz1568/getInfo.php?workbook=14_04.xlsx&amp;sheet=U0&amp;row=5263&amp;col=7&amp;number=0.000626&amp;sourceID=14","0.000626")</f>
        <v>0.000626</v>
      </c>
    </row>
    <row r="5264" spans="1:7">
      <c r="A5264" s="3">
        <v>14</v>
      </c>
      <c r="B5264" s="3">
        <v>4</v>
      </c>
      <c r="C5264" s="3">
        <v>3</v>
      </c>
      <c r="D5264" s="3">
        <v>65</v>
      </c>
      <c r="E5264" s="3">
        <v>1</v>
      </c>
      <c r="F5264" s="4" t="str">
        <f>HYPERLINK("http://141.218.60.56/~jnz1568/getInfo.php?workbook=14_04.xlsx&amp;sheet=U0&amp;row=5264&amp;col=6&amp;number=3&amp;sourceID=14","3")</f>
        <v>3</v>
      </c>
      <c r="G5264" s="4" t="str">
        <f>HYPERLINK("http://141.218.60.56/~jnz1568/getInfo.php?workbook=14_04.xlsx&amp;sheet=U0&amp;row=5264&amp;col=7&amp;number=0.00119&amp;sourceID=14","0.00119")</f>
        <v>0.00119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HYPERLINK("http://141.218.60.56/~jnz1568/getInfo.php?workbook=14_04.xlsx&amp;sheet=U0&amp;row=5265&amp;col=6&amp;number=3.1&amp;sourceID=14","3.1")</f>
        <v>3.1</v>
      </c>
      <c r="G5265" s="4" t="str">
        <f>HYPERLINK("http://141.218.60.56/~jnz1568/getInfo.php?workbook=14_04.xlsx&amp;sheet=U0&amp;row=5265&amp;col=7&amp;number=0.00119&amp;sourceID=14","0.00119")</f>
        <v>0.00119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HYPERLINK("http://141.218.60.56/~jnz1568/getInfo.php?workbook=14_04.xlsx&amp;sheet=U0&amp;row=5266&amp;col=6&amp;number=3.2&amp;sourceID=14","3.2")</f>
        <v>3.2</v>
      </c>
      <c r="G5266" s="4" t="str">
        <f>HYPERLINK("http://141.218.60.56/~jnz1568/getInfo.php?workbook=14_04.xlsx&amp;sheet=U0&amp;row=5266&amp;col=7&amp;number=0.00119&amp;sourceID=14","0.00119")</f>
        <v>0.00119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HYPERLINK("http://141.218.60.56/~jnz1568/getInfo.php?workbook=14_04.xlsx&amp;sheet=U0&amp;row=5267&amp;col=6&amp;number=3.3&amp;sourceID=14","3.3")</f>
        <v>3.3</v>
      </c>
      <c r="G5267" s="4" t="str">
        <f>HYPERLINK("http://141.218.60.56/~jnz1568/getInfo.php?workbook=14_04.xlsx&amp;sheet=U0&amp;row=5267&amp;col=7&amp;number=0.00119&amp;sourceID=14","0.00119")</f>
        <v>0.00119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HYPERLINK("http://141.218.60.56/~jnz1568/getInfo.php?workbook=14_04.xlsx&amp;sheet=U0&amp;row=5268&amp;col=6&amp;number=3.4&amp;sourceID=14","3.4")</f>
        <v>3.4</v>
      </c>
      <c r="G5268" s="4" t="str">
        <f>HYPERLINK("http://141.218.60.56/~jnz1568/getInfo.php?workbook=14_04.xlsx&amp;sheet=U0&amp;row=5268&amp;col=7&amp;number=0.00119&amp;sourceID=14","0.00119")</f>
        <v>0.00119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HYPERLINK("http://141.218.60.56/~jnz1568/getInfo.php?workbook=14_04.xlsx&amp;sheet=U0&amp;row=5269&amp;col=6&amp;number=3.5&amp;sourceID=14","3.5")</f>
        <v>3.5</v>
      </c>
      <c r="G5269" s="4" t="str">
        <f>HYPERLINK("http://141.218.60.56/~jnz1568/getInfo.php?workbook=14_04.xlsx&amp;sheet=U0&amp;row=5269&amp;col=7&amp;number=0.00119&amp;sourceID=14","0.00119")</f>
        <v>0.00119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HYPERLINK("http://141.218.60.56/~jnz1568/getInfo.php?workbook=14_04.xlsx&amp;sheet=U0&amp;row=5270&amp;col=6&amp;number=3.6&amp;sourceID=14","3.6")</f>
        <v>3.6</v>
      </c>
      <c r="G5270" s="4" t="str">
        <f>HYPERLINK("http://141.218.60.56/~jnz1568/getInfo.php?workbook=14_04.xlsx&amp;sheet=U0&amp;row=5270&amp;col=7&amp;number=0.00119&amp;sourceID=14","0.00119")</f>
        <v>0.00119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HYPERLINK("http://141.218.60.56/~jnz1568/getInfo.php?workbook=14_04.xlsx&amp;sheet=U0&amp;row=5271&amp;col=6&amp;number=3.7&amp;sourceID=14","3.7")</f>
        <v>3.7</v>
      </c>
      <c r="G5271" s="4" t="str">
        <f>HYPERLINK("http://141.218.60.56/~jnz1568/getInfo.php?workbook=14_04.xlsx&amp;sheet=U0&amp;row=5271&amp;col=7&amp;number=0.00119&amp;sourceID=14","0.00119")</f>
        <v>0.00119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HYPERLINK("http://141.218.60.56/~jnz1568/getInfo.php?workbook=14_04.xlsx&amp;sheet=U0&amp;row=5272&amp;col=6&amp;number=3.8&amp;sourceID=14","3.8")</f>
        <v>3.8</v>
      </c>
      <c r="G5272" s="4" t="str">
        <f>HYPERLINK("http://141.218.60.56/~jnz1568/getInfo.php?workbook=14_04.xlsx&amp;sheet=U0&amp;row=5272&amp;col=7&amp;number=0.00119&amp;sourceID=14","0.00119")</f>
        <v>0.00119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HYPERLINK("http://141.218.60.56/~jnz1568/getInfo.php?workbook=14_04.xlsx&amp;sheet=U0&amp;row=5273&amp;col=6&amp;number=3.9&amp;sourceID=14","3.9")</f>
        <v>3.9</v>
      </c>
      <c r="G5273" s="4" t="str">
        <f>HYPERLINK("http://141.218.60.56/~jnz1568/getInfo.php?workbook=14_04.xlsx&amp;sheet=U0&amp;row=5273&amp;col=7&amp;number=0.00119&amp;sourceID=14","0.00119")</f>
        <v>0.00119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HYPERLINK("http://141.218.60.56/~jnz1568/getInfo.php?workbook=14_04.xlsx&amp;sheet=U0&amp;row=5274&amp;col=6&amp;number=4&amp;sourceID=14","4")</f>
        <v>4</v>
      </c>
      <c r="G5274" s="4" t="str">
        <f>HYPERLINK("http://141.218.60.56/~jnz1568/getInfo.php?workbook=14_04.xlsx&amp;sheet=U0&amp;row=5274&amp;col=7&amp;number=0.0012&amp;sourceID=14","0.0012")</f>
        <v>0.0012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HYPERLINK("http://141.218.60.56/~jnz1568/getInfo.php?workbook=14_04.xlsx&amp;sheet=U0&amp;row=5275&amp;col=6&amp;number=4.1&amp;sourceID=14","4.1")</f>
        <v>4.1</v>
      </c>
      <c r="G5275" s="4" t="str">
        <f>HYPERLINK("http://141.218.60.56/~jnz1568/getInfo.php?workbook=14_04.xlsx&amp;sheet=U0&amp;row=5275&amp;col=7&amp;number=0.0012&amp;sourceID=14","0.0012")</f>
        <v>0.0012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HYPERLINK("http://141.218.60.56/~jnz1568/getInfo.php?workbook=14_04.xlsx&amp;sheet=U0&amp;row=5276&amp;col=6&amp;number=4.2&amp;sourceID=14","4.2")</f>
        <v>4.2</v>
      </c>
      <c r="G5276" s="4" t="str">
        <f>HYPERLINK("http://141.218.60.56/~jnz1568/getInfo.php?workbook=14_04.xlsx&amp;sheet=U0&amp;row=5276&amp;col=7&amp;number=0.0012&amp;sourceID=14","0.0012")</f>
        <v>0.0012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HYPERLINK("http://141.218.60.56/~jnz1568/getInfo.php?workbook=14_04.xlsx&amp;sheet=U0&amp;row=5277&amp;col=6&amp;number=4.3&amp;sourceID=14","4.3")</f>
        <v>4.3</v>
      </c>
      <c r="G5277" s="4" t="str">
        <f>HYPERLINK("http://141.218.60.56/~jnz1568/getInfo.php?workbook=14_04.xlsx&amp;sheet=U0&amp;row=5277&amp;col=7&amp;number=0.0012&amp;sourceID=14","0.0012")</f>
        <v>0.0012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HYPERLINK("http://141.218.60.56/~jnz1568/getInfo.php?workbook=14_04.xlsx&amp;sheet=U0&amp;row=5278&amp;col=6&amp;number=4.4&amp;sourceID=14","4.4")</f>
        <v>4.4</v>
      </c>
      <c r="G5278" s="4" t="str">
        <f>HYPERLINK("http://141.218.60.56/~jnz1568/getInfo.php?workbook=14_04.xlsx&amp;sheet=U0&amp;row=5278&amp;col=7&amp;number=0.00121&amp;sourceID=14","0.00121")</f>
        <v>0.00121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HYPERLINK("http://141.218.60.56/~jnz1568/getInfo.php?workbook=14_04.xlsx&amp;sheet=U0&amp;row=5279&amp;col=6&amp;number=4.5&amp;sourceID=14","4.5")</f>
        <v>4.5</v>
      </c>
      <c r="G5279" s="4" t="str">
        <f>HYPERLINK("http://141.218.60.56/~jnz1568/getInfo.php?workbook=14_04.xlsx&amp;sheet=U0&amp;row=5279&amp;col=7&amp;number=0.00121&amp;sourceID=14","0.00121")</f>
        <v>0.00121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HYPERLINK("http://141.218.60.56/~jnz1568/getInfo.php?workbook=14_04.xlsx&amp;sheet=U0&amp;row=5280&amp;col=6&amp;number=4.6&amp;sourceID=14","4.6")</f>
        <v>4.6</v>
      </c>
      <c r="G5280" s="4" t="str">
        <f>HYPERLINK("http://141.218.60.56/~jnz1568/getInfo.php?workbook=14_04.xlsx&amp;sheet=U0&amp;row=5280&amp;col=7&amp;number=0.00122&amp;sourceID=14","0.00122")</f>
        <v>0.00122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HYPERLINK("http://141.218.60.56/~jnz1568/getInfo.php?workbook=14_04.xlsx&amp;sheet=U0&amp;row=5281&amp;col=6&amp;number=4.7&amp;sourceID=14","4.7")</f>
        <v>4.7</v>
      </c>
      <c r="G5281" s="4" t="str">
        <f>HYPERLINK("http://141.218.60.56/~jnz1568/getInfo.php?workbook=14_04.xlsx&amp;sheet=U0&amp;row=5281&amp;col=7&amp;number=0.00123&amp;sourceID=14","0.00123")</f>
        <v>0.00123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HYPERLINK("http://141.218.60.56/~jnz1568/getInfo.php?workbook=14_04.xlsx&amp;sheet=U0&amp;row=5282&amp;col=6&amp;number=4.8&amp;sourceID=14","4.8")</f>
        <v>4.8</v>
      </c>
      <c r="G5282" s="4" t="str">
        <f>HYPERLINK("http://141.218.60.56/~jnz1568/getInfo.php?workbook=14_04.xlsx&amp;sheet=U0&amp;row=5282&amp;col=7&amp;number=0.00124&amp;sourceID=14","0.00124")</f>
        <v>0.00124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HYPERLINK("http://141.218.60.56/~jnz1568/getInfo.php?workbook=14_04.xlsx&amp;sheet=U0&amp;row=5283&amp;col=6&amp;number=4.9&amp;sourceID=14","4.9")</f>
        <v>4.9</v>
      </c>
      <c r="G5283" s="4" t="str">
        <f>HYPERLINK("http://141.218.60.56/~jnz1568/getInfo.php?workbook=14_04.xlsx&amp;sheet=U0&amp;row=5283&amp;col=7&amp;number=0.00125&amp;sourceID=14","0.00125")</f>
        <v>0.00125</v>
      </c>
    </row>
    <row r="5284" spans="1:7">
      <c r="A5284" s="3">
        <v>14</v>
      </c>
      <c r="B5284" s="3">
        <v>4</v>
      </c>
      <c r="C5284" s="3">
        <v>3</v>
      </c>
      <c r="D5284" s="3">
        <v>66</v>
      </c>
      <c r="E5284" s="3">
        <v>1</v>
      </c>
      <c r="F5284" s="4" t="str">
        <f>HYPERLINK("http://141.218.60.56/~jnz1568/getInfo.php?workbook=14_04.xlsx&amp;sheet=U0&amp;row=5284&amp;col=6&amp;number=3&amp;sourceID=14","3")</f>
        <v>3</v>
      </c>
      <c r="G5284" s="4" t="str">
        <f>HYPERLINK("http://141.218.60.56/~jnz1568/getInfo.php?workbook=14_04.xlsx&amp;sheet=U0&amp;row=5284&amp;col=7&amp;number=0.00068&amp;sourceID=14","0.00068")</f>
        <v>0.00068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HYPERLINK("http://141.218.60.56/~jnz1568/getInfo.php?workbook=14_04.xlsx&amp;sheet=U0&amp;row=5285&amp;col=6&amp;number=3.1&amp;sourceID=14","3.1")</f>
        <v>3.1</v>
      </c>
      <c r="G5285" s="4" t="str">
        <f>HYPERLINK("http://141.218.60.56/~jnz1568/getInfo.php?workbook=14_04.xlsx&amp;sheet=U0&amp;row=5285&amp;col=7&amp;number=0.00068&amp;sourceID=14","0.00068")</f>
        <v>0.00068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HYPERLINK("http://141.218.60.56/~jnz1568/getInfo.php?workbook=14_04.xlsx&amp;sheet=U0&amp;row=5286&amp;col=6&amp;number=3.2&amp;sourceID=14","3.2")</f>
        <v>3.2</v>
      </c>
      <c r="G5286" s="4" t="str">
        <f>HYPERLINK("http://141.218.60.56/~jnz1568/getInfo.php?workbook=14_04.xlsx&amp;sheet=U0&amp;row=5286&amp;col=7&amp;number=0.00068&amp;sourceID=14","0.00068")</f>
        <v>0.00068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HYPERLINK("http://141.218.60.56/~jnz1568/getInfo.php?workbook=14_04.xlsx&amp;sheet=U0&amp;row=5287&amp;col=6&amp;number=3.3&amp;sourceID=14","3.3")</f>
        <v>3.3</v>
      </c>
      <c r="G5287" s="4" t="str">
        <f>HYPERLINK("http://141.218.60.56/~jnz1568/getInfo.php?workbook=14_04.xlsx&amp;sheet=U0&amp;row=5287&amp;col=7&amp;number=0.00068&amp;sourceID=14","0.00068")</f>
        <v>0.00068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HYPERLINK("http://141.218.60.56/~jnz1568/getInfo.php?workbook=14_04.xlsx&amp;sheet=U0&amp;row=5288&amp;col=6&amp;number=3.4&amp;sourceID=14","3.4")</f>
        <v>3.4</v>
      </c>
      <c r="G5288" s="4" t="str">
        <f>HYPERLINK("http://141.218.60.56/~jnz1568/getInfo.php?workbook=14_04.xlsx&amp;sheet=U0&amp;row=5288&amp;col=7&amp;number=0.00068&amp;sourceID=14","0.00068")</f>
        <v>0.00068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HYPERLINK("http://141.218.60.56/~jnz1568/getInfo.php?workbook=14_04.xlsx&amp;sheet=U0&amp;row=5289&amp;col=6&amp;number=3.5&amp;sourceID=14","3.5")</f>
        <v>3.5</v>
      </c>
      <c r="G5289" s="4" t="str">
        <f>HYPERLINK("http://141.218.60.56/~jnz1568/getInfo.php?workbook=14_04.xlsx&amp;sheet=U0&amp;row=5289&amp;col=7&amp;number=0.00068&amp;sourceID=14","0.00068")</f>
        <v>0.00068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HYPERLINK("http://141.218.60.56/~jnz1568/getInfo.php?workbook=14_04.xlsx&amp;sheet=U0&amp;row=5290&amp;col=6&amp;number=3.6&amp;sourceID=14","3.6")</f>
        <v>3.6</v>
      </c>
      <c r="G5290" s="4" t="str">
        <f>HYPERLINK("http://141.218.60.56/~jnz1568/getInfo.php?workbook=14_04.xlsx&amp;sheet=U0&amp;row=5290&amp;col=7&amp;number=0.000681&amp;sourceID=14","0.000681")</f>
        <v>0.000681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HYPERLINK("http://141.218.60.56/~jnz1568/getInfo.php?workbook=14_04.xlsx&amp;sheet=U0&amp;row=5291&amp;col=6&amp;number=3.7&amp;sourceID=14","3.7")</f>
        <v>3.7</v>
      </c>
      <c r="G5291" s="4" t="str">
        <f>HYPERLINK("http://141.218.60.56/~jnz1568/getInfo.php?workbook=14_04.xlsx&amp;sheet=U0&amp;row=5291&amp;col=7&amp;number=0.000681&amp;sourceID=14","0.000681")</f>
        <v>0.000681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HYPERLINK("http://141.218.60.56/~jnz1568/getInfo.php?workbook=14_04.xlsx&amp;sheet=U0&amp;row=5292&amp;col=6&amp;number=3.8&amp;sourceID=14","3.8")</f>
        <v>3.8</v>
      </c>
      <c r="G5292" s="4" t="str">
        <f>HYPERLINK("http://141.218.60.56/~jnz1568/getInfo.php?workbook=14_04.xlsx&amp;sheet=U0&amp;row=5292&amp;col=7&amp;number=0.000682&amp;sourceID=14","0.000682")</f>
        <v>0.000682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HYPERLINK("http://141.218.60.56/~jnz1568/getInfo.php?workbook=14_04.xlsx&amp;sheet=U0&amp;row=5293&amp;col=6&amp;number=3.9&amp;sourceID=14","3.9")</f>
        <v>3.9</v>
      </c>
      <c r="G5293" s="4" t="str">
        <f>HYPERLINK("http://141.218.60.56/~jnz1568/getInfo.php?workbook=14_04.xlsx&amp;sheet=U0&amp;row=5293&amp;col=7&amp;number=0.000682&amp;sourceID=14","0.000682")</f>
        <v>0.000682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HYPERLINK("http://141.218.60.56/~jnz1568/getInfo.php?workbook=14_04.xlsx&amp;sheet=U0&amp;row=5294&amp;col=6&amp;number=4&amp;sourceID=14","4")</f>
        <v>4</v>
      </c>
      <c r="G5294" s="4" t="str">
        <f>HYPERLINK("http://141.218.60.56/~jnz1568/getInfo.php?workbook=14_04.xlsx&amp;sheet=U0&amp;row=5294&amp;col=7&amp;number=0.000683&amp;sourceID=14","0.000683")</f>
        <v>0.000683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HYPERLINK("http://141.218.60.56/~jnz1568/getInfo.php?workbook=14_04.xlsx&amp;sheet=U0&amp;row=5295&amp;col=6&amp;number=4.1&amp;sourceID=14","4.1")</f>
        <v>4.1</v>
      </c>
      <c r="G5295" s="4" t="str">
        <f>HYPERLINK("http://141.218.60.56/~jnz1568/getInfo.php?workbook=14_04.xlsx&amp;sheet=U0&amp;row=5295&amp;col=7&amp;number=0.000684&amp;sourceID=14","0.000684")</f>
        <v>0.000684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HYPERLINK("http://141.218.60.56/~jnz1568/getInfo.php?workbook=14_04.xlsx&amp;sheet=U0&amp;row=5296&amp;col=6&amp;number=4.2&amp;sourceID=14","4.2")</f>
        <v>4.2</v>
      </c>
      <c r="G5296" s="4" t="str">
        <f>HYPERLINK("http://141.218.60.56/~jnz1568/getInfo.php?workbook=14_04.xlsx&amp;sheet=U0&amp;row=5296&amp;col=7&amp;number=0.000686&amp;sourceID=14","0.000686")</f>
        <v>0.000686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HYPERLINK("http://141.218.60.56/~jnz1568/getInfo.php?workbook=14_04.xlsx&amp;sheet=U0&amp;row=5297&amp;col=6&amp;number=4.3&amp;sourceID=14","4.3")</f>
        <v>4.3</v>
      </c>
      <c r="G5297" s="4" t="str">
        <f>HYPERLINK("http://141.218.60.56/~jnz1568/getInfo.php?workbook=14_04.xlsx&amp;sheet=U0&amp;row=5297&amp;col=7&amp;number=0.000687&amp;sourceID=14","0.000687")</f>
        <v>0.000687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HYPERLINK("http://141.218.60.56/~jnz1568/getInfo.php?workbook=14_04.xlsx&amp;sheet=U0&amp;row=5298&amp;col=6&amp;number=4.4&amp;sourceID=14","4.4")</f>
        <v>4.4</v>
      </c>
      <c r="G5298" s="4" t="str">
        <f>HYPERLINK("http://141.218.60.56/~jnz1568/getInfo.php?workbook=14_04.xlsx&amp;sheet=U0&amp;row=5298&amp;col=7&amp;number=0.000689&amp;sourceID=14","0.000689")</f>
        <v>0.000689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HYPERLINK("http://141.218.60.56/~jnz1568/getInfo.php?workbook=14_04.xlsx&amp;sheet=U0&amp;row=5299&amp;col=6&amp;number=4.5&amp;sourceID=14","4.5")</f>
        <v>4.5</v>
      </c>
      <c r="G5299" s="4" t="str">
        <f>HYPERLINK("http://141.218.60.56/~jnz1568/getInfo.php?workbook=14_04.xlsx&amp;sheet=U0&amp;row=5299&amp;col=7&amp;number=0.000692&amp;sourceID=14","0.000692")</f>
        <v>0.000692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HYPERLINK("http://141.218.60.56/~jnz1568/getInfo.php?workbook=14_04.xlsx&amp;sheet=U0&amp;row=5300&amp;col=6&amp;number=4.6&amp;sourceID=14","4.6")</f>
        <v>4.6</v>
      </c>
      <c r="G5300" s="4" t="str">
        <f>HYPERLINK("http://141.218.60.56/~jnz1568/getInfo.php?workbook=14_04.xlsx&amp;sheet=U0&amp;row=5300&amp;col=7&amp;number=0.000695&amp;sourceID=14","0.000695")</f>
        <v>0.000695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HYPERLINK("http://141.218.60.56/~jnz1568/getInfo.php?workbook=14_04.xlsx&amp;sheet=U0&amp;row=5301&amp;col=6&amp;number=4.7&amp;sourceID=14","4.7")</f>
        <v>4.7</v>
      </c>
      <c r="G5301" s="4" t="str">
        <f>HYPERLINK("http://141.218.60.56/~jnz1568/getInfo.php?workbook=14_04.xlsx&amp;sheet=U0&amp;row=5301&amp;col=7&amp;number=0.000699&amp;sourceID=14","0.000699")</f>
        <v>0.000699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HYPERLINK("http://141.218.60.56/~jnz1568/getInfo.php?workbook=14_04.xlsx&amp;sheet=U0&amp;row=5302&amp;col=6&amp;number=4.8&amp;sourceID=14","4.8")</f>
        <v>4.8</v>
      </c>
      <c r="G5302" s="4" t="str">
        <f>HYPERLINK("http://141.218.60.56/~jnz1568/getInfo.php?workbook=14_04.xlsx&amp;sheet=U0&amp;row=5302&amp;col=7&amp;number=0.000705&amp;sourceID=14","0.000705")</f>
        <v>0.000705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HYPERLINK("http://141.218.60.56/~jnz1568/getInfo.php?workbook=14_04.xlsx&amp;sheet=U0&amp;row=5303&amp;col=6&amp;number=4.9&amp;sourceID=14","4.9")</f>
        <v>4.9</v>
      </c>
      <c r="G5303" s="4" t="str">
        <f>HYPERLINK("http://141.218.60.56/~jnz1568/getInfo.php?workbook=14_04.xlsx&amp;sheet=U0&amp;row=5303&amp;col=7&amp;number=0.000711&amp;sourceID=14","0.000711")</f>
        <v>0.000711</v>
      </c>
    </row>
    <row r="5304" spans="1:7">
      <c r="A5304" s="3">
        <v>14</v>
      </c>
      <c r="B5304" s="3">
        <v>4</v>
      </c>
      <c r="C5304" s="3">
        <v>3</v>
      </c>
      <c r="D5304" s="3">
        <v>67</v>
      </c>
      <c r="E5304" s="3">
        <v>1</v>
      </c>
      <c r="F5304" s="4" t="str">
        <f>HYPERLINK("http://141.218.60.56/~jnz1568/getInfo.php?workbook=14_04.xlsx&amp;sheet=U0&amp;row=5304&amp;col=6&amp;number=3&amp;sourceID=14","3")</f>
        <v>3</v>
      </c>
      <c r="G5304" s="4" t="str">
        <f>HYPERLINK("http://141.218.60.56/~jnz1568/getInfo.php?workbook=14_04.xlsx&amp;sheet=U0&amp;row=5304&amp;col=7&amp;number=0.000465&amp;sourceID=14","0.000465")</f>
        <v>0.000465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HYPERLINK("http://141.218.60.56/~jnz1568/getInfo.php?workbook=14_04.xlsx&amp;sheet=U0&amp;row=5305&amp;col=6&amp;number=3.1&amp;sourceID=14","3.1")</f>
        <v>3.1</v>
      </c>
      <c r="G5305" s="4" t="str">
        <f>HYPERLINK("http://141.218.60.56/~jnz1568/getInfo.php?workbook=14_04.xlsx&amp;sheet=U0&amp;row=5305&amp;col=7&amp;number=0.000465&amp;sourceID=14","0.000465")</f>
        <v>0.000465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HYPERLINK("http://141.218.60.56/~jnz1568/getInfo.php?workbook=14_04.xlsx&amp;sheet=U0&amp;row=5306&amp;col=6&amp;number=3.2&amp;sourceID=14","3.2")</f>
        <v>3.2</v>
      </c>
      <c r="G5306" s="4" t="str">
        <f>HYPERLINK("http://141.218.60.56/~jnz1568/getInfo.php?workbook=14_04.xlsx&amp;sheet=U0&amp;row=5306&amp;col=7&amp;number=0.000465&amp;sourceID=14","0.000465")</f>
        <v>0.000465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HYPERLINK("http://141.218.60.56/~jnz1568/getInfo.php?workbook=14_04.xlsx&amp;sheet=U0&amp;row=5307&amp;col=6&amp;number=3.3&amp;sourceID=14","3.3")</f>
        <v>3.3</v>
      </c>
      <c r="G5307" s="4" t="str">
        <f>HYPERLINK("http://141.218.60.56/~jnz1568/getInfo.php?workbook=14_04.xlsx&amp;sheet=U0&amp;row=5307&amp;col=7&amp;number=0.000465&amp;sourceID=14","0.000465")</f>
        <v>0.000465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HYPERLINK("http://141.218.60.56/~jnz1568/getInfo.php?workbook=14_04.xlsx&amp;sheet=U0&amp;row=5308&amp;col=6&amp;number=3.4&amp;sourceID=14","3.4")</f>
        <v>3.4</v>
      </c>
      <c r="G5308" s="4" t="str">
        <f>HYPERLINK("http://141.218.60.56/~jnz1568/getInfo.php?workbook=14_04.xlsx&amp;sheet=U0&amp;row=5308&amp;col=7&amp;number=0.000465&amp;sourceID=14","0.000465")</f>
        <v>0.000465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HYPERLINK("http://141.218.60.56/~jnz1568/getInfo.php?workbook=14_04.xlsx&amp;sheet=U0&amp;row=5309&amp;col=6&amp;number=3.5&amp;sourceID=14","3.5")</f>
        <v>3.5</v>
      </c>
      <c r="G5309" s="4" t="str">
        <f>HYPERLINK("http://141.218.60.56/~jnz1568/getInfo.php?workbook=14_04.xlsx&amp;sheet=U0&amp;row=5309&amp;col=7&amp;number=0.000465&amp;sourceID=14","0.000465")</f>
        <v>0.000465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HYPERLINK("http://141.218.60.56/~jnz1568/getInfo.php?workbook=14_04.xlsx&amp;sheet=U0&amp;row=5310&amp;col=6&amp;number=3.6&amp;sourceID=14","3.6")</f>
        <v>3.6</v>
      </c>
      <c r="G5310" s="4" t="str">
        <f>HYPERLINK("http://141.218.60.56/~jnz1568/getInfo.php?workbook=14_04.xlsx&amp;sheet=U0&amp;row=5310&amp;col=7&amp;number=0.000464&amp;sourceID=14","0.000464")</f>
        <v>0.000464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HYPERLINK("http://141.218.60.56/~jnz1568/getInfo.php?workbook=14_04.xlsx&amp;sheet=U0&amp;row=5311&amp;col=6&amp;number=3.7&amp;sourceID=14","3.7")</f>
        <v>3.7</v>
      </c>
      <c r="G5311" s="4" t="str">
        <f>HYPERLINK("http://141.218.60.56/~jnz1568/getInfo.php?workbook=14_04.xlsx&amp;sheet=U0&amp;row=5311&amp;col=7&amp;number=0.000464&amp;sourceID=14","0.000464")</f>
        <v>0.000464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HYPERLINK("http://141.218.60.56/~jnz1568/getInfo.php?workbook=14_04.xlsx&amp;sheet=U0&amp;row=5312&amp;col=6&amp;number=3.8&amp;sourceID=14","3.8")</f>
        <v>3.8</v>
      </c>
      <c r="G5312" s="4" t="str">
        <f>HYPERLINK("http://141.218.60.56/~jnz1568/getInfo.php?workbook=14_04.xlsx&amp;sheet=U0&amp;row=5312&amp;col=7&amp;number=0.000464&amp;sourceID=14","0.000464")</f>
        <v>0.000464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HYPERLINK("http://141.218.60.56/~jnz1568/getInfo.php?workbook=14_04.xlsx&amp;sheet=U0&amp;row=5313&amp;col=6&amp;number=3.9&amp;sourceID=14","3.9")</f>
        <v>3.9</v>
      </c>
      <c r="G5313" s="4" t="str">
        <f>HYPERLINK("http://141.218.60.56/~jnz1568/getInfo.php?workbook=14_04.xlsx&amp;sheet=U0&amp;row=5313&amp;col=7&amp;number=0.000464&amp;sourceID=14","0.000464")</f>
        <v>0.000464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HYPERLINK("http://141.218.60.56/~jnz1568/getInfo.php?workbook=14_04.xlsx&amp;sheet=U0&amp;row=5314&amp;col=6&amp;number=4&amp;sourceID=14","4")</f>
        <v>4</v>
      </c>
      <c r="G5314" s="4" t="str">
        <f>HYPERLINK("http://141.218.60.56/~jnz1568/getInfo.php?workbook=14_04.xlsx&amp;sheet=U0&amp;row=5314&amp;col=7&amp;number=0.000464&amp;sourceID=14","0.000464")</f>
        <v>0.000464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HYPERLINK("http://141.218.60.56/~jnz1568/getInfo.php?workbook=14_04.xlsx&amp;sheet=U0&amp;row=5315&amp;col=6&amp;number=4.1&amp;sourceID=14","4.1")</f>
        <v>4.1</v>
      </c>
      <c r="G5315" s="4" t="str">
        <f>HYPERLINK("http://141.218.60.56/~jnz1568/getInfo.php?workbook=14_04.xlsx&amp;sheet=U0&amp;row=5315&amp;col=7&amp;number=0.000464&amp;sourceID=14","0.000464")</f>
        <v>0.000464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HYPERLINK("http://141.218.60.56/~jnz1568/getInfo.php?workbook=14_04.xlsx&amp;sheet=U0&amp;row=5316&amp;col=6&amp;number=4.2&amp;sourceID=14","4.2")</f>
        <v>4.2</v>
      </c>
      <c r="G5316" s="4" t="str">
        <f>HYPERLINK("http://141.218.60.56/~jnz1568/getInfo.php?workbook=14_04.xlsx&amp;sheet=U0&amp;row=5316&amp;col=7&amp;number=0.000464&amp;sourceID=14","0.000464")</f>
        <v>0.000464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HYPERLINK("http://141.218.60.56/~jnz1568/getInfo.php?workbook=14_04.xlsx&amp;sheet=U0&amp;row=5317&amp;col=6&amp;number=4.3&amp;sourceID=14","4.3")</f>
        <v>4.3</v>
      </c>
      <c r="G5317" s="4" t="str">
        <f>HYPERLINK("http://141.218.60.56/~jnz1568/getInfo.php?workbook=14_04.xlsx&amp;sheet=U0&amp;row=5317&amp;col=7&amp;number=0.000464&amp;sourceID=14","0.000464")</f>
        <v>0.000464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HYPERLINK("http://141.218.60.56/~jnz1568/getInfo.php?workbook=14_04.xlsx&amp;sheet=U0&amp;row=5318&amp;col=6&amp;number=4.4&amp;sourceID=14","4.4")</f>
        <v>4.4</v>
      </c>
      <c r="G5318" s="4" t="str">
        <f>HYPERLINK("http://141.218.60.56/~jnz1568/getInfo.php?workbook=14_04.xlsx&amp;sheet=U0&amp;row=5318&amp;col=7&amp;number=0.000463&amp;sourceID=14","0.000463")</f>
        <v>0.000463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HYPERLINK("http://141.218.60.56/~jnz1568/getInfo.php?workbook=14_04.xlsx&amp;sheet=U0&amp;row=5319&amp;col=6&amp;number=4.5&amp;sourceID=14","4.5")</f>
        <v>4.5</v>
      </c>
      <c r="G5319" s="4" t="str">
        <f>HYPERLINK("http://141.218.60.56/~jnz1568/getInfo.php?workbook=14_04.xlsx&amp;sheet=U0&amp;row=5319&amp;col=7&amp;number=0.000463&amp;sourceID=14","0.000463")</f>
        <v>0.000463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HYPERLINK("http://141.218.60.56/~jnz1568/getInfo.php?workbook=14_04.xlsx&amp;sheet=U0&amp;row=5320&amp;col=6&amp;number=4.6&amp;sourceID=14","4.6")</f>
        <v>4.6</v>
      </c>
      <c r="G5320" s="4" t="str">
        <f>HYPERLINK("http://141.218.60.56/~jnz1568/getInfo.php?workbook=14_04.xlsx&amp;sheet=U0&amp;row=5320&amp;col=7&amp;number=0.000463&amp;sourceID=14","0.000463")</f>
        <v>0.000463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HYPERLINK("http://141.218.60.56/~jnz1568/getInfo.php?workbook=14_04.xlsx&amp;sheet=U0&amp;row=5321&amp;col=6&amp;number=4.7&amp;sourceID=14","4.7")</f>
        <v>4.7</v>
      </c>
      <c r="G5321" s="4" t="str">
        <f>HYPERLINK("http://141.218.60.56/~jnz1568/getInfo.php?workbook=14_04.xlsx&amp;sheet=U0&amp;row=5321&amp;col=7&amp;number=0.000462&amp;sourceID=14","0.000462")</f>
        <v>0.000462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HYPERLINK("http://141.218.60.56/~jnz1568/getInfo.php?workbook=14_04.xlsx&amp;sheet=U0&amp;row=5322&amp;col=6&amp;number=4.8&amp;sourceID=14","4.8")</f>
        <v>4.8</v>
      </c>
      <c r="G5322" s="4" t="str">
        <f>HYPERLINK("http://141.218.60.56/~jnz1568/getInfo.php?workbook=14_04.xlsx&amp;sheet=U0&amp;row=5322&amp;col=7&amp;number=0.000461&amp;sourceID=14","0.000461")</f>
        <v>0.000461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HYPERLINK("http://141.218.60.56/~jnz1568/getInfo.php?workbook=14_04.xlsx&amp;sheet=U0&amp;row=5323&amp;col=6&amp;number=4.9&amp;sourceID=14","4.9")</f>
        <v>4.9</v>
      </c>
      <c r="G5323" s="4" t="str">
        <f>HYPERLINK("http://141.218.60.56/~jnz1568/getInfo.php?workbook=14_04.xlsx&amp;sheet=U0&amp;row=5323&amp;col=7&amp;number=0.00046&amp;sourceID=14","0.00046")</f>
        <v>0.00046</v>
      </c>
    </row>
    <row r="5324" spans="1:7">
      <c r="A5324" s="3">
        <v>14</v>
      </c>
      <c r="B5324" s="3">
        <v>4</v>
      </c>
      <c r="C5324" s="3">
        <v>3</v>
      </c>
      <c r="D5324" s="3">
        <v>68</v>
      </c>
      <c r="E5324" s="3">
        <v>1</v>
      </c>
      <c r="F5324" s="4" t="str">
        <f>HYPERLINK("http://141.218.60.56/~jnz1568/getInfo.php?workbook=14_04.xlsx&amp;sheet=U0&amp;row=5324&amp;col=6&amp;number=3&amp;sourceID=14","3")</f>
        <v>3</v>
      </c>
      <c r="G5324" s="4" t="str">
        <f>HYPERLINK("http://141.218.60.56/~jnz1568/getInfo.php?workbook=14_04.xlsx&amp;sheet=U0&amp;row=5324&amp;col=7&amp;number=0.00104&amp;sourceID=14","0.00104")</f>
        <v>0.00104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HYPERLINK("http://141.218.60.56/~jnz1568/getInfo.php?workbook=14_04.xlsx&amp;sheet=U0&amp;row=5325&amp;col=6&amp;number=3.1&amp;sourceID=14","3.1")</f>
        <v>3.1</v>
      </c>
      <c r="G5325" s="4" t="str">
        <f>HYPERLINK("http://141.218.60.56/~jnz1568/getInfo.php?workbook=14_04.xlsx&amp;sheet=U0&amp;row=5325&amp;col=7&amp;number=0.00104&amp;sourceID=14","0.00104")</f>
        <v>0.00104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HYPERLINK("http://141.218.60.56/~jnz1568/getInfo.php?workbook=14_04.xlsx&amp;sheet=U0&amp;row=5326&amp;col=6&amp;number=3.2&amp;sourceID=14","3.2")</f>
        <v>3.2</v>
      </c>
      <c r="G5326" s="4" t="str">
        <f>HYPERLINK("http://141.218.60.56/~jnz1568/getInfo.php?workbook=14_04.xlsx&amp;sheet=U0&amp;row=5326&amp;col=7&amp;number=0.00104&amp;sourceID=14","0.00104")</f>
        <v>0.00104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HYPERLINK("http://141.218.60.56/~jnz1568/getInfo.php?workbook=14_04.xlsx&amp;sheet=U0&amp;row=5327&amp;col=6&amp;number=3.3&amp;sourceID=14","3.3")</f>
        <v>3.3</v>
      </c>
      <c r="G5327" s="4" t="str">
        <f>HYPERLINK("http://141.218.60.56/~jnz1568/getInfo.php?workbook=14_04.xlsx&amp;sheet=U0&amp;row=5327&amp;col=7&amp;number=0.00104&amp;sourceID=14","0.00104")</f>
        <v>0.00104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HYPERLINK("http://141.218.60.56/~jnz1568/getInfo.php?workbook=14_04.xlsx&amp;sheet=U0&amp;row=5328&amp;col=6&amp;number=3.4&amp;sourceID=14","3.4")</f>
        <v>3.4</v>
      </c>
      <c r="G5328" s="4" t="str">
        <f>HYPERLINK("http://141.218.60.56/~jnz1568/getInfo.php?workbook=14_04.xlsx&amp;sheet=U0&amp;row=5328&amp;col=7&amp;number=0.00104&amp;sourceID=14","0.00104")</f>
        <v>0.00104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HYPERLINK("http://141.218.60.56/~jnz1568/getInfo.php?workbook=14_04.xlsx&amp;sheet=U0&amp;row=5329&amp;col=6&amp;number=3.5&amp;sourceID=14","3.5")</f>
        <v>3.5</v>
      </c>
      <c r="G5329" s="4" t="str">
        <f>HYPERLINK("http://141.218.60.56/~jnz1568/getInfo.php?workbook=14_04.xlsx&amp;sheet=U0&amp;row=5329&amp;col=7&amp;number=0.00104&amp;sourceID=14","0.00104")</f>
        <v>0.00104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HYPERLINK("http://141.218.60.56/~jnz1568/getInfo.php?workbook=14_04.xlsx&amp;sheet=U0&amp;row=5330&amp;col=6&amp;number=3.6&amp;sourceID=14","3.6")</f>
        <v>3.6</v>
      </c>
      <c r="G5330" s="4" t="str">
        <f>HYPERLINK("http://141.218.60.56/~jnz1568/getInfo.php?workbook=14_04.xlsx&amp;sheet=U0&amp;row=5330&amp;col=7&amp;number=0.00104&amp;sourceID=14","0.00104")</f>
        <v>0.00104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HYPERLINK("http://141.218.60.56/~jnz1568/getInfo.php?workbook=14_04.xlsx&amp;sheet=U0&amp;row=5331&amp;col=6&amp;number=3.7&amp;sourceID=14","3.7")</f>
        <v>3.7</v>
      </c>
      <c r="G5331" s="4" t="str">
        <f>HYPERLINK("http://141.218.60.56/~jnz1568/getInfo.php?workbook=14_04.xlsx&amp;sheet=U0&amp;row=5331&amp;col=7&amp;number=0.00104&amp;sourceID=14","0.00104")</f>
        <v>0.00104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HYPERLINK("http://141.218.60.56/~jnz1568/getInfo.php?workbook=14_04.xlsx&amp;sheet=U0&amp;row=5332&amp;col=6&amp;number=3.8&amp;sourceID=14","3.8")</f>
        <v>3.8</v>
      </c>
      <c r="G5332" s="4" t="str">
        <f>HYPERLINK("http://141.218.60.56/~jnz1568/getInfo.php?workbook=14_04.xlsx&amp;sheet=U0&amp;row=5332&amp;col=7&amp;number=0.00104&amp;sourceID=14","0.00104")</f>
        <v>0.00104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HYPERLINK("http://141.218.60.56/~jnz1568/getInfo.php?workbook=14_04.xlsx&amp;sheet=U0&amp;row=5333&amp;col=6&amp;number=3.9&amp;sourceID=14","3.9")</f>
        <v>3.9</v>
      </c>
      <c r="G5333" s="4" t="str">
        <f>HYPERLINK("http://141.218.60.56/~jnz1568/getInfo.php?workbook=14_04.xlsx&amp;sheet=U0&amp;row=5333&amp;col=7&amp;number=0.00104&amp;sourceID=14","0.00104")</f>
        <v>0.00104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HYPERLINK("http://141.218.60.56/~jnz1568/getInfo.php?workbook=14_04.xlsx&amp;sheet=U0&amp;row=5334&amp;col=6&amp;number=4&amp;sourceID=14","4")</f>
        <v>4</v>
      </c>
      <c r="G5334" s="4" t="str">
        <f>HYPERLINK("http://141.218.60.56/~jnz1568/getInfo.php?workbook=14_04.xlsx&amp;sheet=U0&amp;row=5334&amp;col=7&amp;number=0.00104&amp;sourceID=14","0.00104")</f>
        <v>0.00104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HYPERLINK("http://141.218.60.56/~jnz1568/getInfo.php?workbook=14_04.xlsx&amp;sheet=U0&amp;row=5335&amp;col=6&amp;number=4.1&amp;sourceID=14","4.1")</f>
        <v>4.1</v>
      </c>
      <c r="G5335" s="4" t="str">
        <f>HYPERLINK("http://141.218.60.56/~jnz1568/getInfo.php?workbook=14_04.xlsx&amp;sheet=U0&amp;row=5335&amp;col=7&amp;number=0.00104&amp;sourceID=14","0.00104")</f>
        <v>0.00104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HYPERLINK("http://141.218.60.56/~jnz1568/getInfo.php?workbook=14_04.xlsx&amp;sheet=U0&amp;row=5336&amp;col=6&amp;number=4.2&amp;sourceID=14","4.2")</f>
        <v>4.2</v>
      </c>
      <c r="G5336" s="4" t="str">
        <f>HYPERLINK("http://141.218.60.56/~jnz1568/getInfo.php?workbook=14_04.xlsx&amp;sheet=U0&amp;row=5336&amp;col=7&amp;number=0.00104&amp;sourceID=14","0.00104")</f>
        <v>0.00104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HYPERLINK("http://141.218.60.56/~jnz1568/getInfo.php?workbook=14_04.xlsx&amp;sheet=U0&amp;row=5337&amp;col=6&amp;number=4.3&amp;sourceID=14","4.3")</f>
        <v>4.3</v>
      </c>
      <c r="G5337" s="4" t="str">
        <f>HYPERLINK("http://141.218.60.56/~jnz1568/getInfo.php?workbook=14_04.xlsx&amp;sheet=U0&amp;row=5337&amp;col=7&amp;number=0.00104&amp;sourceID=14","0.00104")</f>
        <v>0.00104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HYPERLINK("http://141.218.60.56/~jnz1568/getInfo.php?workbook=14_04.xlsx&amp;sheet=U0&amp;row=5338&amp;col=6&amp;number=4.4&amp;sourceID=14","4.4")</f>
        <v>4.4</v>
      </c>
      <c r="G5338" s="4" t="str">
        <f>HYPERLINK("http://141.218.60.56/~jnz1568/getInfo.php?workbook=14_04.xlsx&amp;sheet=U0&amp;row=5338&amp;col=7&amp;number=0.00104&amp;sourceID=14","0.00104")</f>
        <v>0.00104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HYPERLINK("http://141.218.60.56/~jnz1568/getInfo.php?workbook=14_04.xlsx&amp;sheet=U0&amp;row=5339&amp;col=6&amp;number=4.5&amp;sourceID=14","4.5")</f>
        <v>4.5</v>
      </c>
      <c r="G5339" s="4" t="str">
        <f>HYPERLINK("http://141.218.60.56/~jnz1568/getInfo.php?workbook=14_04.xlsx&amp;sheet=U0&amp;row=5339&amp;col=7&amp;number=0.00104&amp;sourceID=14","0.00104")</f>
        <v>0.00104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HYPERLINK("http://141.218.60.56/~jnz1568/getInfo.php?workbook=14_04.xlsx&amp;sheet=U0&amp;row=5340&amp;col=6&amp;number=4.6&amp;sourceID=14","4.6")</f>
        <v>4.6</v>
      </c>
      <c r="G5340" s="4" t="str">
        <f>HYPERLINK("http://141.218.60.56/~jnz1568/getInfo.php?workbook=14_04.xlsx&amp;sheet=U0&amp;row=5340&amp;col=7&amp;number=0.00104&amp;sourceID=14","0.00104")</f>
        <v>0.00104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HYPERLINK("http://141.218.60.56/~jnz1568/getInfo.php?workbook=14_04.xlsx&amp;sheet=U0&amp;row=5341&amp;col=6&amp;number=4.7&amp;sourceID=14","4.7")</f>
        <v>4.7</v>
      </c>
      <c r="G5341" s="4" t="str">
        <f>HYPERLINK("http://141.218.60.56/~jnz1568/getInfo.php?workbook=14_04.xlsx&amp;sheet=U0&amp;row=5341&amp;col=7&amp;number=0.00104&amp;sourceID=14","0.00104")</f>
        <v>0.00104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HYPERLINK("http://141.218.60.56/~jnz1568/getInfo.php?workbook=14_04.xlsx&amp;sheet=U0&amp;row=5342&amp;col=6&amp;number=4.8&amp;sourceID=14","4.8")</f>
        <v>4.8</v>
      </c>
      <c r="G5342" s="4" t="str">
        <f>HYPERLINK("http://141.218.60.56/~jnz1568/getInfo.php?workbook=14_04.xlsx&amp;sheet=U0&amp;row=5342&amp;col=7&amp;number=0.00104&amp;sourceID=14","0.00104")</f>
        <v>0.00104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HYPERLINK("http://141.218.60.56/~jnz1568/getInfo.php?workbook=14_04.xlsx&amp;sheet=U0&amp;row=5343&amp;col=6&amp;number=4.9&amp;sourceID=14","4.9")</f>
        <v>4.9</v>
      </c>
      <c r="G5343" s="4" t="str">
        <f>HYPERLINK("http://141.218.60.56/~jnz1568/getInfo.php?workbook=14_04.xlsx&amp;sheet=U0&amp;row=5343&amp;col=7&amp;number=0.00104&amp;sourceID=14","0.00104")</f>
        <v>0.00104</v>
      </c>
    </row>
    <row r="5344" spans="1:7">
      <c r="A5344" s="3">
        <v>14</v>
      </c>
      <c r="B5344" s="3">
        <v>4</v>
      </c>
      <c r="C5344" s="3">
        <v>3</v>
      </c>
      <c r="D5344" s="3">
        <v>69</v>
      </c>
      <c r="E5344" s="3">
        <v>1</v>
      </c>
      <c r="F5344" s="4" t="str">
        <f>HYPERLINK("http://141.218.60.56/~jnz1568/getInfo.php?workbook=14_04.xlsx&amp;sheet=U0&amp;row=5344&amp;col=6&amp;number=3&amp;sourceID=14","3")</f>
        <v>3</v>
      </c>
      <c r="G5344" s="4" t="str">
        <f>HYPERLINK("http://141.218.60.56/~jnz1568/getInfo.php?workbook=14_04.xlsx&amp;sheet=U0&amp;row=5344&amp;col=7&amp;number=0.00376&amp;sourceID=14","0.00376")</f>
        <v>0.00376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HYPERLINK("http://141.218.60.56/~jnz1568/getInfo.php?workbook=14_04.xlsx&amp;sheet=U0&amp;row=5345&amp;col=6&amp;number=3.1&amp;sourceID=14","3.1")</f>
        <v>3.1</v>
      </c>
      <c r="G5345" s="4" t="str">
        <f>HYPERLINK("http://141.218.60.56/~jnz1568/getInfo.php?workbook=14_04.xlsx&amp;sheet=U0&amp;row=5345&amp;col=7&amp;number=0.00376&amp;sourceID=14","0.00376")</f>
        <v>0.00376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HYPERLINK("http://141.218.60.56/~jnz1568/getInfo.php?workbook=14_04.xlsx&amp;sheet=U0&amp;row=5346&amp;col=6&amp;number=3.2&amp;sourceID=14","3.2")</f>
        <v>3.2</v>
      </c>
      <c r="G5346" s="4" t="str">
        <f>HYPERLINK("http://141.218.60.56/~jnz1568/getInfo.php?workbook=14_04.xlsx&amp;sheet=U0&amp;row=5346&amp;col=7&amp;number=0.00376&amp;sourceID=14","0.00376")</f>
        <v>0.00376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HYPERLINK("http://141.218.60.56/~jnz1568/getInfo.php?workbook=14_04.xlsx&amp;sheet=U0&amp;row=5347&amp;col=6&amp;number=3.3&amp;sourceID=14","3.3")</f>
        <v>3.3</v>
      </c>
      <c r="G5347" s="4" t="str">
        <f>HYPERLINK("http://141.218.60.56/~jnz1568/getInfo.php?workbook=14_04.xlsx&amp;sheet=U0&amp;row=5347&amp;col=7&amp;number=0.00376&amp;sourceID=14","0.00376")</f>
        <v>0.00376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HYPERLINK("http://141.218.60.56/~jnz1568/getInfo.php?workbook=14_04.xlsx&amp;sheet=U0&amp;row=5348&amp;col=6&amp;number=3.4&amp;sourceID=14","3.4")</f>
        <v>3.4</v>
      </c>
      <c r="G5348" s="4" t="str">
        <f>HYPERLINK("http://141.218.60.56/~jnz1568/getInfo.php?workbook=14_04.xlsx&amp;sheet=U0&amp;row=5348&amp;col=7&amp;number=0.00376&amp;sourceID=14","0.00376")</f>
        <v>0.00376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HYPERLINK("http://141.218.60.56/~jnz1568/getInfo.php?workbook=14_04.xlsx&amp;sheet=U0&amp;row=5349&amp;col=6&amp;number=3.5&amp;sourceID=14","3.5")</f>
        <v>3.5</v>
      </c>
      <c r="G5349" s="4" t="str">
        <f>HYPERLINK("http://141.218.60.56/~jnz1568/getInfo.php?workbook=14_04.xlsx&amp;sheet=U0&amp;row=5349&amp;col=7&amp;number=0.00376&amp;sourceID=14","0.00376")</f>
        <v>0.00376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HYPERLINK("http://141.218.60.56/~jnz1568/getInfo.php?workbook=14_04.xlsx&amp;sheet=U0&amp;row=5350&amp;col=6&amp;number=3.6&amp;sourceID=14","3.6")</f>
        <v>3.6</v>
      </c>
      <c r="G5350" s="4" t="str">
        <f>HYPERLINK("http://141.218.60.56/~jnz1568/getInfo.php?workbook=14_04.xlsx&amp;sheet=U0&amp;row=5350&amp;col=7&amp;number=0.00376&amp;sourceID=14","0.00376")</f>
        <v>0.00376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HYPERLINK("http://141.218.60.56/~jnz1568/getInfo.php?workbook=14_04.xlsx&amp;sheet=U0&amp;row=5351&amp;col=6&amp;number=3.7&amp;sourceID=14","3.7")</f>
        <v>3.7</v>
      </c>
      <c r="G5351" s="4" t="str">
        <f>HYPERLINK("http://141.218.60.56/~jnz1568/getInfo.php?workbook=14_04.xlsx&amp;sheet=U0&amp;row=5351&amp;col=7&amp;number=0.00376&amp;sourceID=14","0.00376")</f>
        <v>0.00376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HYPERLINK("http://141.218.60.56/~jnz1568/getInfo.php?workbook=14_04.xlsx&amp;sheet=U0&amp;row=5352&amp;col=6&amp;number=3.8&amp;sourceID=14","3.8")</f>
        <v>3.8</v>
      </c>
      <c r="G5352" s="4" t="str">
        <f>HYPERLINK("http://141.218.60.56/~jnz1568/getInfo.php?workbook=14_04.xlsx&amp;sheet=U0&amp;row=5352&amp;col=7&amp;number=0.00376&amp;sourceID=14","0.00376")</f>
        <v>0.00376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HYPERLINK("http://141.218.60.56/~jnz1568/getInfo.php?workbook=14_04.xlsx&amp;sheet=U0&amp;row=5353&amp;col=6&amp;number=3.9&amp;sourceID=14","3.9")</f>
        <v>3.9</v>
      </c>
      <c r="G5353" s="4" t="str">
        <f>HYPERLINK("http://141.218.60.56/~jnz1568/getInfo.php?workbook=14_04.xlsx&amp;sheet=U0&amp;row=5353&amp;col=7&amp;number=0.00376&amp;sourceID=14","0.00376")</f>
        <v>0.00376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HYPERLINK("http://141.218.60.56/~jnz1568/getInfo.php?workbook=14_04.xlsx&amp;sheet=U0&amp;row=5354&amp;col=6&amp;number=4&amp;sourceID=14","4")</f>
        <v>4</v>
      </c>
      <c r="G5354" s="4" t="str">
        <f>HYPERLINK("http://141.218.60.56/~jnz1568/getInfo.php?workbook=14_04.xlsx&amp;sheet=U0&amp;row=5354&amp;col=7&amp;number=0.00376&amp;sourceID=14","0.00376")</f>
        <v>0.00376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HYPERLINK("http://141.218.60.56/~jnz1568/getInfo.php?workbook=14_04.xlsx&amp;sheet=U0&amp;row=5355&amp;col=6&amp;number=4.1&amp;sourceID=14","4.1")</f>
        <v>4.1</v>
      </c>
      <c r="G5355" s="4" t="str">
        <f>HYPERLINK("http://141.218.60.56/~jnz1568/getInfo.php?workbook=14_04.xlsx&amp;sheet=U0&amp;row=5355&amp;col=7&amp;number=0.00376&amp;sourceID=14","0.00376")</f>
        <v>0.00376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HYPERLINK("http://141.218.60.56/~jnz1568/getInfo.php?workbook=14_04.xlsx&amp;sheet=U0&amp;row=5356&amp;col=6&amp;number=4.2&amp;sourceID=14","4.2")</f>
        <v>4.2</v>
      </c>
      <c r="G5356" s="4" t="str">
        <f>HYPERLINK("http://141.218.60.56/~jnz1568/getInfo.php?workbook=14_04.xlsx&amp;sheet=U0&amp;row=5356&amp;col=7&amp;number=0.00376&amp;sourceID=14","0.00376")</f>
        <v>0.00376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HYPERLINK("http://141.218.60.56/~jnz1568/getInfo.php?workbook=14_04.xlsx&amp;sheet=U0&amp;row=5357&amp;col=6&amp;number=4.3&amp;sourceID=14","4.3")</f>
        <v>4.3</v>
      </c>
      <c r="G5357" s="4" t="str">
        <f>HYPERLINK("http://141.218.60.56/~jnz1568/getInfo.php?workbook=14_04.xlsx&amp;sheet=U0&amp;row=5357&amp;col=7&amp;number=0.00376&amp;sourceID=14","0.00376")</f>
        <v>0.00376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HYPERLINK("http://141.218.60.56/~jnz1568/getInfo.php?workbook=14_04.xlsx&amp;sheet=U0&amp;row=5358&amp;col=6&amp;number=4.4&amp;sourceID=14","4.4")</f>
        <v>4.4</v>
      </c>
      <c r="G5358" s="4" t="str">
        <f>HYPERLINK("http://141.218.60.56/~jnz1568/getInfo.php?workbook=14_04.xlsx&amp;sheet=U0&amp;row=5358&amp;col=7&amp;number=0.00376&amp;sourceID=14","0.00376")</f>
        <v>0.00376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HYPERLINK("http://141.218.60.56/~jnz1568/getInfo.php?workbook=14_04.xlsx&amp;sheet=U0&amp;row=5359&amp;col=6&amp;number=4.5&amp;sourceID=14","4.5")</f>
        <v>4.5</v>
      </c>
      <c r="G5359" s="4" t="str">
        <f>HYPERLINK("http://141.218.60.56/~jnz1568/getInfo.php?workbook=14_04.xlsx&amp;sheet=U0&amp;row=5359&amp;col=7&amp;number=0.00376&amp;sourceID=14","0.00376")</f>
        <v>0.00376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HYPERLINK("http://141.218.60.56/~jnz1568/getInfo.php?workbook=14_04.xlsx&amp;sheet=U0&amp;row=5360&amp;col=6&amp;number=4.6&amp;sourceID=14","4.6")</f>
        <v>4.6</v>
      </c>
      <c r="G5360" s="4" t="str">
        <f>HYPERLINK("http://141.218.60.56/~jnz1568/getInfo.php?workbook=14_04.xlsx&amp;sheet=U0&amp;row=5360&amp;col=7&amp;number=0.00376&amp;sourceID=14","0.00376")</f>
        <v>0.00376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HYPERLINK("http://141.218.60.56/~jnz1568/getInfo.php?workbook=14_04.xlsx&amp;sheet=U0&amp;row=5361&amp;col=6&amp;number=4.7&amp;sourceID=14","4.7")</f>
        <v>4.7</v>
      </c>
      <c r="G5361" s="4" t="str">
        <f>HYPERLINK("http://141.218.60.56/~jnz1568/getInfo.php?workbook=14_04.xlsx&amp;sheet=U0&amp;row=5361&amp;col=7&amp;number=0.00376&amp;sourceID=14","0.00376")</f>
        <v>0.00376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HYPERLINK("http://141.218.60.56/~jnz1568/getInfo.php?workbook=14_04.xlsx&amp;sheet=U0&amp;row=5362&amp;col=6&amp;number=4.8&amp;sourceID=14","4.8")</f>
        <v>4.8</v>
      </c>
      <c r="G5362" s="4" t="str">
        <f>HYPERLINK("http://141.218.60.56/~jnz1568/getInfo.php?workbook=14_04.xlsx&amp;sheet=U0&amp;row=5362&amp;col=7&amp;number=0.00376&amp;sourceID=14","0.00376")</f>
        <v>0.00376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HYPERLINK("http://141.218.60.56/~jnz1568/getInfo.php?workbook=14_04.xlsx&amp;sheet=U0&amp;row=5363&amp;col=6&amp;number=4.9&amp;sourceID=14","4.9")</f>
        <v>4.9</v>
      </c>
      <c r="G5363" s="4" t="str">
        <f>HYPERLINK("http://141.218.60.56/~jnz1568/getInfo.php?workbook=14_04.xlsx&amp;sheet=U0&amp;row=5363&amp;col=7&amp;number=0.00376&amp;sourceID=14","0.00376")</f>
        <v>0.00376</v>
      </c>
    </row>
    <row r="5364" spans="1:7">
      <c r="A5364" s="3">
        <v>14</v>
      </c>
      <c r="B5364" s="3">
        <v>4</v>
      </c>
      <c r="C5364" s="3">
        <v>3</v>
      </c>
      <c r="D5364" s="3">
        <v>70</v>
      </c>
      <c r="E5364" s="3">
        <v>1</v>
      </c>
      <c r="F5364" s="4" t="str">
        <f>HYPERLINK("http://141.218.60.56/~jnz1568/getInfo.php?workbook=14_04.xlsx&amp;sheet=U0&amp;row=5364&amp;col=6&amp;number=3&amp;sourceID=14","3")</f>
        <v>3</v>
      </c>
      <c r="G5364" s="4" t="str">
        <f>HYPERLINK("http://141.218.60.56/~jnz1568/getInfo.php?workbook=14_04.xlsx&amp;sheet=U0&amp;row=5364&amp;col=7&amp;number=0.00651&amp;sourceID=14","0.00651")</f>
        <v>0.00651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HYPERLINK("http://141.218.60.56/~jnz1568/getInfo.php?workbook=14_04.xlsx&amp;sheet=U0&amp;row=5365&amp;col=6&amp;number=3.1&amp;sourceID=14","3.1")</f>
        <v>3.1</v>
      </c>
      <c r="G5365" s="4" t="str">
        <f>HYPERLINK("http://141.218.60.56/~jnz1568/getInfo.php?workbook=14_04.xlsx&amp;sheet=U0&amp;row=5365&amp;col=7&amp;number=0.00651&amp;sourceID=14","0.00651")</f>
        <v>0.00651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HYPERLINK("http://141.218.60.56/~jnz1568/getInfo.php?workbook=14_04.xlsx&amp;sheet=U0&amp;row=5366&amp;col=6&amp;number=3.2&amp;sourceID=14","3.2")</f>
        <v>3.2</v>
      </c>
      <c r="G5366" s="4" t="str">
        <f>HYPERLINK("http://141.218.60.56/~jnz1568/getInfo.php?workbook=14_04.xlsx&amp;sheet=U0&amp;row=5366&amp;col=7&amp;number=0.00651&amp;sourceID=14","0.00651")</f>
        <v>0.00651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HYPERLINK("http://141.218.60.56/~jnz1568/getInfo.php?workbook=14_04.xlsx&amp;sheet=U0&amp;row=5367&amp;col=6&amp;number=3.3&amp;sourceID=14","3.3")</f>
        <v>3.3</v>
      </c>
      <c r="G5367" s="4" t="str">
        <f>HYPERLINK("http://141.218.60.56/~jnz1568/getInfo.php?workbook=14_04.xlsx&amp;sheet=U0&amp;row=5367&amp;col=7&amp;number=0.00651&amp;sourceID=14","0.00651")</f>
        <v>0.00651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HYPERLINK("http://141.218.60.56/~jnz1568/getInfo.php?workbook=14_04.xlsx&amp;sheet=U0&amp;row=5368&amp;col=6&amp;number=3.4&amp;sourceID=14","3.4")</f>
        <v>3.4</v>
      </c>
      <c r="G5368" s="4" t="str">
        <f>HYPERLINK("http://141.218.60.56/~jnz1568/getInfo.php?workbook=14_04.xlsx&amp;sheet=U0&amp;row=5368&amp;col=7&amp;number=0.00651&amp;sourceID=14","0.00651")</f>
        <v>0.00651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HYPERLINK("http://141.218.60.56/~jnz1568/getInfo.php?workbook=14_04.xlsx&amp;sheet=U0&amp;row=5369&amp;col=6&amp;number=3.5&amp;sourceID=14","3.5")</f>
        <v>3.5</v>
      </c>
      <c r="G5369" s="4" t="str">
        <f>HYPERLINK("http://141.218.60.56/~jnz1568/getInfo.php?workbook=14_04.xlsx&amp;sheet=U0&amp;row=5369&amp;col=7&amp;number=0.00651&amp;sourceID=14","0.00651")</f>
        <v>0.00651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HYPERLINK("http://141.218.60.56/~jnz1568/getInfo.php?workbook=14_04.xlsx&amp;sheet=U0&amp;row=5370&amp;col=6&amp;number=3.6&amp;sourceID=14","3.6")</f>
        <v>3.6</v>
      </c>
      <c r="G5370" s="4" t="str">
        <f>HYPERLINK("http://141.218.60.56/~jnz1568/getInfo.php?workbook=14_04.xlsx&amp;sheet=U0&amp;row=5370&amp;col=7&amp;number=0.00651&amp;sourceID=14","0.00651")</f>
        <v>0.00651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HYPERLINK("http://141.218.60.56/~jnz1568/getInfo.php?workbook=14_04.xlsx&amp;sheet=U0&amp;row=5371&amp;col=6&amp;number=3.7&amp;sourceID=14","3.7")</f>
        <v>3.7</v>
      </c>
      <c r="G5371" s="4" t="str">
        <f>HYPERLINK("http://141.218.60.56/~jnz1568/getInfo.php?workbook=14_04.xlsx&amp;sheet=U0&amp;row=5371&amp;col=7&amp;number=0.00651&amp;sourceID=14","0.00651")</f>
        <v>0.00651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HYPERLINK("http://141.218.60.56/~jnz1568/getInfo.php?workbook=14_04.xlsx&amp;sheet=U0&amp;row=5372&amp;col=6&amp;number=3.8&amp;sourceID=14","3.8")</f>
        <v>3.8</v>
      </c>
      <c r="G5372" s="4" t="str">
        <f>HYPERLINK("http://141.218.60.56/~jnz1568/getInfo.php?workbook=14_04.xlsx&amp;sheet=U0&amp;row=5372&amp;col=7&amp;number=0.00652&amp;sourceID=14","0.00652")</f>
        <v>0.00652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HYPERLINK("http://141.218.60.56/~jnz1568/getInfo.php?workbook=14_04.xlsx&amp;sheet=U0&amp;row=5373&amp;col=6&amp;number=3.9&amp;sourceID=14","3.9")</f>
        <v>3.9</v>
      </c>
      <c r="G5373" s="4" t="str">
        <f>HYPERLINK("http://141.218.60.56/~jnz1568/getInfo.php?workbook=14_04.xlsx&amp;sheet=U0&amp;row=5373&amp;col=7&amp;number=0.00652&amp;sourceID=14","0.00652")</f>
        <v>0.00652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HYPERLINK("http://141.218.60.56/~jnz1568/getInfo.php?workbook=14_04.xlsx&amp;sheet=U0&amp;row=5374&amp;col=6&amp;number=4&amp;sourceID=14","4")</f>
        <v>4</v>
      </c>
      <c r="G5374" s="4" t="str">
        <f>HYPERLINK("http://141.218.60.56/~jnz1568/getInfo.php?workbook=14_04.xlsx&amp;sheet=U0&amp;row=5374&amp;col=7&amp;number=0.00652&amp;sourceID=14","0.00652")</f>
        <v>0.00652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HYPERLINK("http://141.218.60.56/~jnz1568/getInfo.php?workbook=14_04.xlsx&amp;sheet=U0&amp;row=5375&amp;col=6&amp;number=4.1&amp;sourceID=14","4.1")</f>
        <v>4.1</v>
      </c>
      <c r="G5375" s="4" t="str">
        <f>HYPERLINK("http://141.218.60.56/~jnz1568/getInfo.php?workbook=14_04.xlsx&amp;sheet=U0&amp;row=5375&amp;col=7&amp;number=0.00652&amp;sourceID=14","0.00652")</f>
        <v>0.00652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HYPERLINK("http://141.218.60.56/~jnz1568/getInfo.php?workbook=14_04.xlsx&amp;sheet=U0&amp;row=5376&amp;col=6&amp;number=4.2&amp;sourceID=14","4.2")</f>
        <v>4.2</v>
      </c>
      <c r="G5376" s="4" t="str">
        <f>HYPERLINK("http://141.218.60.56/~jnz1568/getInfo.php?workbook=14_04.xlsx&amp;sheet=U0&amp;row=5376&amp;col=7&amp;number=0.00653&amp;sourceID=14","0.00653")</f>
        <v>0.00653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HYPERLINK("http://141.218.60.56/~jnz1568/getInfo.php?workbook=14_04.xlsx&amp;sheet=U0&amp;row=5377&amp;col=6&amp;number=4.3&amp;sourceID=14","4.3")</f>
        <v>4.3</v>
      </c>
      <c r="G5377" s="4" t="str">
        <f>HYPERLINK("http://141.218.60.56/~jnz1568/getInfo.php?workbook=14_04.xlsx&amp;sheet=U0&amp;row=5377&amp;col=7&amp;number=0.00653&amp;sourceID=14","0.00653")</f>
        <v>0.00653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HYPERLINK("http://141.218.60.56/~jnz1568/getInfo.php?workbook=14_04.xlsx&amp;sheet=U0&amp;row=5378&amp;col=6&amp;number=4.4&amp;sourceID=14","4.4")</f>
        <v>4.4</v>
      </c>
      <c r="G5378" s="4" t="str">
        <f>HYPERLINK("http://141.218.60.56/~jnz1568/getInfo.php?workbook=14_04.xlsx&amp;sheet=U0&amp;row=5378&amp;col=7&amp;number=0.00653&amp;sourceID=14","0.00653")</f>
        <v>0.00653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HYPERLINK("http://141.218.60.56/~jnz1568/getInfo.php?workbook=14_04.xlsx&amp;sheet=U0&amp;row=5379&amp;col=6&amp;number=4.5&amp;sourceID=14","4.5")</f>
        <v>4.5</v>
      </c>
      <c r="G5379" s="4" t="str">
        <f>HYPERLINK("http://141.218.60.56/~jnz1568/getInfo.php?workbook=14_04.xlsx&amp;sheet=U0&amp;row=5379&amp;col=7&amp;number=0.00654&amp;sourceID=14","0.00654")</f>
        <v>0.00654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HYPERLINK("http://141.218.60.56/~jnz1568/getInfo.php?workbook=14_04.xlsx&amp;sheet=U0&amp;row=5380&amp;col=6&amp;number=4.6&amp;sourceID=14","4.6")</f>
        <v>4.6</v>
      </c>
      <c r="G5380" s="4" t="str">
        <f>HYPERLINK("http://141.218.60.56/~jnz1568/getInfo.php?workbook=14_04.xlsx&amp;sheet=U0&amp;row=5380&amp;col=7&amp;number=0.00655&amp;sourceID=14","0.00655")</f>
        <v>0.00655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HYPERLINK("http://141.218.60.56/~jnz1568/getInfo.php?workbook=14_04.xlsx&amp;sheet=U0&amp;row=5381&amp;col=6&amp;number=4.7&amp;sourceID=14","4.7")</f>
        <v>4.7</v>
      </c>
      <c r="G5381" s="4" t="str">
        <f>HYPERLINK("http://141.218.60.56/~jnz1568/getInfo.php?workbook=14_04.xlsx&amp;sheet=U0&amp;row=5381&amp;col=7&amp;number=0.00656&amp;sourceID=14","0.00656")</f>
        <v>0.00656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HYPERLINK("http://141.218.60.56/~jnz1568/getInfo.php?workbook=14_04.xlsx&amp;sheet=U0&amp;row=5382&amp;col=6&amp;number=4.8&amp;sourceID=14","4.8")</f>
        <v>4.8</v>
      </c>
      <c r="G5382" s="4" t="str">
        <f>HYPERLINK("http://141.218.60.56/~jnz1568/getInfo.php?workbook=14_04.xlsx&amp;sheet=U0&amp;row=5382&amp;col=7&amp;number=0.00657&amp;sourceID=14","0.00657")</f>
        <v>0.00657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HYPERLINK("http://141.218.60.56/~jnz1568/getInfo.php?workbook=14_04.xlsx&amp;sheet=U0&amp;row=5383&amp;col=6&amp;number=4.9&amp;sourceID=14","4.9")</f>
        <v>4.9</v>
      </c>
      <c r="G5383" s="4" t="str">
        <f>HYPERLINK("http://141.218.60.56/~jnz1568/getInfo.php?workbook=14_04.xlsx&amp;sheet=U0&amp;row=5383&amp;col=7&amp;number=0.00659&amp;sourceID=14","0.00659")</f>
        <v>0.00659</v>
      </c>
    </row>
    <row r="5384" spans="1:7">
      <c r="A5384" s="3">
        <v>14</v>
      </c>
      <c r="B5384" s="3">
        <v>4</v>
      </c>
      <c r="C5384" s="3">
        <v>3</v>
      </c>
      <c r="D5384" s="3">
        <v>71</v>
      </c>
      <c r="E5384" s="3">
        <v>1</v>
      </c>
      <c r="F5384" s="4" t="str">
        <f>HYPERLINK("http://141.218.60.56/~jnz1568/getInfo.php?workbook=14_04.xlsx&amp;sheet=U0&amp;row=5384&amp;col=6&amp;number=3&amp;sourceID=14","3")</f>
        <v>3</v>
      </c>
      <c r="G5384" s="4" t="str">
        <f>HYPERLINK("http://141.218.60.56/~jnz1568/getInfo.php?workbook=14_04.xlsx&amp;sheet=U0&amp;row=5384&amp;col=7&amp;number=0.00199&amp;sourceID=14","0.00199")</f>
        <v>0.00199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HYPERLINK("http://141.218.60.56/~jnz1568/getInfo.php?workbook=14_04.xlsx&amp;sheet=U0&amp;row=5385&amp;col=6&amp;number=3.1&amp;sourceID=14","3.1")</f>
        <v>3.1</v>
      </c>
      <c r="G5385" s="4" t="str">
        <f>HYPERLINK("http://141.218.60.56/~jnz1568/getInfo.php?workbook=14_04.xlsx&amp;sheet=U0&amp;row=5385&amp;col=7&amp;number=0.00199&amp;sourceID=14","0.00199")</f>
        <v>0.00199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HYPERLINK("http://141.218.60.56/~jnz1568/getInfo.php?workbook=14_04.xlsx&amp;sheet=U0&amp;row=5386&amp;col=6&amp;number=3.2&amp;sourceID=14","3.2")</f>
        <v>3.2</v>
      </c>
      <c r="G5386" s="4" t="str">
        <f>HYPERLINK("http://141.218.60.56/~jnz1568/getInfo.php?workbook=14_04.xlsx&amp;sheet=U0&amp;row=5386&amp;col=7&amp;number=0.00199&amp;sourceID=14","0.00199")</f>
        <v>0.00199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HYPERLINK("http://141.218.60.56/~jnz1568/getInfo.php?workbook=14_04.xlsx&amp;sheet=U0&amp;row=5387&amp;col=6&amp;number=3.3&amp;sourceID=14","3.3")</f>
        <v>3.3</v>
      </c>
      <c r="G5387" s="4" t="str">
        <f>HYPERLINK("http://141.218.60.56/~jnz1568/getInfo.php?workbook=14_04.xlsx&amp;sheet=U0&amp;row=5387&amp;col=7&amp;number=0.00199&amp;sourceID=14","0.00199")</f>
        <v>0.00199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HYPERLINK("http://141.218.60.56/~jnz1568/getInfo.php?workbook=14_04.xlsx&amp;sheet=U0&amp;row=5388&amp;col=6&amp;number=3.4&amp;sourceID=14","3.4")</f>
        <v>3.4</v>
      </c>
      <c r="G5388" s="4" t="str">
        <f>HYPERLINK("http://141.218.60.56/~jnz1568/getInfo.php?workbook=14_04.xlsx&amp;sheet=U0&amp;row=5388&amp;col=7&amp;number=0.00199&amp;sourceID=14","0.00199")</f>
        <v>0.00199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HYPERLINK("http://141.218.60.56/~jnz1568/getInfo.php?workbook=14_04.xlsx&amp;sheet=U0&amp;row=5389&amp;col=6&amp;number=3.5&amp;sourceID=14","3.5")</f>
        <v>3.5</v>
      </c>
      <c r="G5389" s="4" t="str">
        <f>HYPERLINK("http://141.218.60.56/~jnz1568/getInfo.php?workbook=14_04.xlsx&amp;sheet=U0&amp;row=5389&amp;col=7&amp;number=0.00199&amp;sourceID=14","0.00199")</f>
        <v>0.00199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HYPERLINK("http://141.218.60.56/~jnz1568/getInfo.php?workbook=14_04.xlsx&amp;sheet=U0&amp;row=5390&amp;col=6&amp;number=3.6&amp;sourceID=14","3.6")</f>
        <v>3.6</v>
      </c>
      <c r="G5390" s="4" t="str">
        <f>HYPERLINK("http://141.218.60.56/~jnz1568/getInfo.php?workbook=14_04.xlsx&amp;sheet=U0&amp;row=5390&amp;col=7&amp;number=0.00199&amp;sourceID=14","0.00199")</f>
        <v>0.00199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HYPERLINK("http://141.218.60.56/~jnz1568/getInfo.php?workbook=14_04.xlsx&amp;sheet=U0&amp;row=5391&amp;col=6&amp;number=3.7&amp;sourceID=14","3.7")</f>
        <v>3.7</v>
      </c>
      <c r="G5391" s="4" t="str">
        <f>HYPERLINK("http://141.218.60.56/~jnz1568/getInfo.php?workbook=14_04.xlsx&amp;sheet=U0&amp;row=5391&amp;col=7&amp;number=0.00199&amp;sourceID=14","0.00199")</f>
        <v>0.00199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HYPERLINK("http://141.218.60.56/~jnz1568/getInfo.php?workbook=14_04.xlsx&amp;sheet=U0&amp;row=5392&amp;col=6&amp;number=3.8&amp;sourceID=14","3.8")</f>
        <v>3.8</v>
      </c>
      <c r="G5392" s="4" t="str">
        <f>HYPERLINK("http://141.218.60.56/~jnz1568/getInfo.php?workbook=14_04.xlsx&amp;sheet=U0&amp;row=5392&amp;col=7&amp;number=0.00199&amp;sourceID=14","0.00199")</f>
        <v>0.00199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HYPERLINK("http://141.218.60.56/~jnz1568/getInfo.php?workbook=14_04.xlsx&amp;sheet=U0&amp;row=5393&amp;col=6&amp;number=3.9&amp;sourceID=14","3.9")</f>
        <v>3.9</v>
      </c>
      <c r="G5393" s="4" t="str">
        <f>HYPERLINK("http://141.218.60.56/~jnz1568/getInfo.php?workbook=14_04.xlsx&amp;sheet=U0&amp;row=5393&amp;col=7&amp;number=0.00199&amp;sourceID=14","0.00199")</f>
        <v>0.00199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HYPERLINK("http://141.218.60.56/~jnz1568/getInfo.php?workbook=14_04.xlsx&amp;sheet=U0&amp;row=5394&amp;col=6&amp;number=4&amp;sourceID=14","4")</f>
        <v>4</v>
      </c>
      <c r="G5394" s="4" t="str">
        <f>HYPERLINK("http://141.218.60.56/~jnz1568/getInfo.php?workbook=14_04.xlsx&amp;sheet=U0&amp;row=5394&amp;col=7&amp;number=0.00199&amp;sourceID=14","0.00199")</f>
        <v>0.00199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HYPERLINK("http://141.218.60.56/~jnz1568/getInfo.php?workbook=14_04.xlsx&amp;sheet=U0&amp;row=5395&amp;col=6&amp;number=4.1&amp;sourceID=14","4.1")</f>
        <v>4.1</v>
      </c>
      <c r="G5395" s="4" t="str">
        <f>HYPERLINK("http://141.218.60.56/~jnz1568/getInfo.php?workbook=14_04.xlsx&amp;sheet=U0&amp;row=5395&amp;col=7&amp;number=0.00199&amp;sourceID=14","0.00199")</f>
        <v>0.00199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HYPERLINK("http://141.218.60.56/~jnz1568/getInfo.php?workbook=14_04.xlsx&amp;sheet=U0&amp;row=5396&amp;col=6&amp;number=4.2&amp;sourceID=14","4.2")</f>
        <v>4.2</v>
      </c>
      <c r="G5396" s="4" t="str">
        <f>HYPERLINK("http://141.218.60.56/~jnz1568/getInfo.php?workbook=14_04.xlsx&amp;sheet=U0&amp;row=5396&amp;col=7&amp;number=0.00198&amp;sourceID=14","0.00198")</f>
        <v>0.00198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HYPERLINK("http://141.218.60.56/~jnz1568/getInfo.php?workbook=14_04.xlsx&amp;sheet=U0&amp;row=5397&amp;col=6&amp;number=4.3&amp;sourceID=14","4.3")</f>
        <v>4.3</v>
      </c>
      <c r="G5397" s="4" t="str">
        <f>HYPERLINK("http://141.218.60.56/~jnz1568/getInfo.php?workbook=14_04.xlsx&amp;sheet=U0&amp;row=5397&amp;col=7&amp;number=0.00198&amp;sourceID=14","0.00198")</f>
        <v>0.00198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HYPERLINK("http://141.218.60.56/~jnz1568/getInfo.php?workbook=14_04.xlsx&amp;sheet=U0&amp;row=5398&amp;col=6&amp;number=4.4&amp;sourceID=14","4.4")</f>
        <v>4.4</v>
      </c>
      <c r="G5398" s="4" t="str">
        <f>HYPERLINK("http://141.218.60.56/~jnz1568/getInfo.php?workbook=14_04.xlsx&amp;sheet=U0&amp;row=5398&amp;col=7&amp;number=0.00198&amp;sourceID=14","0.00198")</f>
        <v>0.00198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HYPERLINK("http://141.218.60.56/~jnz1568/getInfo.php?workbook=14_04.xlsx&amp;sheet=U0&amp;row=5399&amp;col=6&amp;number=4.5&amp;sourceID=14","4.5")</f>
        <v>4.5</v>
      </c>
      <c r="G5399" s="4" t="str">
        <f>HYPERLINK("http://141.218.60.56/~jnz1568/getInfo.php?workbook=14_04.xlsx&amp;sheet=U0&amp;row=5399&amp;col=7&amp;number=0.00198&amp;sourceID=14","0.00198")</f>
        <v>0.00198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HYPERLINK("http://141.218.60.56/~jnz1568/getInfo.php?workbook=14_04.xlsx&amp;sheet=U0&amp;row=5400&amp;col=6&amp;number=4.6&amp;sourceID=14","4.6")</f>
        <v>4.6</v>
      </c>
      <c r="G5400" s="4" t="str">
        <f>HYPERLINK("http://141.218.60.56/~jnz1568/getInfo.php?workbook=14_04.xlsx&amp;sheet=U0&amp;row=5400&amp;col=7&amp;number=0.00198&amp;sourceID=14","0.00198")</f>
        <v>0.00198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HYPERLINK("http://141.218.60.56/~jnz1568/getInfo.php?workbook=14_04.xlsx&amp;sheet=U0&amp;row=5401&amp;col=6&amp;number=4.7&amp;sourceID=14","4.7")</f>
        <v>4.7</v>
      </c>
      <c r="G5401" s="4" t="str">
        <f>HYPERLINK("http://141.218.60.56/~jnz1568/getInfo.php?workbook=14_04.xlsx&amp;sheet=U0&amp;row=5401&amp;col=7&amp;number=0.00197&amp;sourceID=14","0.00197")</f>
        <v>0.00197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HYPERLINK("http://141.218.60.56/~jnz1568/getInfo.php?workbook=14_04.xlsx&amp;sheet=U0&amp;row=5402&amp;col=6&amp;number=4.8&amp;sourceID=14","4.8")</f>
        <v>4.8</v>
      </c>
      <c r="G5402" s="4" t="str">
        <f>HYPERLINK("http://141.218.60.56/~jnz1568/getInfo.php?workbook=14_04.xlsx&amp;sheet=U0&amp;row=5402&amp;col=7&amp;number=0.00197&amp;sourceID=14","0.00197")</f>
        <v>0.00197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HYPERLINK("http://141.218.60.56/~jnz1568/getInfo.php?workbook=14_04.xlsx&amp;sheet=U0&amp;row=5403&amp;col=6&amp;number=4.9&amp;sourceID=14","4.9")</f>
        <v>4.9</v>
      </c>
      <c r="G5403" s="4" t="str">
        <f>HYPERLINK("http://141.218.60.56/~jnz1568/getInfo.php?workbook=14_04.xlsx&amp;sheet=U0&amp;row=5403&amp;col=7&amp;number=0.00196&amp;sourceID=14","0.00196")</f>
        <v>0.00196</v>
      </c>
    </row>
    <row r="5404" spans="1:7">
      <c r="A5404" s="3">
        <v>14</v>
      </c>
      <c r="B5404" s="3">
        <v>4</v>
      </c>
      <c r="C5404" s="3">
        <v>3</v>
      </c>
      <c r="D5404" s="3">
        <v>72</v>
      </c>
      <c r="E5404" s="3">
        <v>1</v>
      </c>
      <c r="F5404" s="4" t="str">
        <f>HYPERLINK("http://141.218.60.56/~jnz1568/getInfo.php?workbook=14_04.xlsx&amp;sheet=U0&amp;row=5404&amp;col=6&amp;number=3&amp;sourceID=14","3")</f>
        <v>3</v>
      </c>
      <c r="G5404" s="4" t="str">
        <f>HYPERLINK("http://141.218.60.56/~jnz1568/getInfo.php?workbook=14_04.xlsx&amp;sheet=U0&amp;row=5404&amp;col=7&amp;number=0.000859&amp;sourceID=14","0.000859")</f>
        <v>0.000859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HYPERLINK("http://141.218.60.56/~jnz1568/getInfo.php?workbook=14_04.xlsx&amp;sheet=U0&amp;row=5405&amp;col=6&amp;number=3.1&amp;sourceID=14","3.1")</f>
        <v>3.1</v>
      </c>
      <c r="G5405" s="4" t="str">
        <f>HYPERLINK("http://141.218.60.56/~jnz1568/getInfo.php?workbook=14_04.xlsx&amp;sheet=U0&amp;row=5405&amp;col=7&amp;number=0.000859&amp;sourceID=14","0.000859")</f>
        <v>0.000859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HYPERLINK("http://141.218.60.56/~jnz1568/getInfo.php?workbook=14_04.xlsx&amp;sheet=U0&amp;row=5406&amp;col=6&amp;number=3.2&amp;sourceID=14","3.2")</f>
        <v>3.2</v>
      </c>
      <c r="G5406" s="4" t="str">
        <f>HYPERLINK("http://141.218.60.56/~jnz1568/getInfo.php?workbook=14_04.xlsx&amp;sheet=U0&amp;row=5406&amp;col=7&amp;number=0.000859&amp;sourceID=14","0.000859")</f>
        <v>0.000859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HYPERLINK("http://141.218.60.56/~jnz1568/getInfo.php?workbook=14_04.xlsx&amp;sheet=U0&amp;row=5407&amp;col=6&amp;number=3.3&amp;sourceID=14","3.3")</f>
        <v>3.3</v>
      </c>
      <c r="G5407" s="4" t="str">
        <f>HYPERLINK("http://141.218.60.56/~jnz1568/getInfo.php?workbook=14_04.xlsx&amp;sheet=U0&amp;row=5407&amp;col=7&amp;number=0.000859&amp;sourceID=14","0.000859")</f>
        <v>0.000859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HYPERLINK("http://141.218.60.56/~jnz1568/getInfo.php?workbook=14_04.xlsx&amp;sheet=U0&amp;row=5408&amp;col=6&amp;number=3.4&amp;sourceID=14","3.4")</f>
        <v>3.4</v>
      </c>
      <c r="G5408" s="4" t="str">
        <f>HYPERLINK("http://141.218.60.56/~jnz1568/getInfo.php?workbook=14_04.xlsx&amp;sheet=U0&amp;row=5408&amp;col=7&amp;number=0.000859&amp;sourceID=14","0.000859")</f>
        <v>0.000859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HYPERLINK("http://141.218.60.56/~jnz1568/getInfo.php?workbook=14_04.xlsx&amp;sheet=U0&amp;row=5409&amp;col=6&amp;number=3.5&amp;sourceID=14","3.5")</f>
        <v>3.5</v>
      </c>
      <c r="G5409" s="4" t="str">
        <f>HYPERLINK("http://141.218.60.56/~jnz1568/getInfo.php?workbook=14_04.xlsx&amp;sheet=U0&amp;row=5409&amp;col=7&amp;number=0.000859&amp;sourceID=14","0.000859")</f>
        <v>0.000859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HYPERLINK("http://141.218.60.56/~jnz1568/getInfo.php?workbook=14_04.xlsx&amp;sheet=U0&amp;row=5410&amp;col=6&amp;number=3.6&amp;sourceID=14","3.6")</f>
        <v>3.6</v>
      </c>
      <c r="G5410" s="4" t="str">
        <f>HYPERLINK("http://141.218.60.56/~jnz1568/getInfo.php?workbook=14_04.xlsx&amp;sheet=U0&amp;row=5410&amp;col=7&amp;number=0.000859&amp;sourceID=14","0.000859")</f>
        <v>0.000859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HYPERLINK("http://141.218.60.56/~jnz1568/getInfo.php?workbook=14_04.xlsx&amp;sheet=U0&amp;row=5411&amp;col=6&amp;number=3.7&amp;sourceID=14","3.7")</f>
        <v>3.7</v>
      </c>
      <c r="G5411" s="4" t="str">
        <f>HYPERLINK("http://141.218.60.56/~jnz1568/getInfo.php?workbook=14_04.xlsx&amp;sheet=U0&amp;row=5411&amp;col=7&amp;number=0.000859&amp;sourceID=14","0.000859")</f>
        <v>0.000859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HYPERLINK("http://141.218.60.56/~jnz1568/getInfo.php?workbook=14_04.xlsx&amp;sheet=U0&amp;row=5412&amp;col=6&amp;number=3.8&amp;sourceID=14","3.8")</f>
        <v>3.8</v>
      </c>
      <c r="G5412" s="4" t="str">
        <f>HYPERLINK("http://141.218.60.56/~jnz1568/getInfo.php?workbook=14_04.xlsx&amp;sheet=U0&amp;row=5412&amp;col=7&amp;number=0.000859&amp;sourceID=14","0.000859")</f>
        <v>0.000859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HYPERLINK("http://141.218.60.56/~jnz1568/getInfo.php?workbook=14_04.xlsx&amp;sheet=U0&amp;row=5413&amp;col=6&amp;number=3.9&amp;sourceID=14","3.9")</f>
        <v>3.9</v>
      </c>
      <c r="G5413" s="4" t="str">
        <f>HYPERLINK("http://141.218.60.56/~jnz1568/getInfo.php?workbook=14_04.xlsx&amp;sheet=U0&amp;row=5413&amp;col=7&amp;number=0.000859&amp;sourceID=14","0.000859")</f>
        <v>0.000859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HYPERLINK("http://141.218.60.56/~jnz1568/getInfo.php?workbook=14_04.xlsx&amp;sheet=U0&amp;row=5414&amp;col=6&amp;number=4&amp;sourceID=14","4")</f>
        <v>4</v>
      </c>
      <c r="G5414" s="4" t="str">
        <f>HYPERLINK("http://141.218.60.56/~jnz1568/getInfo.php?workbook=14_04.xlsx&amp;sheet=U0&amp;row=5414&amp;col=7&amp;number=0.000859&amp;sourceID=14","0.000859")</f>
        <v>0.000859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HYPERLINK("http://141.218.60.56/~jnz1568/getInfo.php?workbook=14_04.xlsx&amp;sheet=U0&amp;row=5415&amp;col=6&amp;number=4.1&amp;sourceID=14","4.1")</f>
        <v>4.1</v>
      </c>
      <c r="G5415" s="4" t="str">
        <f>HYPERLINK("http://141.218.60.56/~jnz1568/getInfo.php?workbook=14_04.xlsx&amp;sheet=U0&amp;row=5415&amp;col=7&amp;number=0.000859&amp;sourceID=14","0.000859")</f>
        <v>0.000859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HYPERLINK("http://141.218.60.56/~jnz1568/getInfo.php?workbook=14_04.xlsx&amp;sheet=U0&amp;row=5416&amp;col=6&amp;number=4.2&amp;sourceID=14","4.2")</f>
        <v>4.2</v>
      </c>
      <c r="G5416" s="4" t="str">
        <f>HYPERLINK("http://141.218.60.56/~jnz1568/getInfo.php?workbook=14_04.xlsx&amp;sheet=U0&amp;row=5416&amp;col=7&amp;number=0.000858&amp;sourceID=14","0.000858")</f>
        <v>0.000858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HYPERLINK("http://141.218.60.56/~jnz1568/getInfo.php?workbook=14_04.xlsx&amp;sheet=U0&amp;row=5417&amp;col=6&amp;number=4.3&amp;sourceID=14","4.3")</f>
        <v>4.3</v>
      </c>
      <c r="G5417" s="4" t="str">
        <f>HYPERLINK("http://141.218.60.56/~jnz1568/getInfo.php?workbook=14_04.xlsx&amp;sheet=U0&amp;row=5417&amp;col=7&amp;number=0.000858&amp;sourceID=14","0.000858")</f>
        <v>0.000858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HYPERLINK("http://141.218.60.56/~jnz1568/getInfo.php?workbook=14_04.xlsx&amp;sheet=U0&amp;row=5418&amp;col=6&amp;number=4.4&amp;sourceID=14","4.4")</f>
        <v>4.4</v>
      </c>
      <c r="G5418" s="4" t="str">
        <f>HYPERLINK("http://141.218.60.56/~jnz1568/getInfo.php?workbook=14_04.xlsx&amp;sheet=U0&amp;row=5418&amp;col=7&amp;number=0.000858&amp;sourceID=14","0.000858")</f>
        <v>0.000858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HYPERLINK("http://141.218.60.56/~jnz1568/getInfo.php?workbook=14_04.xlsx&amp;sheet=U0&amp;row=5419&amp;col=6&amp;number=4.5&amp;sourceID=14","4.5")</f>
        <v>4.5</v>
      </c>
      <c r="G5419" s="4" t="str">
        <f>HYPERLINK("http://141.218.60.56/~jnz1568/getInfo.php?workbook=14_04.xlsx&amp;sheet=U0&amp;row=5419&amp;col=7&amp;number=0.000857&amp;sourceID=14","0.000857")</f>
        <v>0.000857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HYPERLINK("http://141.218.60.56/~jnz1568/getInfo.php?workbook=14_04.xlsx&amp;sheet=U0&amp;row=5420&amp;col=6&amp;number=4.6&amp;sourceID=14","4.6")</f>
        <v>4.6</v>
      </c>
      <c r="G5420" s="4" t="str">
        <f>HYPERLINK("http://141.218.60.56/~jnz1568/getInfo.php?workbook=14_04.xlsx&amp;sheet=U0&amp;row=5420&amp;col=7&amp;number=0.000857&amp;sourceID=14","0.000857")</f>
        <v>0.000857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HYPERLINK("http://141.218.60.56/~jnz1568/getInfo.php?workbook=14_04.xlsx&amp;sheet=U0&amp;row=5421&amp;col=6&amp;number=4.7&amp;sourceID=14","4.7")</f>
        <v>4.7</v>
      </c>
      <c r="G5421" s="4" t="str">
        <f>HYPERLINK("http://141.218.60.56/~jnz1568/getInfo.php?workbook=14_04.xlsx&amp;sheet=U0&amp;row=5421&amp;col=7&amp;number=0.000856&amp;sourceID=14","0.000856")</f>
        <v>0.000856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HYPERLINK("http://141.218.60.56/~jnz1568/getInfo.php?workbook=14_04.xlsx&amp;sheet=U0&amp;row=5422&amp;col=6&amp;number=4.8&amp;sourceID=14","4.8")</f>
        <v>4.8</v>
      </c>
      <c r="G5422" s="4" t="str">
        <f>HYPERLINK("http://141.218.60.56/~jnz1568/getInfo.php?workbook=14_04.xlsx&amp;sheet=U0&amp;row=5422&amp;col=7&amp;number=0.000855&amp;sourceID=14","0.000855")</f>
        <v>0.000855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HYPERLINK("http://141.218.60.56/~jnz1568/getInfo.php?workbook=14_04.xlsx&amp;sheet=U0&amp;row=5423&amp;col=6&amp;number=4.9&amp;sourceID=14","4.9")</f>
        <v>4.9</v>
      </c>
      <c r="G5423" s="4" t="str">
        <f>HYPERLINK("http://141.218.60.56/~jnz1568/getInfo.php?workbook=14_04.xlsx&amp;sheet=U0&amp;row=5423&amp;col=7&amp;number=0.000854&amp;sourceID=14","0.000854")</f>
        <v>0.000854</v>
      </c>
    </row>
    <row r="5424" spans="1:7">
      <c r="A5424" s="3">
        <v>14</v>
      </c>
      <c r="B5424" s="3">
        <v>4</v>
      </c>
      <c r="C5424" s="3">
        <v>3</v>
      </c>
      <c r="D5424" s="3">
        <v>73</v>
      </c>
      <c r="E5424" s="3">
        <v>1</v>
      </c>
      <c r="F5424" s="4" t="str">
        <f>HYPERLINK("http://141.218.60.56/~jnz1568/getInfo.php?workbook=14_04.xlsx&amp;sheet=U0&amp;row=5424&amp;col=6&amp;number=3&amp;sourceID=14","3")</f>
        <v>3</v>
      </c>
      <c r="G5424" s="4" t="str">
        <f>HYPERLINK("http://141.218.60.56/~jnz1568/getInfo.php?workbook=14_04.xlsx&amp;sheet=U0&amp;row=5424&amp;col=7&amp;number=0.0011&amp;sourceID=14","0.0011")</f>
        <v>0.0011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HYPERLINK("http://141.218.60.56/~jnz1568/getInfo.php?workbook=14_04.xlsx&amp;sheet=U0&amp;row=5425&amp;col=6&amp;number=3.1&amp;sourceID=14","3.1")</f>
        <v>3.1</v>
      </c>
      <c r="G5425" s="4" t="str">
        <f>HYPERLINK("http://141.218.60.56/~jnz1568/getInfo.php?workbook=14_04.xlsx&amp;sheet=U0&amp;row=5425&amp;col=7&amp;number=0.0011&amp;sourceID=14","0.0011")</f>
        <v>0.0011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HYPERLINK("http://141.218.60.56/~jnz1568/getInfo.php?workbook=14_04.xlsx&amp;sheet=U0&amp;row=5426&amp;col=6&amp;number=3.2&amp;sourceID=14","3.2")</f>
        <v>3.2</v>
      </c>
      <c r="G5426" s="4" t="str">
        <f>HYPERLINK("http://141.218.60.56/~jnz1568/getInfo.php?workbook=14_04.xlsx&amp;sheet=U0&amp;row=5426&amp;col=7&amp;number=0.0011&amp;sourceID=14","0.0011")</f>
        <v>0.0011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HYPERLINK("http://141.218.60.56/~jnz1568/getInfo.php?workbook=14_04.xlsx&amp;sheet=U0&amp;row=5427&amp;col=6&amp;number=3.3&amp;sourceID=14","3.3")</f>
        <v>3.3</v>
      </c>
      <c r="G5427" s="4" t="str">
        <f>HYPERLINK("http://141.218.60.56/~jnz1568/getInfo.php?workbook=14_04.xlsx&amp;sheet=U0&amp;row=5427&amp;col=7&amp;number=0.0011&amp;sourceID=14","0.0011")</f>
        <v>0.0011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HYPERLINK("http://141.218.60.56/~jnz1568/getInfo.php?workbook=14_04.xlsx&amp;sheet=U0&amp;row=5428&amp;col=6&amp;number=3.4&amp;sourceID=14","3.4")</f>
        <v>3.4</v>
      </c>
      <c r="G5428" s="4" t="str">
        <f>HYPERLINK("http://141.218.60.56/~jnz1568/getInfo.php?workbook=14_04.xlsx&amp;sheet=U0&amp;row=5428&amp;col=7&amp;number=0.0011&amp;sourceID=14","0.0011")</f>
        <v>0.0011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HYPERLINK("http://141.218.60.56/~jnz1568/getInfo.php?workbook=14_04.xlsx&amp;sheet=U0&amp;row=5429&amp;col=6&amp;number=3.5&amp;sourceID=14","3.5")</f>
        <v>3.5</v>
      </c>
      <c r="G5429" s="4" t="str">
        <f>HYPERLINK("http://141.218.60.56/~jnz1568/getInfo.php?workbook=14_04.xlsx&amp;sheet=U0&amp;row=5429&amp;col=7&amp;number=0.0011&amp;sourceID=14","0.0011")</f>
        <v>0.0011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HYPERLINK("http://141.218.60.56/~jnz1568/getInfo.php?workbook=14_04.xlsx&amp;sheet=U0&amp;row=5430&amp;col=6&amp;number=3.6&amp;sourceID=14","3.6")</f>
        <v>3.6</v>
      </c>
      <c r="G5430" s="4" t="str">
        <f>HYPERLINK("http://141.218.60.56/~jnz1568/getInfo.php?workbook=14_04.xlsx&amp;sheet=U0&amp;row=5430&amp;col=7&amp;number=0.0011&amp;sourceID=14","0.0011")</f>
        <v>0.0011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HYPERLINK("http://141.218.60.56/~jnz1568/getInfo.php?workbook=14_04.xlsx&amp;sheet=U0&amp;row=5431&amp;col=6&amp;number=3.7&amp;sourceID=14","3.7")</f>
        <v>3.7</v>
      </c>
      <c r="G5431" s="4" t="str">
        <f>HYPERLINK("http://141.218.60.56/~jnz1568/getInfo.php?workbook=14_04.xlsx&amp;sheet=U0&amp;row=5431&amp;col=7&amp;number=0.0011&amp;sourceID=14","0.0011")</f>
        <v>0.0011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HYPERLINK("http://141.218.60.56/~jnz1568/getInfo.php?workbook=14_04.xlsx&amp;sheet=U0&amp;row=5432&amp;col=6&amp;number=3.8&amp;sourceID=14","3.8")</f>
        <v>3.8</v>
      </c>
      <c r="G5432" s="4" t="str">
        <f>HYPERLINK("http://141.218.60.56/~jnz1568/getInfo.php?workbook=14_04.xlsx&amp;sheet=U0&amp;row=5432&amp;col=7&amp;number=0.0011&amp;sourceID=14","0.0011")</f>
        <v>0.0011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HYPERLINK("http://141.218.60.56/~jnz1568/getInfo.php?workbook=14_04.xlsx&amp;sheet=U0&amp;row=5433&amp;col=6&amp;number=3.9&amp;sourceID=14","3.9")</f>
        <v>3.9</v>
      </c>
      <c r="G5433" s="4" t="str">
        <f>HYPERLINK("http://141.218.60.56/~jnz1568/getInfo.php?workbook=14_04.xlsx&amp;sheet=U0&amp;row=5433&amp;col=7&amp;number=0.0011&amp;sourceID=14","0.0011")</f>
        <v>0.0011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HYPERLINK("http://141.218.60.56/~jnz1568/getInfo.php?workbook=14_04.xlsx&amp;sheet=U0&amp;row=5434&amp;col=6&amp;number=4&amp;sourceID=14","4")</f>
        <v>4</v>
      </c>
      <c r="G5434" s="4" t="str">
        <f>HYPERLINK("http://141.218.60.56/~jnz1568/getInfo.php?workbook=14_04.xlsx&amp;sheet=U0&amp;row=5434&amp;col=7&amp;number=0.0011&amp;sourceID=14","0.0011")</f>
        <v>0.0011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HYPERLINK("http://141.218.60.56/~jnz1568/getInfo.php?workbook=14_04.xlsx&amp;sheet=U0&amp;row=5435&amp;col=6&amp;number=4.1&amp;sourceID=14","4.1")</f>
        <v>4.1</v>
      </c>
      <c r="G5435" s="4" t="str">
        <f>HYPERLINK("http://141.218.60.56/~jnz1568/getInfo.php?workbook=14_04.xlsx&amp;sheet=U0&amp;row=5435&amp;col=7&amp;number=0.0011&amp;sourceID=14","0.0011")</f>
        <v>0.0011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HYPERLINK("http://141.218.60.56/~jnz1568/getInfo.php?workbook=14_04.xlsx&amp;sheet=U0&amp;row=5436&amp;col=6&amp;number=4.2&amp;sourceID=14","4.2")</f>
        <v>4.2</v>
      </c>
      <c r="G5436" s="4" t="str">
        <f>HYPERLINK("http://141.218.60.56/~jnz1568/getInfo.php?workbook=14_04.xlsx&amp;sheet=U0&amp;row=5436&amp;col=7&amp;number=0.0011&amp;sourceID=14","0.0011")</f>
        <v>0.0011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HYPERLINK("http://141.218.60.56/~jnz1568/getInfo.php?workbook=14_04.xlsx&amp;sheet=U0&amp;row=5437&amp;col=6&amp;number=4.3&amp;sourceID=14","4.3")</f>
        <v>4.3</v>
      </c>
      <c r="G5437" s="4" t="str">
        <f>HYPERLINK("http://141.218.60.56/~jnz1568/getInfo.php?workbook=14_04.xlsx&amp;sheet=U0&amp;row=5437&amp;col=7&amp;number=0.0011&amp;sourceID=14","0.0011")</f>
        <v>0.0011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HYPERLINK("http://141.218.60.56/~jnz1568/getInfo.php?workbook=14_04.xlsx&amp;sheet=U0&amp;row=5438&amp;col=6&amp;number=4.4&amp;sourceID=14","4.4")</f>
        <v>4.4</v>
      </c>
      <c r="G5438" s="4" t="str">
        <f>HYPERLINK("http://141.218.60.56/~jnz1568/getInfo.php?workbook=14_04.xlsx&amp;sheet=U0&amp;row=5438&amp;col=7&amp;number=0.0011&amp;sourceID=14","0.0011")</f>
        <v>0.0011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HYPERLINK("http://141.218.60.56/~jnz1568/getInfo.php?workbook=14_04.xlsx&amp;sheet=U0&amp;row=5439&amp;col=6&amp;number=4.5&amp;sourceID=14","4.5")</f>
        <v>4.5</v>
      </c>
      <c r="G5439" s="4" t="str">
        <f>HYPERLINK("http://141.218.60.56/~jnz1568/getInfo.php?workbook=14_04.xlsx&amp;sheet=U0&amp;row=5439&amp;col=7&amp;number=0.0011&amp;sourceID=14","0.0011")</f>
        <v>0.0011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HYPERLINK("http://141.218.60.56/~jnz1568/getInfo.php?workbook=14_04.xlsx&amp;sheet=U0&amp;row=5440&amp;col=6&amp;number=4.6&amp;sourceID=14","4.6")</f>
        <v>4.6</v>
      </c>
      <c r="G5440" s="4" t="str">
        <f>HYPERLINK("http://141.218.60.56/~jnz1568/getInfo.php?workbook=14_04.xlsx&amp;sheet=U0&amp;row=5440&amp;col=7&amp;number=0.0011&amp;sourceID=14","0.0011")</f>
        <v>0.0011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HYPERLINK("http://141.218.60.56/~jnz1568/getInfo.php?workbook=14_04.xlsx&amp;sheet=U0&amp;row=5441&amp;col=6&amp;number=4.7&amp;sourceID=14","4.7")</f>
        <v>4.7</v>
      </c>
      <c r="G5441" s="4" t="str">
        <f>HYPERLINK("http://141.218.60.56/~jnz1568/getInfo.php?workbook=14_04.xlsx&amp;sheet=U0&amp;row=5441&amp;col=7&amp;number=0.0011&amp;sourceID=14","0.0011")</f>
        <v>0.0011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HYPERLINK("http://141.218.60.56/~jnz1568/getInfo.php?workbook=14_04.xlsx&amp;sheet=U0&amp;row=5442&amp;col=6&amp;number=4.8&amp;sourceID=14","4.8")</f>
        <v>4.8</v>
      </c>
      <c r="G5442" s="4" t="str">
        <f>HYPERLINK("http://141.218.60.56/~jnz1568/getInfo.php?workbook=14_04.xlsx&amp;sheet=U0&amp;row=5442&amp;col=7&amp;number=0.00109&amp;sourceID=14","0.00109")</f>
        <v>0.00109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HYPERLINK("http://141.218.60.56/~jnz1568/getInfo.php?workbook=14_04.xlsx&amp;sheet=U0&amp;row=5443&amp;col=6&amp;number=4.9&amp;sourceID=14","4.9")</f>
        <v>4.9</v>
      </c>
      <c r="G5443" s="4" t="str">
        <f>HYPERLINK("http://141.218.60.56/~jnz1568/getInfo.php?workbook=14_04.xlsx&amp;sheet=U0&amp;row=5443&amp;col=7&amp;number=0.00109&amp;sourceID=14","0.00109")</f>
        <v>0.00109</v>
      </c>
    </row>
    <row r="5444" spans="1:7">
      <c r="A5444" s="3">
        <v>14</v>
      </c>
      <c r="B5444" s="3">
        <v>4</v>
      </c>
      <c r="C5444" s="3">
        <v>3</v>
      </c>
      <c r="D5444" s="3">
        <v>74</v>
      </c>
      <c r="E5444" s="3">
        <v>1</v>
      </c>
      <c r="F5444" s="4" t="str">
        <f>HYPERLINK("http://141.218.60.56/~jnz1568/getInfo.php?workbook=14_04.xlsx&amp;sheet=U0&amp;row=5444&amp;col=6&amp;number=3&amp;sourceID=14","3")</f>
        <v>3</v>
      </c>
      <c r="G5444" s="4" t="str">
        <f>HYPERLINK("http://141.218.60.56/~jnz1568/getInfo.php?workbook=14_04.xlsx&amp;sheet=U0&amp;row=5444&amp;col=7&amp;number=0.00325&amp;sourceID=14","0.00325")</f>
        <v>0.00325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HYPERLINK("http://141.218.60.56/~jnz1568/getInfo.php?workbook=14_04.xlsx&amp;sheet=U0&amp;row=5445&amp;col=6&amp;number=3.1&amp;sourceID=14","3.1")</f>
        <v>3.1</v>
      </c>
      <c r="G5445" s="4" t="str">
        <f>HYPERLINK("http://141.218.60.56/~jnz1568/getInfo.php?workbook=14_04.xlsx&amp;sheet=U0&amp;row=5445&amp;col=7&amp;number=0.00325&amp;sourceID=14","0.00325")</f>
        <v>0.00325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HYPERLINK("http://141.218.60.56/~jnz1568/getInfo.php?workbook=14_04.xlsx&amp;sheet=U0&amp;row=5446&amp;col=6&amp;number=3.2&amp;sourceID=14","3.2")</f>
        <v>3.2</v>
      </c>
      <c r="G5446" s="4" t="str">
        <f>HYPERLINK("http://141.218.60.56/~jnz1568/getInfo.php?workbook=14_04.xlsx&amp;sheet=U0&amp;row=5446&amp;col=7&amp;number=0.00325&amp;sourceID=14","0.00325")</f>
        <v>0.00325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HYPERLINK("http://141.218.60.56/~jnz1568/getInfo.php?workbook=14_04.xlsx&amp;sheet=U0&amp;row=5447&amp;col=6&amp;number=3.3&amp;sourceID=14","3.3")</f>
        <v>3.3</v>
      </c>
      <c r="G5447" s="4" t="str">
        <f>HYPERLINK("http://141.218.60.56/~jnz1568/getInfo.php?workbook=14_04.xlsx&amp;sheet=U0&amp;row=5447&amp;col=7&amp;number=0.00325&amp;sourceID=14","0.00325")</f>
        <v>0.00325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HYPERLINK("http://141.218.60.56/~jnz1568/getInfo.php?workbook=14_04.xlsx&amp;sheet=U0&amp;row=5448&amp;col=6&amp;number=3.4&amp;sourceID=14","3.4")</f>
        <v>3.4</v>
      </c>
      <c r="G5448" s="4" t="str">
        <f>HYPERLINK("http://141.218.60.56/~jnz1568/getInfo.php?workbook=14_04.xlsx&amp;sheet=U0&amp;row=5448&amp;col=7&amp;number=0.00325&amp;sourceID=14","0.00325")</f>
        <v>0.00325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HYPERLINK("http://141.218.60.56/~jnz1568/getInfo.php?workbook=14_04.xlsx&amp;sheet=U0&amp;row=5449&amp;col=6&amp;number=3.5&amp;sourceID=14","3.5")</f>
        <v>3.5</v>
      </c>
      <c r="G5449" s="4" t="str">
        <f>HYPERLINK("http://141.218.60.56/~jnz1568/getInfo.php?workbook=14_04.xlsx&amp;sheet=U0&amp;row=5449&amp;col=7&amp;number=0.00325&amp;sourceID=14","0.00325")</f>
        <v>0.00325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HYPERLINK("http://141.218.60.56/~jnz1568/getInfo.php?workbook=14_04.xlsx&amp;sheet=U0&amp;row=5450&amp;col=6&amp;number=3.6&amp;sourceID=14","3.6")</f>
        <v>3.6</v>
      </c>
      <c r="G5450" s="4" t="str">
        <f>HYPERLINK("http://141.218.60.56/~jnz1568/getInfo.php?workbook=14_04.xlsx&amp;sheet=U0&amp;row=5450&amp;col=7&amp;number=0.00325&amp;sourceID=14","0.00325")</f>
        <v>0.00325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HYPERLINK("http://141.218.60.56/~jnz1568/getInfo.php?workbook=14_04.xlsx&amp;sheet=U0&amp;row=5451&amp;col=6&amp;number=3.7&amp;sourceID=14","3.7")</f>
        <v>3.7</v>
      </c>
      <c r="G5451" s="4" t="str">
        <f>HYPERLINK("http://141.218.60.56/~jnz1568/getInfo.php?workbook=14_04.xlsx&amp;sheet=U0&amp;row=5451&amp;col=7&amp;number=0.00325&amp;sourceID=14","0.00325")</f>
        <v>0.00325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HYPERLINK("http://141.218.60.56/~jnz1568/getInfo.php?workbook=14_04.xlsx&amp;sheet=U0&amp;row=5452&amp;col=6&amp;number=3.8&amp;sourceID=14","3.8")</f>
        <v>3.8</v>
      </c>
      <c r="G5452" s="4" t="str">
        <f>HYPERLINK("http://141.218.60.56/~jnz1568/getInfo.php?workbook=14_04.xlsx&amp;sheet=U0&amp;row=5452&amp;col=7&amp;number=0.00325&amp;sourceID=14","0.00325")</f>
        <v>0.00325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HYPERLINK("http://141.218.60.56/~jnz1568/getInfo.php?workbook=14_04.xlsx&amp;sheet=U0&amp;row=5453&amp;col=6&amp;number=3.9&amp;sourceID=14","3.9")</f>
        <v>3.9</v>
      </c>
      <c r="G5453" s="4" t="str">
        <f>HYPERLINK("http://141.218.60.56/~jnz1568/getInfo.php?workbook=14_04.xlsx&amp;sheet=U0&amp;row=5453&amp;col=7&amp;number=0.00325&amp;sourceID=14","0.00325")</f>
        <v>0.00325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HYPERLINK("http://141.218.60.56/~jnz1568/getInfo.php?workbook=14_04.xlsx&amp;sheet=U0&amp;row=5454&amp;col=6&amp;number=4&amp;sourceID=14","4")</f>
        <v>4</v>
      </c>
      <c r="G5454" s="4" t="str">
        <f>HYPERLINK("http://141.218.60.56/~jnz1568/getInfo.php?workbook=14_04.xlsx&amp;sheet=U0&amp;row=5454&amp;col=7&amp;number=0.00325&amp;sourceID=14","0.00325")</f>
        <v>0.00325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HYPERLINK("http://141.218.60.56/~jnz1568/getInfo.php?workbook=14_04.xlsx&amp;sheet=U0&amp;row=5455&amp;col=6&amp;number=4.1&amp;sourceID=14","4.1")</f>
        <v>4.1</v>
      </c>
      <c r="G5455" s="4" t="str">
        <f>HYPERLINK("http://141.218.60.56/~jnz1568/getInfo.php?workbook=14_04.xlsx&amp;sheet=U0&amp;row=5455&amp;col=7&amp;number=0.00325&amp;sourceID=14","0.00325")</f>
        <v>0.00325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HYPERLINK("http://141.218.60.56/~jnz1568/getInfo.php?workbook=14_04.xlsx&amp;sheet=U0&amp;row=5456&amp;col=6&amp;number=4.2&amp;sourceID=14","4.2")</f>
        <v>4.2</v>
      </c>
      <c r="G5456" s="4" t="str">
        <f>HYPERLINK("http://141.218.60.56/~jnz1568/getInfo.php?workbook=14_04.xlsx&amp;sheet=U0&amp;row=5456&amp;col=7&amp;number=0.00326&amp;sourceID=14","0.00326")</f>
        <v>0.00326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HYPERLINK("http://141.218.60.56/~jnz1568/getInfo.php?workbook=14_04.xlsx&amp;sheet=U0&amp;row=5457&amp;col=6&amp;number=4.3&amp;sourceID=14","4.3")</f>
        <v>4.3</v>
      </c>
      <c r="G5457" s="4" t="str">
        <f>HYPERLINK("http://141.218.60.56/~jnz1568/getInfo.php?workbook=14_04.xlsx&amp;sheet=U0&amp;row=5457&amp;col=7&amp;number=0.00326&amp;sourceID=14","0.00326")</f>
        <v>0.00326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HYPERLINK("http://141.218.60.56/~jnz1568/getInfo.php?workbook=14_04.xlsx&amp;sheet=U0&amp;row=5458&amp;col=6&amp;number=4.4&amp;sourceID=14","4.4")</f>
        <v>4.4</v>
      </c>
      <c r="G5458" s="4" t="str">
        <f>HYPERLINK("http://141.218.60.56/~jnz1568/getInfo.php?workbook=14_04.xlsx&amp;sheet=U0&amp;row=5458&amp;col=7&amp;number=0.00326&amp;sourceID=14","0.00326")</f>
        <v>0.00326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HYPERLINK("http://141.218.60.56/~jnz1568/getInfo.php?workbook=14_04.xlsx&amp;sheet=U0&amp;row=5459&amp;col=6&amp;number=4.5&amp;sourceID=14","4.5")</f>
        <v>4.5</v>
      </c>
      <c r="G5459" s="4" t="str">
        <f>HYPERLINK("http://141.218.60.56/~jnz1568/getInfo.php?workbook=14_04.xlsx&amp;sheet=U0&amp;row=5459&amp;col=7&amp;number=0.00326&amp;sourceID=14","0.00326")</f>
        <v>0.00326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HYPERLINK("http://141.218.60.56/~jnz1568/getInfo.php?workbook=14_04.xlsx&amp;sheet=U0&amp;row=5460&amp;col=6&amp;number=4.6&amp;sourceID=14","4.6")</f>
        <v>4.6</v>
      </c>
      <c r="G5460" s="4" t="str">
        <f>HYPERLINK("http://141.218.60.56/~jnz1568/getInfo.php?workbook=14_04.xlsx&amp;sheet=U0&amp;row=5460&amp;col=7&amp;number=0.00327&amp;sourceID=14","0.00327")</f>
        <v>0.00327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HYPERLINK("http://141.218.60.56/~jnz1568/getInfo.php?workbook=14_04.xlsx&amp;sheet=U0&amp;row=5461&amp;col=6&amp;number=4.7&amp;sourceID=14","4.7")</f>
        <v>4.7</v>
      </c>
      <c r="G5461" s="4" t="str">
        <f>HYPERLINK("http://141.218.60.56/~jnz1568/getInfo.php?workbook=14_04.xlsx&amp;sheet=U0&amp;row=5461&amp;col=7&amp;number=0.00327&amp;sourceID=14","0.00327")</f>
        <v>0.00327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HYPERLINK("http://141.218.60.56/~jnz1568/getInfo.php?workbook=14_04.xlsx&amp;sheet=U0&amp;row=5462&amp;col=6&amp;number=4.8&amp;sourceID=14","4.8")</f>
        <v>4.8</v>
      </c>
      <c r="G5462" s="4" t="str">
        <f>HYPERLINK("http://141.218.60.56/~jnz1568/getInfo.php?workbook=14_04.xlsx&amp;sheet=U0&amp;row=5462&amp;col=7&amp;number=0.00328&amp;sourceID=14","0.00328")</f>
        <v>0.00328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HYPERLINK("http://141.218.60.56/~jnz1568/getInfo.php?workbook=14_04.xlsx&amp;sheet=U0&amp;row=5463&amp;col=6&amp;number=4.9&amp;sourceID=14","4.9")</f>
        <v>4.9</v>
      </c>
      <c r="G5463" s="4" t="str">
        <f>HYPERLINK("http://141.218.60.56/~jnz1568/getInfo.php?workbook=14_04.xlsx&amp;sheet=U0&amp;row=5463&amp;col=7&amp;number=0.00329&amp;sourceID=14","0.00329")</f>
        <v>0.00329</v>
      </c>
    </row>
    <row r="5464" spans="1:7">
      <c r="A5464" s="3">
        <v>14</v>
      </c>
      <c r="B5464" s="3">
        <v>4</v>
      </c>
      <c r="C5464" s="3">
        <v>3</v>
      </c>
      <c r="D5464" s="3">
        <v>75</v>
      </c>
      <c r="E5464" s="3">
        <v>1</v>
      </c>
      <c r="F5464" s="4" t="str">
        <f>HYPERLINK("http://141.218.60.56/~jnz1568/getInfo.php?workbook=14_04.xlsx&amp;sheet=U0&amp;row=5464&amp;col=6&amp;number=3&amp;sourceID=14","3")</f>
        <v>3</v>
      </c>
      <c r="G5464" s="4" t="str">
        <f>HYPERLINK("http://141.218.60.56/~jnz1568/getInfo.php?workbook=14_04.xlsx&amp;sheet=U0&amp;row=5464&amp;col=7&amp;number=0.00283&amp;sourceID=14","0.00283")</f>
        <v>0.00283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HYPERLINK("http://141.218.60.56/~jnz1568/getInfo.php?workbook=14_04.xlsx&amp;sheet=U0&amp;row=5465&amp;col=6&amp;number=3.1&amp;sourceID=14","3.1")</f>
        <v>3.1</v>
      </c>
      <c r="G5465" s="4" t="str">
        <f>HYPERLINK("http://141.218.60.56/~jnz1568/getInfo.php?workbook=14_04.xlsx&amp;sheet=U0&amp;row=5465&amp;col=7&amp;number=0.00283&amp;sourceID=14","0.00283")</f>
        <v>0.00283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HYPERLINK("http://141.218.60.56/~jnz1568/getInfo.php?workbook=14_04.xlsx&amp;sheet=U0&amp;row=5466&amp;col=6&amp;number=3.2&amp;sourceID=14","3.2")</f>
        <v>3.2</v>
      </c>
      <c r="G5466" s="4" t="str">
        <f>HYPERLINK("http://141.218.60.56/~jnz1568/getInfo.php?workbook=14_04.xlsx&amp;sheet=U0&amp;row=5466&amp;col=7&amp;number=0.00283&amp;sourceID=14","0.00283")</f>
        <v>0.00283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HYPERLINK("http://141.218.60.56/~jnz1568/getInfo.php?workbook=14_04.xlsx&amp;sheet=U0&amp;row=5467&amp;col=6&amp;number=3.3&amp;sourceID=14","3.3")</f>
        <v>3.3</v>
      </c>
      <c r="G5467" s="4" t="str">
        <f>HYPERLINK("http://141.218.60.56/~jnz1568/getInfo.php?workbook=14_04.xlsx&amp;sheet=U0&amp;row=5467&amp;col=7&amp;number=0.00283&amp;sourceID=14","0.00283")</f>
        <v>0.00283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HYPERLINK("http://141.218.60.56/~jnz1568/getInfo.php?workbook=14_04.xlsx&amp;sheet=U0&amp;row=5468&amp;col=6&amp;number=3.4&amp;sourceID=14","3.4")</f>
        <v>3.4</v>
      </c>
      <c r="G5468" s="4" t="str">
        <f>HYPERLINK("http://141.218.60.56/~jnz1568/getInfo.php?workbook=14_04.xlsx&amp;sheet=U0&amp;row=5468&amp;col=7&amp;number=0.00283&amp;sourceID=14","0.00283")</f>
        <v>0.00283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HYPERLINK("http://141.218.60.56/~jnz1568/getInfo.php?workbook=14_04.xlsx&amp;sheet=U0&amp;row=5469&amp;col=6&amp;number=3.5&amp;sourceID=14","3.5")</f>
        <v>3.5</v>
      </c>
      <c r="G5469" s="4" t="str">
        <f>HYPERLINK("http://141.218.60.56/~jnz1568/getInfo.php?workbook=14_04.xlsx&amp;sheet=U0&amp;row=5469&amp;col=7&amp;number=0.00283&amp;sourceID=14","0.00283")</f>
        <v>0.00283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HYPERLINK("http://141.218.60.56/~jnz1568/getInfo.php?workbook=14_04.xlsx&amp;sheet=U0&amp;row=5470&amp;col=6&amp;number=3.6&amp;sourceID=14","3.6")</f>
        <v>3.6</v>
      </c>
      <c r="G5470" s="4" t="str">
        <f>HYPERLINK("http://141.218.60.56/~jnz1568/getInfo.php?workbook=14_04.xlsx&amp;sheet=U0&amp;row=5470&amp;col=7&amp;number=0.00283&amp;sourceID=14","0.00283")</f>
        <v>0.00283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HYPERLINK("http://141.218.60.56/~jnz1568/getInfo.php?workbook=14_04.xlsx&amp;sheet=U0&amp;row=5471&amp;col=6&amp;number=3.7&amp;sourceID=14","3.7")</f>
        <v>3.7</v>
      </c>
      <c r="G5471" s="4" t="str">
        <f>HYPERLINK("http://141.218.60.56/~jnz1568/getInfo.php?workbook=14_04.xlsx&amp;sheet=U0&amp;row=5471&amp;col=7&amp;number=0.00283&amp;sourceID=14","0.00283")</f>
        <v>0.00283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HYPERLINK("http://141.218.60.56/~jnz1568/getInfo.php?workbook=14_04.xlsx&amp;sheet=U0&amp;row=5472&amp;col=6&amp;number=3.8&amp;sourceID=14","3.8")</f>
        <v>3.8</v>
      </c>
      <c r="G5472" s="4" t="str">
        <f>HYPERLINK("http://141.218.60.56/~jnz1568/getInfo.php?workbook=14_04.xlsx&amp;sheet=U0&amp;row=5472&amp;col=7&amp;number=0.00283&amp;sourceID=14","0.00283")</f>
        <v>0.00283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HYPERLINK("http://141.218.60.56/~jnz1568/getInfo.php?workbook=14_04.xlsx&amp;sheet=U0&amp;row=5473&amp;col=6&amp;number=3.9&amp;sourceID=14","3.9")</f>
        <v>3.9</v>
      </c>
      <c r="G5473" s="4" t="str">
        <f>HYPERLINK("http://141.218.60.56/~jnz1568/getInfo.php?workbook=14_04.xlsx&amp;sheet=U0&amp;row=5473&amp;col=7&amp;number=0.00284&amp;sourceID=14","0.00284")</f>
        <v>0.00284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HYPERLINK("http://141.218.60.56/~jnz1568/getInfo.php?workbook=14_04.xlsx&amp;sheet=U0&amp;row=5474&amp;col=6&amp;number=4&amp;sourceID=14","4")</f>
        <v>4</v>
      </c>
      <c r="G5474" s="4" t="str">
        <f>HYPERLINK("http://141.218.60.56/~jnz1568/getInfo.php?workbook=14_04.xlsx&amp;sheet=U0&amp;row=5474&amp;col=7&amp;number=0.00284&amp;sourceID=14","0.00284")</f>
        <v>0.00284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HYPERLINK("http://141.218.60.56/~jnz1568/getInfo.php?workbook=14_04.xlsx&amp;sheet=U0&amp;row=5475&amp;col=6&amp;number=4.1&amp;sourceID=14","4.1")</f>
        <v>4.1</v>
      </c>
      <c r="G5475" s="4" t="str">
        <f>HYPERLINK("http://141.218.60.56/~jnz1568/getInfo.php?workbook=14_04.xlsx&amp;sheet=U0&amp;row=5475&amp;col=7&amp;number=0.00284&amp;sourceID=14","0.00284")</f>
        <v>0.00284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HYPERLINK("http://141.218.60.56/~jnz1568/getInfo.php?workbook=14_04.xlsx&amp;sheet=U0&amp;row=5476&amp;col=6&amp;number=4.2&amp;sourceID=14","4.2")</f>
        <v>4.2</v>
      </c>
      <c r="G5476" s="4" t="str">
        <f>HYPERLINK("http://141.218.60.56/~jnz1568/getInfo.php?workbook=14_04.xlsx&amp;sheet=U0&amp;row=5476&amp;col=7&amp;number=0.00284&amp;sourceID=14","0.00284")</f>
        <v>0.00284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HYPERLINK("http://141.218.60.56/~jnz1568/getInfo.php?workbook=14_04.xlsx&amp;sheet=U0&amp;row=5477&amp;col=6&amp;number=4.3&amp;sourceID=14","4.3")</f>
        <v>4.3</v>
      </c>
      <c r="G5477" s="4" t="str">
        <f>HYPERLINK("http://141.218.60.56/~jnz1568/getInfo.php?workbook=14_04.xlsx&amp;sheet=U0&amp;row=5477&amp;col=7&amp;number=0.00284&amp;sourceID=14","0.00284")</f>
        <v>0.00284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HYPERLINK("http://141.218.60.56/~jnz1568/getInfo.php?workbook=14_04.xlsx&amp;sheet=U0&amp;row=5478&amp;col=6&amp;number=4.4&amp;sourceID=14","4.4")</f>
        <v>4.4</v>
      </c>
      <c r="G5478" s="4" t="str">
        <f>HYPERLINK("http://141.218.60.56/~jnz1568/getInfo.php?workbook=14_04.xlsx&amp;sheet=U0&amp;row=5478&amp;col=7&amp;number=0.00284&amp;sourceID=14","0.00284")</f>
        <v>0.00284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HYPERLINK("http://141.218.60.56/~jnz1568/getInfo.php?workbook=14_04.xlsx&amp;sheet=U0&amp;row=5479&amp;col=6&amp;number=4.5&amp;sourceID=14","4.5")</f>
        <v>4.5</v>
      </c>
      <c r="G5479" s="4" t="str">
        <f>HYPERLINK("http://141.218.60.56/~jnz1568/getInfo.php?workbook=14_04.xlsx&amp;sheet=U0&amp;row=5479&amp;col=7&amp;number=0.00284&amp;sourceID=14","0.00284")</f>
        <v>0.00284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HYPERLINK("http://141.218.60.56/~jnz1568/getInfo.php?workbook=14_04.xlsx&amp;sheet=U0&amp;row=5480&amp;col=6&amp;number=4.6&amp;sourceID=14","4.6")</f>
        <v>4.6</v>
      </c>
      <c r="G5480" s="4" t="str">
        <f>HYPERLINK("http://141.218.60.56/~jnz1568/getInfo.php?workbook=14_04.xlsx&amp;sheet=U0&amp;row=5480&amp;col=7&amp;number=0.00285&amp;sourceID=14","0.00285")</f>
        <v>0.00285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HYPERLINK("http://141.218.60.56/~jnz1568/getInfo.php?workbook=14_04.xlsx&amp;sheet=U0&amp;row=5481&amp;col=6&amp;number=4.7&amp;sourceID=14","4.7")</f>
        <v>4.7</v>
      </c>
      <c r="G5481" s="4" t="str">
        <f>HYPERLINK("http://141.218.60.56/~jnz1568/getInfo.php?workbook=14_04.xlsx&amp;sheet=U0&amp;row=5481&amp;col=7&amp;number=0.00285&amp;sourceID=14","0.00285")</f>
        <v>0.00285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HYPERLINK("http://141.218.60.56/~jnz1568/getInfo.php?workbook=14_04.xlsx&amp;sheet=U0&amp;row=5482&amp;col=6&amp;number=4.8&amp;sourceID=14","4.8")</f>
        <v>4.8</v>
      </c>
      <c r="G5482" s="4" t="str">
        <f>HYPERLINK("http://141.218.60.56/~jnz1568/getInfo.php?workbook=14_04.xlsx&amp;sheet=U0&amp;row=5482&amp;col=7&amp;number=0.00286&amp;sourceID=14","0.00286")</f>
        <v>0.00286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HYPERLINK("http://141.218.60.56/~jnz1568/getInfo.php?workbook=14_04.xlsx&amp;sheet=U0&amp;row=5483&amp;col=6&amp;number=4.9&amp;sourceID=14","4.9")</f>
        <v>4.9</v>
      </c>
      <c r="G5483" s="4" t="str">
        <f>HYPERLINK("http://141.218.60.56/~jnz1568/getInfo.php?workbook=14_04.xlsx&amp;sheet=U0&amp;row=5483&amp;col=7&amp;number=0.00286&amp;sourceID=14","0.00286")</f>
        <v>0.00286</v>
      </c>
    </row>
    <row r="5484" spans="1:7">
      <c r="A5484" s="3">
        <v>14</v>
      </c>
      <c r="B5484" s="3">
        <v>4</v>
      </c>
      <c r="C5484" s="3">
        <v>3</v>
      </c>
      <c r="D5484" s="3">
        <v>76</v>
      </c>
      <c r="E5484" s="3">
        <v>1</v>
      </c>
      <c r="F5484" s="4" t="str">
        <f>HYPERLINK("http://141.218.60.56/~jnz1568/getInfo.php?workbook=14_04.xlsx&amp;sheet=U0&amp;row=5484&amp;col=6&amp;number=3&amp;sourceID=14","3")</f>
        <v>3</v>
      </c>
      <c r="G5484" s="4" t="str">
        <f>HYPERLINK("http://141.218.60.56/~jnz1568/getInfo.php?workbook=14_04.xlsx&amp;sheet=U0&amp;row=5484&amp;col=7&amp;number=0.00181&amp;sourceID=14","0.00181")</f>
        <v>0.00181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HYPERLINK("http://141.218.60.56/~jnz1568/getInfo.php?workbook=14_04.xlsx&amp;sheet=U0&amp;row=5485&amp;col=6&amp;number=3.1&amp;sourceID=14","3.1")</f>
        <v>3.1</v>
      </c>
      <c r="G5485" s="4" t="str">
        <f>HYPERLINK("http://141.218.60.56/~jnz1568/getInfo.php?workbook=14_04.xlsx&amp;sheet=U0&amp;row=5485&amp;col=7&amp;number=0.00181&amp;sourceID=14","0.00181")</f>
        <v>0.00181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HYPERLINK("http://141.218.60.56/~jnz1568/getInfo.php?workbook=14_04.xlsx&amp;sheet=U0&amp;row=5486&amp;col=6&amp;number=3.2&amp;sourceID=14","3.2")</f>
        <v>3.2</v>
      </c>
      <c r="G5486" s="4" t="str">
        <f>HYPERLINK("http://141.218.60.56/~jnz1568/getInfo.php?workbook=14_04.xlsx&amp;sheet=U0&amp;row=5486&amp;col=7&amp;number=0.00181&amp;sourceID=14","0.00181")</f>
        <v>0.00181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HYPERLINK("http://141.218.60.56/~jnz1568/getInfo.php?workbook=14_04.xlsx&amp;sheet=U0&amp;row=5487&amp;col=6&amp;number=3.3&amp;sourceID=14","3.3")</f>
        <v>3.3</v>
      </c>
      <c r="G5487" s="4" t="str">
        <f>HYPERLINK("http://141.218.60.56/~jnz1568/getInfo.php?workbook=14_04.xlsx&amp;sheet=U0&amp;row=5487&amp;col=7&amp;number=0.00181&amp;sourceID=14","0.00181")</f>
        <v>0.00181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HYPERLINK("http://141.218.60.56/~jnz1568/getInfo.php?workbook=14_04.xlsx&amp;sheet=U0&amp;row=5488&amp;col=6&amp;number=3.4&amp;sourceID=14","3.4")</f>
        <v>3.4</v>
      </c>
      <c r="G5488" s="4" t="str">
        <f>HYPERLINK("http://141.218.60.56/~jnz1568/getInfo.php?workbook=14_04.xlsx&amp;sheet=U0&amp;row=5488&amp;col=7&amp;number=0.00181&amp;sourceID=14","0.00181")</f>
        <v>0.00181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HYPERLINK("http://141.218.60.56/~jnz1568/getInfo.php?workbook=14_04.xlsx&amp;sheet=U0&amp;row=5489&amp;col=6&amp;number=3.5&amp;sourceID=14","3.5")</f>
        <v>3.5</v>
      </c>
      <c r="G5489" s="4" t="str">
        <f>HYPERLINK("http://141.218.60.56/~jnz1568/getInfo.php?workbook=14_04.xlsx&amp;sheet=U0&amp;row=5489&amp;col=7&amp;number=0.00181&amp;sourceID=14","0.00181")</f>
        <v>0.00181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HYPERLINK("http://141.218.60.56/~jnz1568/getInfo.php?workbook=14_04.xlsx&amp;sheet=U0&amp;row=5490&amp;col=6&amp;number=3.6&amp;sourceID=14","3.6")</f>
        <v>3.6</v>
      </c>
      <c r="G5490" s="4" t="str">
        <f>HYPERLINK("http://141.218.60.56/~jnz1568/getInfo.php?workbook=14_04.xlsx&amp;sheet=U0&amp;row=5490&amp;col=7&amp;number=0.00181&amp;sourceID=14","0.00181")</f>
        <v>0.00181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HYPERLINK("http://141.218.60.56/~jnz1568/getInfo.php?workbook=14_04.xlsx&amp;sheet=U0&amp;row=5491&amp;col=6&amp;number=3.7&amp;sourceID=14","3.7")</f>
        <v>3.7</v>
      </c>
      <c r="G5491" s="4" t="str">
        <f>HYPERLINK("http://141.218.60.56/~jnz1568/getInfo.php?workbook=14_04.xlsx&amp;sheet=U0&amp;row=5491&amp;col=7&amp;number=0.00181&amp;sourceID=14","0.00181")</f>
        <v>0.00181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HYPERLINK("http://141.218.60.56/~jnz1568/getInfo.php?workbook=14_04.xlsx&amp;sheet=U0&amp;row=5492&amp;col=6&amp;number=3.8&amp;sourceID=14","3.8")</f>
        <v>3.8</v>
      </c>
      <c r="G5492" s="4" t="str">
        <f>HYPERLINK("http://141.218.60.56/~jnz1568/getInfo.php?workbook=14_04.xlsx&amp;sheet=U0&amp;row=5492&amp;col=7&amp;number=0.00181&amp;sourceID=14","0.00181")</f>
        <v>0.00181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HYPERLINK("http://141.218.60.56/~jnz1568/getInfo.php?workbook=14_04.xlsx&amp;sheet=U0&amp;row=5493&amp;col=6&amp;number=3.9&amp;sourceID=14","3.9")</f>
        <v>3.9</v>
      </c>
      <c r="G5493" s="4" t="str">
        <f>HYPERLINK("http://141.218.60.56/~jnz1568/getInfo.php?workbook=14_04.xlsx&amp;sheet=U0&amp;row=5493&amp;col=7&amp;number=0.00181&amp;sourceID=14","0.00181")</f>
        <v>0.00181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HYPERLINK("http://141.218.60.56/~jnz1568/getInfo.php?workbook=14_04.xlsx&amp;sheet=U0&amp;row=5494&amp;col=6&amp;number=4&amp;sourceID=14","4")</f>
        <v>4</v>
      </c>
      <c r="G5494" s="4" t="str">
        <f>HYPERLINK("http://141.218.60.56/~jnz1568/getInfo.php?workbook=14_04.xlsx&amp;sheet=U0&amp;row=5494&amp;col=7&amp;number=0.00181&amp;sourceID=14","0.00181")</f>
        <v>0.00181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HYPERLINK("http://141.218.60.56/~jnz1568/getInfo.php?workbook=14_04.xlsx&amp;sheet=U0&amp;row=5495&amp;col=6&amp;number=4.1&amp;sourceID=14","4.1")</f>
        <v>4.1</v>
      </c>
      <c r="G5495" s="4" t="str">
        <f>HYPERLINK("http://141.218.60.56/~jnz1568/getInfo.php?workbook=14_04.xlsx&amp;sheet=U0&amp;row=5495&amp;col=7&amp;number=0.00181&amp;sourceID=14","0.00181")</f>
        <v>0.00181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HYPERLINK("http://141.218.60.56/~jnz1568/getInfo.php?workbook=14_04.xlsx&amp;sheet=U0&amp;row=5496&amp;col=6&amp;number=4.2&amp;sourceID=14","4.2")</f>
        <v>4.2</v>
      </c>
      <c r="G5496" s="4" t="str">
        <f>HYPERLINK("http://141.218.60.56/~jnz1568/getInfo.php?workbook=14_04.xlsx&amp;sheet=U0&amp;row=5496&amp;col=7&amp;number=0.00181&amp;sourceID=14","0.00181")</f>
        <v>0.00181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HYPERLINK("http://141.218.60.56/~jnz1568/getInfo.php?workbook=14_04.xlsx&amp;sheet=U0&amp;row=5497&amp;col=6&amp;number=4.3&amp;sourceID=14","4.3")</f>
        <v>4.3</v>
      </c>
      <c r="G5497" s="4" t="str">
        <f>HYPERLINK("http://141.218.60.56/~jnz1568/getInfo.php?workbook=14_04.xlsx&amp;sheet=U0&amp;row=5497&amp;col=7&amp;number=0.00181&amp;sourceID=14","0.00181")</f>
        <v>0.00181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HYPERLINK("http://141.218.60.56/~jnz1568/getInfo.php?workbook=14_04.xlsx&amp;sheet=U0&amp;row=5498&amp;col=6&amp;number=4.4&amp;sourceID=14","4.4")</f>
        <v>4.4</v>
      </c>
      <c r="G5498" s="4" t="str">
        <f>HYPERLINK("http://141.218.60.56/~jnz1568/getInfo.php?workbook=14_04.xlsx&amp;sheet=U0&amp;row=5498&amp;col=7&amp;number=0.00181&amp;sourceID=14","0.00181")</f>
        <v>0.00181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HYPERLINK("http://141.218.60.56/~jnz1568/getInfo.php?workbook=14_04.xlsx&amp;sheet=U0&amp;row=5499&amp;col=6&amp;number=4.5&amp;sourceID=14","4.5")</f>
        <v>4.5</v>
      </c>
      <c r="G5499" s="4" t="str">
        <f>HYPERLINK("http://141.218.60.56/~jnz1568/getInfo.php?workbook=14_04.xlsx&amp;sheet=U0&amp;row=5499&amp;col=7&amp;number=0.00181&amp;sourceID=14","0.00181")</f>
        <v>0.00181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HYPERLINK("http://141.218.60.56/~jnz1568/getInfo.php?workbook=14_04.xlsx&amp;sheet=U0&amp;row=5500&amp;col=6&amp;number=4.6&amp;sourceID=14","4.6")</f>
        <v>4.6</v>
      </c>
      <c r="G5500" s="4" t="str">
        <f>HYPERLINK("http://141.218.60.56/~jnz1568/getInfo.php?workbook=14_04.xlsx&amp;sheet=U0&amp;row=5500&amp;col=7&amp;number=0.00181&amp;sourceID=14","0.00181")</f>
        <v>0.00181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HYPERLINK("http://141.218.60.56/~jnz1568/getInfo.php?workbook=14_04.xlsx&amp;sheet=U0&amp;row=5501&amp;col=6&amp;number=4.7&amp;sourceID=14","4.7")</f>
        <v>4.7</v>
      </c>
      <c r="G5501" s="4" t="str">
        <f>HYPERLINK("http://141.218.60.56/~jnz1568/getInfo.php?workbook=14_04.xlsx&amp;sheet=U0&amp;row=5501&amp;col=7&amp;number=0.00181&amp;sourceID=14","0.00181")</f>
        <v>0.00181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HYPERLINK("http://141.218.60.56/~jnz1568/getInfo.php?workbook=14_04.xlsx&amp;sheet=U0&amp;row=5502&amp;col=6&amp;number=4.8&amp;sourceID=14","4.8")</f>
        <v>4.8</v>
      </c>
      <c r="G5502" s="4" t="str">
        <f>HYPERLINK("http://141.218.60.56/~jnz1568/getInfo.php?workbook=14_04.xlsx&amp;sheet=U0&amp;row=5502&amp;col=7&amp;number=0.00181&amp;sourceID=14","0.00181")</f>
        <v>0.00181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HYPERLINK("http://141.218.60.56/~jnz1568/getInfo.php?workbook=14_04.xlsx&amp;sheet=U0&amp;row=5503&amp;col=6&amp;number=4.9&amp;sourceID=14","4.9")</f>
        <v>4.9</v>
      </c>
      <c r="G5503" s="4" t="str">
        <f>HYPERLINK("http://141.218.60.56/~jnz1568/getInfo.php?workbook=14_04.xlsx&amp;sheet=U0&amp;row=5503&amp;col=7&amp;number=0.00181&amp;sourceID=14","0.00181")</f>
        <v>0.00181</v>
      </c>
    </row>
    <row r="5504" spans="1:7">
      <c r="A5504" s="3">
        <v>14</v>
      </c>
      <c r="B5504" s="3">
        <v>4</v>
      </c>
      <c r="C5504" s="3">
        <v>3</v>
      </c>
      <c r="D5504" s="3">
        <v>77</v>
      </c>
      <c r="E5504" s="3">
        <v>1</v>
      </c>
      <c r="F5504" s="4" t="str">
        <f>HYPERLINK("http://141.218.60.56/~jnz1568/getInfo.php?workbook=14_04.xlsx&amp;sheet=U0&amp;row=5504&amp;col=6&amp;number=3&amp;sourceID=14","3")</f>
        <v>3</v>
      </c>
      <c r="G5504" s="4" t="str">
        <f>HYPERLINK("http://141.218.60.56/~jnz1568/getInfo.php?workbook=14_04.xlsx&amp;sheet=U0&amp;row=5504&amp;col=7&amp;number=0.00108&amp;sourceID=14","0.00108")</f>
        <v>0.00108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HYPERLINK("http://141.218.60.56/~jnz1568/getInfo.php?workbook=14_04.xlsx&amp;sheet=U0&amp;row=5505&amp;col=6&amp;number=3.1&amp;sourceID=14","3.1")</f>
        <v>3.1</v>
      </c>
      <c r="G5505" s="4" t="str">
        <f>HYPERLINK("http://141.218.60.56/~jnz1568/getInfo.php?workbook=14_04.xlsx&amp;sheet=U0&amp;row=5505&amp;col=7&amp;number=0.00108&amp;sourceID=14","0.00108")</f>
        <v>0.00108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HYPERLINK("http://141.218.60.56/~jnz1568/getInfo.php?workbook=14_04.xlsx&amp;sheet=U0&amp;row=5506&amp;col=6&amp;number=3.2&amp;sourceID=14","3.2")</f>
        <v>3.2</v>
      </c>
      <c r="G5506" s="4" t="str">
        <f>HYPERLINK("http://141.218.60.56/~jnz1568/getInfo.php?workbook=14_04.xlsx&amp;sheet=U0&amp;row=5506&amp;col=7&amp;number=0.00108&amp;sourceID=14","0.00108")</f>
        <v>0.00108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HYPERLINK("http://141.218.60.56/~jnz1568/getInfo.php?workbook=14_04.xlsx&amp;sheet=U0&amp;row=5507&amp;col=6&amp;number=3.3&amp;sourceID=14","3.3")</f>
        <v>3.3</v>
      </c>
      <c r="G5507" s="4" t="str">
        <f>HYPERLINK("http://141.218.60.56/~jnz1568/getInfo.php?workbook=14_04.xlsx&amp;sheet=U0&amp;row=5507&amp;col=7&amp;number=0.00108&amp;sourceID=14","0.00108")</f>
        <v>0.00108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HYPERLINK("http://141.218.60.56/~jnz1568/getInfo.php?workbook=14_04.xlsx&amp;sheet=U0&amp;row=5508&amp;col=6&amp;number=3.4&amp;sourceID=14","3.4")</f>
        <v>3.4</v>
      </c>
      <c r="G5508" s="4" t="str">
        <f>HYPERLINK("http://141.218.60.56/~jnz1568/getInfo.php?workbook=14_04.xlsx&amp;sheet=U0&amp;row=5508&amp;col=7&amp;number=0.00108&amp;sourceID=14","0.00108")</f>
        <v>0.00108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HYPERLINK("http://141.218.60.56/~jnz1568/getInfo.php?workbook=14_04.xlsx&amp;sheet=U0&amp;row=5509&amp;col=6&amp;number=3.5&amp;sourceID=14","3.5")</f>
        <v>3.5</v>
      </c>
      <c r="G5509" s="4" t="str">
        <f>HYPERLINK("http://141.218.60.56/~jnz1568/getInfo.php?workbook=14_04.xlsx&amp;sheet=U0&amp;row=5509&amp;col=7&amp;number=0.00108&amp;sourceID=14","0.00108")</f>
        <v>0.00108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HYPERLINK("http://141.218.60.56/~jnz1568/getInfo.php?workbook=14_04.xlsx&amp;sheet=U0&amp;row=5510&amp;col=6&amp;number=3.6&amp;sourceID=14","3.6")</f>
        <v>3.6</v>
      </c>
      <c r="G5510" s="4" t="str">
        <f>HYPERLINK("http://141.218.60.56/~jnz1568/getInfo.php?workbook=14_04.xlsx&amp;sheet=U0&amp;row=5510&amp;col=7&amp;number=0.00108&amp;sourceID=14","0.00108")</f>
        <v>0.00108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HYPERLINK("http://141.218.60.56/~jnz1568/getInfo.php?workbook=14_04.xlsx&amp;sheet=U0&amp;row=5511&amp;col=6&amp;number=3.7&amp;sourceID=14","3.7")</f>
        <v>3.7</v>
      </c>
      <c r="G5511" s="4" t="str">
        <f>HYPERLINK("http://141.218.60.56/~jnz1568/getInfo.php?workbook=14_04.xlsx&amp;sheet=U0&amp;row=5511&amp;col=7&amp;number=0.00108&amp;sourceID=14","0.00108")</f>
        <v>0.00108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HYPERLINK("http://141.218.60.56/~jnz1568/getInfo.php?workbook=14_04.xlsx&amp;sheet=U0&amp;row=5512&amp;col=6&amp;number=3.8&amp;sourceID=14","3.8")</f>
        <v>3.8</v>
      </c>
      <c r="G5512" s="4" t="str">
        <f>HYPERLINK("http://141.218.60.56/~jnz1568/getInfo.php?workbook=14_04.xlsx&amp;sheet=U0&amp;row=5512&amp;col=7&amp;number=0.00108&amp;sourceID=14","0.00108")</f>
        <v>0.00108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HYPERLINK("http://141.218.60.56/~jnz1568/getInfo.php?workbook=14_04.xlsx&amp;sheet=U0&amp;row=5513&amp;col=6&amp;number=3.9&amp;sourceID=14","3.9")</f>
        <v>3.9</v>
      </c>
      <c r="G5513" s="4" t="str">
        <f>HYPERLINK("http://141.218.60.56/~jnz1568/getInfo.php?workbook=14_04.xlsx&amp;sheet=U0&amp;row=5513&amp;col=7&amp;number=0.00108&amp;sourceID=14","0.00108")</f>
        <v>0.00108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HYPERLINK("http://141.218.60.56/~jnz1568/getInfo.php?workbook=14_04.xlsx&amp;sheet=U0&amp;row=5514&amp;col=6&amp;number=4&amp;sourceID=14","4")</f>
        <v>4</v>
      </c>
      <c r="G5514" s="4" t="str">
        <f>HYPERLINK("http://141.218.60.56/~jnz1568/getInfo.php?workbook=14_04.xlsx&amp;sheet=U0&amp;row=5514&amp;col=7&amp;number=0.00108&amp;sourceID=14","0.00108")</f>
        <v>0.00108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HYPERLINK("http://141.218.60.56/~jnz1568/getInfo.php?workbook=14_04.xlsx&amp;sheet=U0&amp;row=5515&amp;col=6&amp;number=4.1&amp;sourceID=14","4.1")</f>
        <v>4.1</v>
      </c>
      <c r="G5515" s="4" t="str">
        <f>HYPERLINK("http://141.218.60.56/~jnz1568/getInfo.php?workbook=14_04.xlsx&amp;sheet=U0&amp;row=5515&amp;col=7&amp;number=0.00108&amp;sourceID=14","0.00108")</f>
        <v>0.00108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HYPERLINK("http://141.218.60.56/~jnz1568/getInfo.php?workbook=14_04.xlsx&amp;sheet=U0&amp;row=5516&amp;col=6&amp;number=4.2&amp;sourceID=14","4.2")</f>
        <v>4.2</v>
      </c>
      <c r="G5516" s="4" t="str">
        <f>HYPERLINK("http://141.218.60.56/~jnz1568/getInfo.php?workbook=14_04.xlsx&amp;sheet=U0&amp;row=5516&amp;col=7&amp;number=0.00108&amp;sourceID=14","0.00108")</f>
        <v>0.00108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HYPERLINK("http://141.218.60.56/~jnz1568/getInfo.php?workbook=14_04.xlsx&amp;sheet=U0&amp;row=5517&amp;col=6&amp;number=4.3&amp;sourceID=14","4.3")</f>
        <v>4.3</v>
      </c>
      <c r="G5517" s="4" t="str">
        <f>HYPERLINK("http://141.218.60.56/~jnz1568/getInfo.php?workbook=14_04.xlsx&amp;sheet=U0&amp;row=5517&amp;col=7&amp;number=0.00108&amp;sourceID=14","0.00108")</f>
        <v>0.00108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HYPERLINK("http://141.218.60.56/~jnz1568/getInfo.php?workbook=14_04.xlsx&amp;sheet=U0&amp;row=5518&amp;col=6&amp;number=4.4&amp;sourceID=14","4.4")</f>
        <v>4.4</v>
      </c>
      <c r="G5518" s="4" t="str">
        <f>HYPERLINK("http://141.218.60.56/~jnz1568/getInfo.php?workbook=14_04.xlsx&amp;sheet=U0&amp;row=5518&amp;col=7&amp;number=0.00108&amp;sourceID=14","0.00108")</f>
        <v>0.00108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HYPERLINK("http://141.218.60.56/~jnz1568/getInfo.php?workbook=14_04.xlsx&amp;sheet=U0&amp;row=5519&amp;col=6&amp;number=4.5&amp;sourceID=14","4.5")</f>
        <v>4.5</v>
      </c>
      <c r="G5519" s="4" t="str">
        <f>HYPERLINK("http://141.218.60.56/~jnz1568/getInfo.php?workbook=14_04.xlsx&amp;sheet=U0&amp;row=5519&amp;col=7&amp;number=0.00108&amp;sourceID=14","0.00108")</f>
        <v>0.00108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HYPERLINK("http://141.218.60.56/~jnz1568/getInfo.php?workbook=14_04.xlsx&amp;sheet=U0&amp;row=5520&amp;col=6&amp;number=4.6&amp;sourceID=14","4.6")</f>
        <v>4.6</v>
      </c>
      <c r="G5520" s="4" t="str">
        <f>HYPERLINK("http://141.218.60.56/~jnz1568/getInfo.php?workbook=14_04.xlsx&amp;sheet=U0&amp;row=5520&amp;col=7&amp;number=0.00108&amp;sourceID=14","0.00108")</f>
        <v>0.00108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HYPERLINK("http://141.218.60.56/~jnz1568/getInfo.php?workbook=14_04.xlsx&amp;sheet=U0&amp;row=5521&amp;col=6&amp;number=4.7&amp;sourceID=14","4.7")</f>
        <v>4.7</v>
      </c>
      <c r="G5521" s="4" t="str">
        <f>HYPERLINK("http://141.218.60.56/~jnz1568/getInfo.php?workbook=14_04.xlsx&amp;sheet=U0&amp;row=5521&amp;col=7&amp;number=0.00108&amp;sourceID=14","0.00108")</f>
        <v>0.00108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HYPERLINK("http://141.218.60.56/~jnz1568/getInfo.php?workbook=14_04.xlsx&amp;sheet=U0&amp;row=5522&amp;col=6&amp;number=4.8&amp;sourceID=14","4.8")</f>
        <v>4.8</v>
      </c>
      <c r="G5522" s="4" t="str">
        <f>HYPERLINK("http://141.218.60.56/~jnz1568/getInfo.php?workbook=14_04.xlsx&amp;sheet=U0&amp;row=5522&amp;col=7&amp;number=0.00108&amp;sourceID=14","0.00108")</f>
        <v>0.00108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HYPERLINK("http://141.218.60.56/~jnz1568/getInfo.php?workbook=14_04.xlsx&amp;sheet=U0&amp;row=5523&amp;col=6&amp;number=4.9&amp;sourceID=14","4.9")</f>
        <v>4.9</v>
      </c>
      <c r="G5523" s="4" t="str">
        <f>HYPERLINK("http://141.218.60.56/~jnz1568/getInfo.php?workbook=14_04.xlsx&amp;sheet=U0&amp;row=5523&amp;col=7&amp;number=0.00108&amp;sourceID=14","0.00108")</f>
        <v>0.00108</v>
      </c>
    </row>
    <row r="5524" spans="1:7">
      <c r="A5524" s="3">
        <v>14</v>
      </c>
      <c r="B5524" s="3">
        <v>4</v>
      </c>
      <c r="C5524" s="3">
        <v>3</v>
      </c>
      <c r="D5524" s="3">
        <v>78</v>
      </c>
      <c r="E5524" s="3">
        <v>1</v>
      </c>
      <c r="F5524" s="4" t="str">
        <f>HYPERLINK("http://141.218.60.56/~jnz1568/getInfo.php?workbook=14_04.xlsx&amp;sheet=U0&amp;row=5524&amp;col=6&amp;number=3&amp;sourceID=14","3")</f>
        <v>3</v>
      </c>
      <c r="G5524" s="4" t="str">
        <f>HYPERLINK("http://141.218.60.56/~jnz1568/getInfo.php?workbook=14_04.xlsx&amp;sheet=U0&amp;row=5524&amp;col=7&amp;number=0.000592&amp;sourceID=14","0.000592")</f>
        <v>0.000592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HYPERLINK("http://141.218.60.56/~jnz1568/getInfo.php?workbook=14_04.xlsx&amp;sheet=U0&amp;row=5525&amp;col=6&amp;number=3.1&amp;sourceID=14","3.1")</f>
        <v>3.1</v>
      </c>
      <c r="G5525" s="4" t="str">
        <f>HYPERLINK("http://141.218.60.56/~jnz1568/getInfo.php?workbook=14_04.xlsx&amp;sheet=U0&amp;row=5525&amp;col=7&amp;number=0.000592&amp;sourceID=14","0.000592")</f>
        <v>0.000592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HYPERLINK("http://141.218.60.56/~jnz1568/getInfo.php?workbook=14_04.xlsx&amp;sheet=U0&amp;row=5526&amp;col=6&amp;number=3.2&amp;sourceID=14","3.2")</f>
        <v>3.2</v>
      </c>
      <c r="G5526" s="4" t="str">
        <f>HYPERLINK("http://141.218.60.56/~jnz1568/getInfo.php?workbook=14_04.xlsx&amp;sheet=U0&amp;row=5526&amp;col=7&amp;number=0.000592&amp;sourceID=14","0.000592")</f>
        <v>0.000592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HYPERLINK("http://141.218.60.56/~jnz1568/getInfo.php?workbook=14_04.xlsx&amp;sheet=U0&amp;row=5527&amp;col=6&amp;number=3.3&amp;sourceID=14","3.3")</f>
        <v>3.3</v>
      </c>
      <c r="G5527" s="4" t="str">
        <f>HYPERLINK("http://141.218.60.56/~jnz1568/getInfo.php?workbook=14_04.xlsx&amp;sheet=U0&amp;row=5527&amp;col=7&amp;number=0.000592&amp;sourceID=14","0.000592")</f>
        <v>0.000592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HYPERLINK("http://141.218.60.56/~jnz1568/getInfo.php?workbook=14_04.xlsx&amp;sheet=U0&amp;row=5528&amp;col=6&amp;number=3.4&amp;sourceID=14","3.4")</f>
        <v>3.4</v>
      </c>
      <c r="G5528" s="4" t="str">
        <f>HYPERLINK("http://141.218.60.56/~jnz1568/getInfo.php?workbook=14_04.xlsx&amp;sheet=U0&amp;row=5528&amp;col=7&amp;number=0.000592&amp;sourceID=14","0.000592")</f>
        <v>0.000592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HYPERLINK("http://141.218.60.56/~jnz1568/getInfo.php?workbook=14_04.xlsx&amp;sheet=U0&amp;row=5529&amp;col=6&amp;number=3.5&amp;sourceID=14","3.5")</f>
        <v>3.5</v>
      </c>
      <c r="G5529" s="4" t="str">
        <f>HYPERLINK("http://141.218.60.56/~jnz1568/getInfo.php?workbook=14_04.xlsx&amp;sheet=U0&amp;row=5529&amp;col=7&amp;number=0.000592&amp;sourceID=14","0.000592")</f>
        <v>0.000592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HYPERLINK("http://141.218.60.56/~jnz1568/getInfo.php?workbook=14_04.xlsx&amp;sheet=U0&amp;row=5530&amp;col=6&amp;number=3.6&amp;sourceID=14","3.6")</f>
        <v>3.6</v>
      </c>
      <c r="G5530" s="4" t="str">
        <f>HYPERLINK("http://141.218.60.56/~jnz1568/getInfo.php?workbook=14_04.xlsx&amp;sheet=U0&amp;row=5530&amp;col=7&amp;number=0.000592&amp;sourceID=14","0.000592")</f>
        <v>0.000592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HYPERLINK("http://141.218.60.56/~jnz1568/getInfo.php?workbook=14_04.xlsx&amp;sheet=U0&amp;row=5531&amp;col=6&amp;number=3.7&amp;sourceID=14","3.7")</f>
        <v>3.7</v>
      </c>
      <c r="G5531" s="4" t="str">
        <f>HYPERLINK("http://141.218.60.56/~jnz1568/getInfo.php?workbook=14_04.xlsx&amp;sheet=U0&amp;row=5531&amp;col=7&amp;number=0.000592&amp;sourceID=14","0.000592")</f>
        <v>0.000592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HYPERLINK("http://141.218.60.56/~jnz1568/getInfo.php?workbook=14_04.xlsx&amp;sheet=U0&amp;row=5532&amp;col=6&amp;number=3.8&amp;sourceID=14","3.8")</f>
        <v>3.8</v>
      </c>
      <c r="G5532" s="4" t="str">
        <f>HYPERLINK("http://141.218.60.56/~jnz1568/getInfo.php?workbook=14_04.xlsx&amp;sheet=U0&amp;row=5532&amp;col=7&amp;number=0.000592&amp;sourceID=14","0.000592")</f>
        <v>0.000592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HYPERLINK("http://141.218.60.56/~jnz1568/getInfo.php?workbook=14_04.xlsx&amp;sheet=U0&amp;row=5533&amp;col=6&amp;number=3.9&amp;sourceID=14","3.9")</f>
        <v>3.9</v>
      </c>
      <c r="G5533" s="4" t="str">
        <f>HYPERLINK("http://141.218.60.56/~jnz1568/getInfo.php?workbook=14_04.xlsx&amp;sheet=U0&amp;row=5533&amp;col=7&amp;number=0.000592&amp;sourceID=14","0.000592")</f>
        <v>0.000592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HYPERLINK("http://141.218.60.56/~jnz1568/getInfo.php?workbook=14_04.xlsx&amp;sheet=U0&amp;row=5534&amp;col=6&amp;number=4&amp;sourceID=14","4")</f>
        <v>4</v>
      </c>
      <c r="G5534" s="4" t="str">
        <f>HYPERLINK("http://141.218.60.56/~jnz1568/getInfo.php?workbook=14_04.xlsx&amp;sheet=U0&amp;row=5534&amp;col=7&amp;number=0.000592&amp;sourceID=14","0.000592")</f>
        <v>0.000592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HYPERLINK("http://141.218.60.56/~jnz1568/getInfo.php?workbook=14_04.xlsx&amp;sheet=U0&amp;row=5535&amp;col=6&amp;number=4.1&amp;sourceID=14","4.1")</f>
        <v>4.1</v>
      </c>
      <c r="G5535" s="4" t="str">
        <f>HYPERLINK("http://141.218.60.56/~jnz1568/getInfo.php?workbook=14_04.xlsx&amp;sheet=U0&amp;row=5535&amp;col=7&amp;number=0.000592&amp;sourceID=14","0.000592")</f>
        <v>0.000592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HYPERLINK("http://141.218.60.56/~jnz1568/getInfo.php?workbook=14_04.xlsx&amp;sheet=U0&amp;row=5536&amp;col=6&amp;number=4.2&amp;sourceID=14","4.2")</f>
        <v>4.2</v>
      </c>
      <c r="G5536" s="4" t="str">
        <f>HYPERLINK("http://141.218.60.56/~jnz1568/getInfo.php?workbook=14_04.xlsx&amp;sheet=U0&amp;row=5536&amp;col=7&amp;number=0.000592&amp;sourceID=14","0.000592")</f>
        <v>0.000592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HYPERLINK("http://141.218.60.56/~jnz1568/getInfo.php?workbook=14_04.xlsx&amp;sheet=U0&amp;row=5537&amp;col=6&amp;number=4.3&amp;sourceID=14","4.3")</f>
        <v>4.3</v>
      </c>
      <c r="G5537" s="4" t="str">
        <f>HYPERLINK("http://141.218.60.56/~jnz1568/getInfo.php?workbook=14_04.xlsx&amp;sheet=U0&amp;row=5537&amp;col=7&amp;number=0.000592&amp;sourceID=14","0.000592")</f>
        <v>0.000592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HYPERLINK("http://141.218.60.56/~jnz1568/getInfo.php?workbook=14_04.xlsx&amp;sheet=U0&amp;row=5538&amp;col=6&amp;number=4.4&amp;sourceID=14","4.4")</f>
        <v>4.4</v>
      </c>
      <c r="G5538" s="4" t="str">
        <f>HYPERLINK("http://141.218.60.56/~jnz1568/getInfo.php?workbook=14_04.xlsx&amp;sheet=U0&amp;row=5538&amp;col=7&amp;number=0.000592&amp;sourceID=14","0.000592")</f>
        <v>0.000592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HYPERLINK("http://141.218.60.56/~jnz1568/getInfo.php?workbook=14_04.xlsx&amp;sheet=U0&amp;row=5539&amp;col=6&amp;number=4.5&amp;sourceID=14","4.5")</f>
        <v>4.5</v>
      </c>
      <c r="G5539" s="4" t="str">
        <f>HYPERLINK("http://141.218.60.56/~jnz1568/getInfo.php?workbook=14_04.xlsx&amp;sheet=U0&amp;row=5539&amp;col=7&amp;number=0.000591&amp;sourceID=14","0.000591")</f>
        <v>0.000591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HYPERLINK("http://141.218.60.56/~jnz1568/getInfo.php?workbook=14_04.xlsx&amp;sheet=U0&amp;row=5540&amp;col=6&amp;number=4.6&amp;sourceID=14","4.6")</f>
        <v>4.6</v>
      </c>
      <c r="G5540" s="4" t="str">
        <f>HYPERLINK("http://141.218.60.56/~jnz1568/getInfo.php?workbook=14_04.xlsx&amp;sheet=U0&amp;row=5540&amp;col=7&amp;number=0.000591&amp;sourceID=14","0.000591")</f>
        <v>0.000591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HYPERLINK("http://141.218.60.56/~jnz1568/getInfo.php?workbook=14_04.xlsx&amp;sheet=U0&amp;row=5541&amp;col=6&amp;number=4.7&amp;sourceID=14","4.7")</f>
        <v>4.7</v>
      </c>
      <c r="G5541" s="4" t="str">
        <f>HYPERLINK("http://141.218.60.56/~jnz1568/getInfo.php?workbook=14_04.xlsx&amp;sheet=U0&amp;row=5541&amp;col=7&amp;number=0.000591&amp;sourceID=14","0.000591")</f>
        <v>0.000591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HYPERLINK("http://141.218.60.56/~jnz1568/getInfo.php?workbook=14_04.xlsx&amp;sheet=U0&amp;row=5542&amp;col=6&amp;number=4.8&amp;sourceID=14","4.8")</f>
        <v>4.8</v>
      </c>
      <c r="G5542" s="4" t="str">
        <f>HYPERLINK("http://141.218.60.56/~jnz1568/getInfo.php?workbook=14_04.xlsx&amp;sheet=U0&amp;row=5542&amp;col=7&amp;number=0.00059&amp;sourceID=14","0.00059")</f>
        <v>0.00059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HYPERLINK("http://141.218.60.56/~jnz1568/getInfo.php?workbook=14_04.xlsx&amp;sheet=U0&amp;row=5543&amp;col=6&amp;number=4.9&amp;sourceID=14","4.9")</f>
        <v>4.9</v>
      </c>
      <c r="G5543" s="4" t="str">
        <f>HYPERLINK("http://141.218.60.56/~jnz1568/getInfo.php?workbook=14_04.xlsx&amp;sheet=U0&amp;row=5543&amp;col=7&amp;number=0.00059&amp;sourceID=14","0.00059")</f>
        <v>0.00059</v>
      </c>
    </row>
    <row r="5544" spans="1:7">
      <c r="A5544" s="3">
        <v>14</v>
      </c>
      <c r="B5544" s="3">
        <v>4</v>
      </c>
      <c r="C5544" s="3">
        <v>3</v>
      </c>
      <c r="D5544" s="3">
        <v>79</v>
      </c>
      <c r="E5544" s="3">
        <v>1</v>
      </c>
      <c r="F5544" s="4" t="str">
        <f>HYPERLINK("http://141.218.60.56/~jnz1568/getInfo.php?workbook=14_04.xlsx&amp;sheet=U0&amp;row=5544&amp;col=6&amp;number=3&amp;sourceID=14","3")</f>
        <v>3</v>
      </c>
      <c r="G5544" s="4" t="str">
        <f>HYPERLINK("http://141.218.60.56/~jnz1568/getInfo.php?workbook=14_04.xlsx&amp;sheet=U0&amp;row=5544&amp;col=7&amp;number=0.00013&amp;sourceID=14","0.00013")</f>
        <v>0.00013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HYPERLINK("http://141.218.60.56/~jnz1568/getInfo.php?workbook=14_04.xlsx&amp;sheet=U0&amp;row=5545&amp;col=6&amp;number=3.1&amp;sourceID=14","3.1")</f>
        <v>3.1</v>
      </c>
      <c r="G5545" s="4" t="str">
        <f>HYPERLINK("http://141.218.60.56/~jnz1568/getInfo.php?workbook=14_04.xlsx&amp;sheet=U0&amp;row=5545&amp;col=7&amp;number=0.00013&amp;sourceID=14","0.00013")</f>
        <v>0.00013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HYPERLINK("http://141.218.60.56/~jnz1568/getInfo.php?workbook=14_04.xlsx&amp;sheet=U0&amp;row=5546&amp;col=6&amp;number=3.2&amp;sourceID=14","3.2")</f>
        <v>3.2</v>
      </c>
      <c r="G5546" s="4" t="str">
        <f>HYPERLINK("http://141.218.60.56/~jnz1568/getInfo.php?workbook=14_04.xlsx&amp;sheet=U0&amp;row=5546&amp;col=7&amp;number=0.00013&amp;sourceID=14","0.00013")</f>
        <v>0.00013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HYPERLINK("http://141.218.60.56/~jnz1568/getInfo.php?workbook=14_04.xlsx&amp;sheet=U0&amp;row=5547&amp;col=6&amp;number=3.3&amp;sourceID=14","3.3")</f>
        <v>3.3</v>
      </c>
      <c r="G5547" s="4" t="str">
        <f>HYPERLINK("http://141.218.60.56/~jnz1568/getInfo.php?workbook=14_04.xlsx&amp;sheet=U0&amp;row=5547&amp;col=7&amp;number=0.00013&amp;sourceID=14","0.00013")</f>
        <v>0.00013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HYPERLINK("http://141.218.60.56/~jnz1568/getInfo.php?workbook=14_04.xlsx&amp;sheet=U0&amp;row=5548&amp;col=6&amp;number=3.4&amp;sourceID=14","3.4")</f>
        <v>3.4</v>
      </c>
      <c r="G5548" s="4" t="str">
        <f>HYPERLINK("http://141.218.60.56/~jnz1568/getInfo.php?workbook=14_04.xlsx&amp;sheet=U0&amp;row=5548&amp;col=7&amp;number=0.00013&amp;sourceID=14","0.00013")</f>
        <v>0.00013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HYPERLINK("http://141.218.60.56/~jnz1568/getInfo.php?workbook=14_04.xlsx&amp;sheet=U0&amp;row=5549&amp;col=6&amp;number=3.5&amp;sourceID=14","3.5")</f>
        <v>3.5</v>
      </c>
      <c r="G5549" s="4" t="str">
        <f>HYPERLINK("http://141.218.60.56/~jnz1568/getInfo.php?workbook=14_04.xlsx&amp;sheet=U0&amp;row=5549&amp;col=7&amp;number=0.00013&amp;sourceID=14","0.00013")</f>
        <v>0.00013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HYPERLINK("http://141.218.60.56/~jnz1568/getInfo.php?workbook=14_04.xlsx&amp;sheet=U0&amp;row=5550&amp;col=6&amp;number=3.6&amp;sourceID=14","3.6")</f>
        <v>3.6</v>
      </c>
      <c r="G5550" s="4" t="str">
        <f>HYPERLINK("http://141.218.60.56/~jnz1568/getInfo.php?workbook=14_04.xlsx&amp;sheet=U0&amp;row=5550&amp;col=7&amp;number=0.00013&amp;sourceID=14","0.00013")</f>
        <v>0.00013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HYPERLINK("http://141.218.60.56/~jnz1568/getInfo.php?workbook=14_04.xlsx&amp;sheet=U0&amp;row=5551&amp;col=6&amp;number=3.7&amp;sourceID=14","3.7")</f>
        <v>3.7</v>
      </c>
      <c r="G5551" s="4" t="str">
        <f>HYPERLINK("http://141.218.60.56/~jnz1568/getInfo.php?workbook=14_04.xlsx&amp;sheet=U0&amp;row=5551&amp;col=7&amp;number=0.00013&amp;sourceID=14","0.00013")</f>
        <v>0.00013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HYPERLINK("http://141.218.60.56/~jnz1568/getInfo.php?workbook=14_04.xlsx&amp;sheet=U0&amp;row=5552&amp;col=6&amp;number=3.8&amp;sourceID=14","3.8")</f>
        <v>3.8</v>
      </c>
      <c r="G5552" s="4" t="str">
        <f>HYPERLINK("http://141.218.60.56/~jnz1568/getInfo.php?workbook=14_04.xlsx&amp;sheet=U0&amp;row=5552&amp;col=7&amp;number=0.00013&amp;sourceID=14","0.00013")</f>
        <v>0.00013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HYPERLINK("http://141.218.60.56/~jnz1568/getInfo.php?workbook=14_04.xlsx&amp;sheet=U0&amp;row=5553&amp;col=6&amp;number=3.9&amp;sourceID=14","3.9")</f>
        <v>3.9</v>
      </c>
      <c r="G5553" s="4" t="str">
        <f>HYPERLINK("http://141.218.60.56/~jnz1568/getInfo.php?workbook=14_04.xlsx&amp;sheet=U0&amp;row=5553&amp;col=7&amp;number=0.00013&amp;sourceID=14","0.00013")</f>
        <v>0.00013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HYPERLINK("http://141.218.60.56/~jnz1568/getInfo.php?workbook=14_04.xlsx&amp;sheet=U0&amp;row=5554&amp;col=6&amp;number=4&amp;sourceID=14","4")</f>
        <v>4</v>
      </c>
      <c r="G5554" s="4" t="str">
        <f>HYPERLINK("http://141.218.60.56/~jnz1568/getInfo.php?workbook=14_04.xlsx&amp;sheet=U0&amp;row=5554&amp;col=7&amp;number=0.00013&amp;sourceID=14","0.00013")</f>
        <v>0.00013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HYPERLINK("http://141.218.60.56/~jnz1568/getInfo.php?workbook=14_04.xlsx&amp;sheet=U0&amp;row=5555&amp;col=6&amp;number=4.1&amp;sourceID=14","4.1")</f>
        <v>4.1</v>
      </c>
      <c r="G5555" s="4" t="str">
        <f>HYPERLINK("http://141.218.60.56/~jnz1568/getInfo.php?workbook=14_04.xlsx&amp;sheet=U0&amp;row=5555&amp;col=7&amp;number=0.00013&amp;sourceID=14","0.00013")</f>
        <v>0.00013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HYPERLINK("http://141.218.60.56/~jnz1568/getInfo.php?workbook=14_04.xlsx&amp;sheet=U0&amp;row=5556&amp;col=6&amp;number=4.2&amp;sourceID=14","4.2")</f>
        <v>4.2</v>
      </c>
      <c r="G5556" s="4" t="str">
        <f>HYPERLINK("http://141.218.60.56/~jnz1568/getInfo.php?workbook=14_04.xlsx&amp;sheet=U0&amp;row=5556&amp;col=7&amp;number=0.00013&amp;sourceID=14","0.00013")</f>
        <v>0.00013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HYPERLINK("http://141.218.60.56/~jnz1568/getInfo.php?workbook=14_04.xlsx&amp;sheet=U0&amp;row=5557&amp;col=6&amp;number=4.3&amp;sourceID=14","4.3")</f>
        <v>4.3</v>
      </c>
      <c r="G5557" s="4" t="str">
        <f>HYPERLINK("http://141.218.60.56/~jnz1568/getInfo.php?workbook=14_04.xlsx&amp;sheet=U0&amp;row=5557&amp;col=7&amp;number=0.00013&amp;sourceID=14","0.00013")</f>
        <v>0.00013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HYPERLINK("http://141.218.60.56/~jnz1568/getInfo.php?workbook=14_04.xlsx&amp;sheet=U0&amp;row=5558&amp;col=6&amp;number=4.4&amp;sourceID=14","4.4")</f>
        <v>4.4</v>
      </c>
      <c r="G5558" s="4" t="str">
        <f>HYPERLINK("http://141.218.60.56/~jnz1568/getInfo.php?workbook=14_04.xlsx&amp;sheet=U0&amp;row=5558&amp;col=7&amp;number=0.00013&amp;sourceID=14","0.00013")</f>
        <v>0.00013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HYPERLINK("http://141.218.60.56/~jnz1568/getInfo.php?workbook=14_04.xlsx&amp;sheet=U0&amp;row=5559&amp;col=6&amp;number=4.5&amp;sourceID=14","4.5")</f>
        <v>4.5</v>
      </c>
      <c r="G5559" s="4" t="str">
        <f>HYPERLINK("http://141.218.60.56/~jnz1568/getInfo.php?workbook=14_04.xlsx&amp;sheet=U0&amp;row=5559&amp;col=7&amp;number=0.00013&amp;sourceID=14","0.00013")</f>
        <v>0.00013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HYPERLINK("http://141.218.60.56/~jnz1568/getInfo.php?workbook=14_04.xlsx&amp;sheet=U0&amp;row=5560&amp;col=6&amp;number=4.6&amp;sourceID=14","4.6")</f>
        <v>4.6</v>
      </c>
      <c r="G5560" s="4" t="str">
        <f>HYPERLINK("http://141.218.60.56/~jnz1568/getInfo.php?workbook=14_04.xlsx&amp;sheet=U0&amp;row=5560&amp;col=7&amp;number=0.000129&amp;sourceID=14","0.000129")</f>
        <v>0.000129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HYPERLINK("http://141.218.60.56/~jnz1568/getInfo.php?workbook=14_04.xlsx&amp;sheet=U0&amp;row=5561&amp;col=6&amp;number=4.7&amp;sourceID=14","4.7")</f>
        <v>4.7</v>
      </c>
      <c r="G5561" s="4" t="str">
        <f>HYPERLINK("http://141.218.60.56/~jnz1568/getInfo.php?workbook=14_04.xlsx&amp;sheet=U0&amp;row=5561&amp;col=7&amp;number=0.000129&amp;sourceID=14","0.000129")</f>
        <v>0.000129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HYPERLINK("http://141.218.60.56/~jnz1568/getInfo.php?workbook=14_04.xlsx&amp;sheet=U0&amp;row=5562&amp;col=6&amp;number=4.8&amp;sourceID=14","4.8")</f>
        <v>4.8</v>
      </c>
      <c r="G5562" s="4" t="str">
        <f>HYPERLINK("http://141.218.60.56/~jnz1568/getInfo.php?workbook=14_04.xlsx&amp;sheet=U0&amp;row=5562&amp;col=7&amp;number=0.000129&amp;sourceID=14","0.000129")</f>
        <v>0.000129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HYPERLINK("http://141.218.60.56/~jnz1568/getInfo.php?workbook=14_04.xlsx&amp;sheet=U0&amp;row=5563&amp;col=6&amp;number=4.9&amp;sourceID=14","4.9")</f>
        <v>4.9</v>
      </c>
      <c r="G5563" s="4" t="str">
        <f>HYPERLINK("http://141.218.60.56/~jnz1568/getInfo.php?workbook=14_04.xlsx&amp;sheet=U0&amp;row=5563&amp;col=7&amp;number=0.000129&amp;sourceID=14","0.000129")</f>
        <v>0.000129</v>
      </c>
    </row>
    <row r="5564" spans="1:7">
      <c r="A5564" s="3">
        <v>14</v>
      </c>
      <c r="B5564" s="3">
        <v>4</v>
      </c>
      <c r="C5564" s="3">
        <v>3</v>
      </c>
      <c r="D5564" s="3">
        <v>80</v>
      </c>
      <c r="E5564" s="3">
        <v>1</v>
      </c>
      <c r="F5564" s="4" t="str">
        <f>HYPERLINK("http://141.218.60.56/~jnz1568/getInfo.php?workbook=14_04.xlsx&amp;sheet=U0&amp;row=5564&amp;col=6&amp;number=3&amp;sourceID=14","3")</f>
        <v>3</v>
      </c>
      <c r="G5564" s="4" t="str">
        <f>HYPERLINK("http://141.218.60.56/~jnz1568/getInfo.php?workbook=14_04.xlsx&amp;sheet=U0&amp;row=5564&amp;col=7&amp;number=0.000211&amp;sourceID=14","0.000211")</f>
        <v>0.000211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HYPERLINK("http://141.218.60.56/~jnz1568/getInfo.php?workbook=14_04.xlsx&amp;sheet=U0&amp;row=5565&amp;col=6&amp;number=3.1&amp;sourceID=14","3.1")</f>
        <v>3.1</v>
      </c>
      <c r="G5565" s="4" t="str">
        <f>HYPERLINK("http://141.218.60.56/~jnz1568/getInfo.php?workbook=14_04.xlsx&amp;sheet=U0&amp;row=5565&amp;col=7&amp;number=0.000211&amp;sourceID=14","0.000211")</f>
        <v>0.000211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HYPERLINK("http://141.218.60.56/~jnz1568/getInfo.php?workbook=14_04.xlsx&amp;sheet=U0&amp;row=5566&amp;col=6&amp;number=3.2&amp;sourceID=14","3.2")</f>
        <v>3.2</v>
      </c>
      <c r="G5566" s="4" t="str">
        <f>HYPERLINK("http://141.218.60.56/~jnz1568/getInfo.php?workbook=14_04.xlsx&amp;sheet=U0&amp;row=5566&amp;col=7&amp;number=0.000211&amp;sourceID=14","0.000211")</f>
        <v>0.000211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HYPERLINK("http://141.218.60.56/~jnz1568/getInfo.php?workbook=14_04.xlsx&amp;sheet=U0&amp;row=5567&amp;col=6&amp;number=3.3&amp;sourceID=14","3.3")</f>
        <v>3.3</v>
      </c>
      <c r="G5567" s="4" t="str">
        <f>HYPERLINK("http://141.218.60.56/~jnz1568/getInfo.php?workbook=14_04.xlsx&amp;sheet=U0&amp;row=5567&amp;col=7&amp;number=0.000211&amp;sourceID=14","0.000211")</f>
        <v>0.000211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HYPERLINK("http://141.218.60.56/~jnz1568/getInfo.php?workbook=14_04.xlsx&amp;sheet=U0&amp;row=5568&amp;col=6&amp;number=3.4&amp;sourceID=14","3.4")</f>
        <v>3.4</v>
      </c>
      <c r="G5568" s="4" t="str">
        <f>HYPERLINK("http://141.218.60.56/~jnz1568/getInfo.php?workbook=14_04.xlsx&amp;sheet=U0&amp;row=5568&amp;col=7&amp;number=0.000211&amp;sourceID=14","0.000211")</f>
        <v>0.000211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HYPERLINK("http://141.218.60.56/~jnz1568/getInfo.php?workbook=14_04.xlsx&amp;sheet=U0&amp;row=5569&amp;col=6&amp;number=3.5&amp;sourceID=14","3.5")</f>
        <v>3.5</v>
      </c>
      <c r="G5569" s="4" t="str">
        <f>HYPERLINK("http://141.218.60.56/~jnz1568/getInfo.php?workbook=14_04.xlsx&amp;sheet=U0&amp;row=5569&amp;col=7&amp;number=0.000211&amp;sourceID=14","0.000211")</f>
        <v>0.000211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HYPERLINK("http://141.218.60.56/~jnz1568/getInfo.php?workbook=14_04.xlsx&amp;sheet=U0&amp;row=5570&amp;col=6&amp;number=3.6&amp;sourceID=14","3.6")</f>
        <v>3.6</v>
      </c>
      <c r="G5570" s="4" t="str">
        <f>HYPERLINK("http://141.218.60.56/~jnz1568/getInfo.php?workbook=14_04.xlsx&amp;sheet=U0&amp;row=5570&amp;col=7&amp;number=0.000211&amp;sourceID=14","0.000211")</f>
        <v>0.000211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HYPERLINK("http://141.218.60.56/~jnz1568/getInfo.php?workbook=14_04.xlsx&amp;sheet=U0&amp;row=5571&amp;col=6&amp;number=3.7&amp;sourceID=14","3.7")</f>
        <v>3.7</v>
      </c>
      <c r="G5571" s="4" t="str">
        <f>HYPERLINK("http://141.218.60.56/~jnz1568/getInfo.php?workbook=14_04.xlsx&amp;sheet=U0&amp;row=5571&amp;col=7&amp;number=0.000211&amp;sourceID=14","0.000211")</f>
        <v>0.000211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HYPERLINK("http://141.218.60.56/~jnz1568/getInfo.php?workbook=14_04.xlsx&amp;sheet=U0&amp;row=5572&amp;col=6&amp;number=3.8&amp;sourceID=14","3.8")</f>
        <v>3.8</v>
      </c>
      <c r="G5572" s="4" t="str">
        <f>HYPERLINK("http://141.218.60.56/~jnz1568/getInfo.php?workbook=14_04.xlsx&amp;sheet=U0&amp;row=5572&amp;col=7&amp;number=0.000211&amp;sourceID=14","0.000211")</f>
        <v>0.000211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HYPERLINK("http://141.218.60.56/~jnz1568/getInfo.php?workbook=14_04.xlsx&amp;sheet=U0&amp;row=5573&amp;col=6&amp;number=3.9&amp;sourceID=14","3.9")</f>
        <v>3.9</v>
      </c>
      <c r="G5573" s="4" t="str">
        <f>HYPERLINK("http://141.218.60.56/~jnz1568/getInfo.php?workbook=14_04.xlsx&amp;sheet=U0&amp;row=5573&amp;col=7&amp;number=0.000211&amp;sourceID=14","0.000211")</f>
        <v>0.000211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HYPERLINK("http://141.218.60.56/~jnz1568/getInfo.php?workbook=14_04.xlsx&amp;sheet=U0&amp;row=5574&amp;col=6&amp;number=4&amp;sourceID=14","4")</f>
        <v>4</v>
      </c>
      <c r="G5574" s="4" t="str">
        <f>HYPERLINK("http://141.218.60.56/~jnz1568/getInfo.php?workbook=14_04.xlsx&amp;sheet=U0&amp;row=5574&amp;col=7&amp;number=0.000211&amp;sourceID=14","0.000211")</f>
        <v>0.000211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HYPERLINK("http://141.218.60.56/~jnz1568/getInfo.php?workbook=14_04.xlsx&amp;sheet=U0&amp;row=5575&amp;col=6&amp;number=4.1&amp;sourceID=14","4.1")</f>
        <v>4.1</v>
      </c>
      <c r="G5575" s="4" t="str">
        <f>HYPERLINK("http://141.218.60.56/~jnz1568/getInfo.php?workbook=14_04.xlsx&amp;sheet=U0&amp;row=5575&amp;col=7&amp;number=0.000211&amp;sourceID=14","0.000211")</f>
        <v>0.000211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HYPERLINK("http://141.218.60.56/~jnz1568/getInfo.php?workbook=14_04.xlsx&amp;sheet=U0&amp;row=5576&amp;col=6&amp;number=4.2&amp;sourceID=14","4.2")</f>
        <v>4.2</v>
      </c>
      <c r="G5576" s="4" t="str">
        <f>HYPERLINK("http://141.218.60.56/~jnz1568/getInfo.php?workbook=14_04.xlsx&amp;sheet=U0&amp;row=5576&amp;col=7&amp;number=0.000211&amp;sourceID=14","0.000211")</f>
        <v>0.000211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HYPERLINK("http://141.218.60.56/~jnz1568/getInfo.php?workbook=14_04.xlsx&amp;sheet=U0&amp;row=5577&amp;col=6&amp;number=4.3&amp;sourceID=14","4.3")</f>
        <v>4.3</v>
      </c>
      <c r="G5577" s="4" t="str">
        <f>HYPERLINK("http://141.218.60.56/~jnz1568/getInfo.php?workbook=14_04.xlsx&amp;sheet=U0&amp;row=5577&amp;col=7&amp;number=0.000211&amp;sourceID=14","0.000211")</f>
        <v>0.000211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HYPERLINK("http://141.218.60.56/~jnz1568/getInfo.php?workbook=14_04.xlsx&amp;sheet=U0&amp;row=5578&amp;col=6&amp;number=4.4&amp;sourceID=14","4.4")</f>
        <v>4.4</v>
      </c>
      <c r="G5578" s="4" t="str">
        <f>HYPERLINK("http://141.218.60.56/~jnz1568/getInfo.php?workbook=14_04.xlsx&amp;sheet=U0&amp;row=5578&amp;col=7&amp;number=0.00021&amp;sourceID=14","0.00021")</f>
        <v>0.00021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HYPERLINK("http://141.218.60.56/~jnz1568/getInfo.php?workbook=14_04.xlsx&amp;sheet=U0&amp;row=5579&amp;col=6&amp;number=4.5&amp;sourceID=14","4.5")</f>
        <v>4.5</v>
      </c>
      <c r="G5579" s="4" t="str">
        <f>HYPERLINK("http://141.218.60.56/~jnz1568/getInfo.php?workbook=14_04.xlsx&amp;sheet=U0&amp;row=5579&amp;col=7&amp;number=0.00021&amp;sourceID=14","0.00021")</f>
        <v>0.00021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HYPERLINK("http://141.218.60.56/~jnz1568/getInfo.php?workbook=14_04.xlsx&amp;sheet=U0&amp;row=5580&amp;col=6&amp;number=4.6&amp;sourceID=14","4.6")</f>
        <v>4.6</v>
      </c>
      <c r="G5580" s="4" t="str">
        <f>HYPERLINK("http://141.218.60.56/~jnz1568/getInfo.php?workbook=14_04.xlsx&amp;sheet=U0&amp;row=5580&amp;col=7&amp;number=0.00021&amp;sourceID=14","0.00021")</f>
        <v>0.00021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HYPERLINK("http://141.218.60.56/~jnz1568/getInfo.php?workbook=14_04.xlsx&amp;sheet=U0&amp;row=5581&amp;col=6&amp;number=4.7&amp;sourceID=14","4.7")</f>
        <v>4.7</v>
      </c>
      <c r="G5581" s="4" t="str">
        <f>HYPERLINK("http://141.218.60.56/~jnz1568/getInfo.php?workbook=14_04.xlsx&amp;sheet=U0&amp;row=5581&amp;col=7&amp;number=0.00021&amp;sourceID=14","0.00021")</f>
        <v>0.00021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HYPERLINK("http://141.218.60.56/~jnz1568/getInfo.php?workbook=14_04.xlsx&amp;sheet=U0&amp;row=5582&amp;col=6&amp;number=4.8&amp;sourceID=14","4.8")</f>
        <v>4.8</v>
      </c>
      <c r="G5582" s="4" t="str">
        <f>HYPERLINK("http://141.218.60.56/~jnz1568/getInfo.php?workbook=14_04.xlsx&amp;sheet=U0&amp;row=5582&amp;col=7&amp;number=0.000209&amp;sourceID=14","0.000209")</f>
        <v>0.000209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HYPERLINK("http://141.218.60.56/~jnz1568/getInfo.php?workbook=14_04.xlsx&amp;sheet=U0&amp;row=5583&amp;col=6&amp;number=4.9&amp;sourceID=14","4.9")</f>
        <v>4.9</v>
      </c>
      <c r="G5583" s="4" t="str">
        <f>HYPERLINK("http://141.218.60.56/~jnz1568/getInfo.php?workbook=14_04.xlsx&amp;sheet=U0&amp;row=5583&amp;col=7&amp;number=0.000209&amp;sourceID=14","0.000209")</f>
        <v>0.000209</v>
      </c>
    </row>
    <row r="5584" spans="1:7">
      <c r="A5584" s="3">
        <v>14</v>
      </c>
      <c r="B5584" s="3">
        <v>4</v>
      </c>
      <c r="C5584" s="3">
        <v>3</v>
      </c>
      <c r="D5584" s="3">
        <v>81</v>
      </c>
      <c r="E5584" s="3">
        <v>1</v>
      </c>
      <c r="F5584" s="4" t="str">
        <f>HYPERLINK("http://141.218.60.56/~jnz1568/getInfo.php?workbook=14_04.xlsx&amp;sheet=U0&amp;row=5584&amp;col=6&amp;number=3&amp;sourceID=14","3")</f>
        <v>3</v>
      </c>
      <c r="G5584" s="4" t="str">
        <f>HYPERLINK("http://141.218.60.56/~jnz1568/getInfo.php?workbook=14_04.xlsx&amp;sheet=U0&amp;row=5584&amp;col=7&amp;number=0.00184&amp;sourceID=14","0.00184")</f>
        <v>0.00184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HYPERLINK("http://141.218.60.56/~jnz1568/getInfo.php?workbook=14_04.xlsx&amp;sheet=U0&amp;row=5585&amp;col=6&amp;number=3.1&amp;sourceID=14","3.1")</f>
        <v>3.1</v>
      </c>
      <c r="G5585" s="4" t="str">
        <f>HYPERLINK("http://141.218.60.56/~jnz1568/getInfo.php?workbook=14_04.xlsx&amp;sheet=U0&amp;row=5585&amp;col=7&amp;number=0.00184&amp;sourceID=14","0.00184")</f>
        <v>0.00184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HYPERLINK("http://141.218.60.56/~jnz1568/getInfo.php?workbook=14_04.xlsx&amp;sheet=U0&amp;row=5586&amp;col=6&amp;number=3.2&amp;sourceID=14","3.2")</f>
        <v>3.2</v>
      </c>
      <c r="G5586" s="4" t="str">
        <f>HYPERLINK("http://141.218.60.56/~jnz1568/getInfo.php?workbook=14_04.xlsx&amp;sheet=U0&amp;row=5586&amp;col=7&amp;number=0.00184&amp;sourceID=14","0.00184")</f>
        <v>0.00184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HYPERLINK("http://141.218.60.56/~jnz1568/getInfo.php?workbook=14_04.xlsx&amp;sheet=U0&amp;row=5587&amp;col=6&amp;number=3.3&amp;sourceID=14","3.3")</f>
        <v>3.3</v>
      </c>
      <c r="G5587" s="4" t="str">
        <f>HYPERLINK("http://141.218.60.56/~jnz1568/getInfo.php?workbook=14_04.xlsx&amp;sheet=U0&amp;row=5587&amp;col=7&amp;number=0.00184&amp;sourceID=14","0.00184")</f>
        <v>0.00184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HYPERLINK("http://141.218.60.56/~jnz1568/getInfo.php?workbook=14_04.xlsx&amp;sheet=U0&amp;row=5588&amp;col=6&amp;number=3.4&amp;sourceID=14","3.4")</f>
        <v>3.4</v>
      </c>
      <c r="G5588" s="4" t="str">
        <f>HYPERLINK("http://141.218.60.56/~jnz1568/getInfo.php?workbook=14_04.xlsx&amp;sheet=U0&amp;row=5588&amp;col=7&amp;number=0.00184&amp;sourceID=14","0.00184")</f>
        <v>0.00184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HYPERLINK("http://141.218.60.56/~jnz1568/getInfo.php?workbook=14_04.xlsx&amp;sheet=U0&amp;row=5589&amp;col=6&amp;number=3.5&amp;sourceID=14","3.5")</f>
        <v>3.5</v>
      </c>
      <c r="G5589" s="4" t="str">
        <f>HYPERLINK("http://141.218.60.56/~jnz1568/getInfo.php?workbook=14_04.xlsx&amp;sheet=U0&amp;row=5589&amp;col=7&amp;number=0.00184&amp;sourceID=14","0.00184")</f>
        <v>0.00184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HYPERLINK("http://141.218.60.56/~jnz1568/getInfo.php?workbook=14_04.xlsx&amp;sheet=U0&amp;row=5590&amp;col=6&amp;number=3.6&amp;sourceID=14","3.6")</f>
        <v>3.6</v>
      </c>
      <c r="G5590" s="4" t="str">
        <f>HYPERLINK("http://141.218.60.56/~jnz1568/getInfo.php?workbook=14_04.xlsx&amp;sheet=U0&amp;row=5590&amp;col=7&amp;number=0.00184&amp;sourceID=14","0.00184")</f>
        <v>0.00184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HYPERLINK("http://141.218.60.56/~jnz1568/getInfo.php?workbook=14_04.xlsx&amp;sheet=U0&amp;row=5591&amp;col=6&amp;number=3.7&amp;sourceID=14","3.7")</f>
        <v>3.7</v>
      </c>
      <c r="G5591" s="4" t="str">
        <f>HYPERLINK("http://141.218.60.56/~jnz1568/getInfo.php?workbook=14_04.xlsx&amp;sheet=U0&amp;row=5591&amp;col=7&amp;number=0.00184&amp;sourceID=14","0.00184")</f>
        <v>0.00184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HYPERLINK("http://141.218.60.56/~jnz1568/getInfo.php?workbook=14_04.xlsx&amp;sheet=U0&amp;row=5592&amp;col=6&amp;number=3.8&amp;sourceID=14","3.8")</f>
        <v>3.8</v>
      </c>
      <c r="G5592" s="4" t="str">
        <f>HYPERLINK("http://141.218.60.56/~jnz1568/getInfo.php?workbook=14_04.xlsx&amp;sheet=U0&amp;row=5592&amp;col=7&amp;number=0.00184&amp;sourceID=14","0.00184")</f>
        <v>0.00184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HYPERLINK("http://141.218.60.56/~jnz1568/getInfo.php?workbook=14_04.xlsx&amp;sheet=U0&amp;row=5593&amp;col=6&amp;number=3.9&amp;sourceID=14","3.9")</f>
        <v>3.9</v>
      </c>
      <c r="G5593" s="4" t="str">
        <f>HYPERLINK("http://141.218.60.56/~jnz1568/getInfo.php?workbook=14_04.xlsx&amp;sheet=U0&amp;row=5593&amp;col=7&amp;number=0.00184&amp;sourceID=14","0.00184")</f>
        <v>0.00184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HYPERLINK("http://141.218.60.56/~jnz1568/getInfo.php?workbook=14_04.xlsx&amp;sheet=U0&amp;row=5594&amp;col=6&amp;number=4&amp;sourceID=14","4")</f>
        <v>4</v>
      </c>
      <c r="G5594" s="4" t="str">
        <f>HYPERLINK("http://141.218.60.56/~jnz1568/getInfo.php?workbook=14_04.xlsx&amp;sheet=U0&amp;row=5594&amp;col=7&amp;number=0.00184&amp;sourceID=14","0.00184")</f>
        <v>0.00184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HYPERLINK("http://141.218.60.56/~jnz1568/getInfo.php?workbook=14_04.xlsx&amp;sheet=U0&amp;row=5595&amp;col=6&amp;number=4.1&amp;sourceID=14","4.1")</f>
        <v>4.1</v>
      </c>
      <c r="G5595" s="4" t="str">
        <f>HYPERLINK("http://141.218.60.56/~jnz1568/getInfo.php?workbook=14_04.xlsx&amp;sheet=U0&amp;row=5595&amp;col=7&amp;number=0.00184&amp;sourceID=14","0.00184")</f>
        <v>0.00184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HYPERLINK("http://141.218.60.56/~jnz1568/getInfo.php?workbook=14_04.xlsx&amp;sheet=U0&amp;row=5596&amp;col=6&amp;number=4.2&amp;sourceID=14","4.2")</f>
        <v>4.2</v>
      </c>
      <c r="G5596" s="4" t="str">
        <f>HYPERLINK("http://141.218.60.56/~jnz1568/getInfo.php?workbook=14_04.xlsx&amp;sheet=U0&amp;row=5596&amp;col=7&amp;number=0.00184&amp;sourceID=14","0.00184")</f>
        <v>0.00184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HYPERLINK("http://141.218.60.56/~jnz1568/getInfo.php?workbook=14_04.xlsx&amp;sheet=U0&amp;row=5597&amp;col=6&amp;number=4.3&amp;sourceID=14","4.3")</f>
        <v>4.3</v>
      </c>
      <c r="G5597" s="4" t="str">
        <f>HYPERLINK("http://141.218.60.56/~jnz1568/getInfo.php?workbook=14_04.xlsx&amp;sheet=U0&amp;row=5597&amp;col=7&amp;number=0.00184&amp;sourceID=14","0.00184")</f>
        <v>0.00184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HYPERLINK("http://141.218.60.56/~jnz1568/getInfo.php?workbook=14_04.xlsx&amp;sheet=U0&amp;row=5598&amp;col=6&amp;number=4.4&amp;sourceID=14","4.4")</f>
        <v>4.4</v>
      </c>
      <c r="G5598" s="4" t="str">
        <f>HYPERLINK("http://141.218.60.56/~jnz1568/getInfo.php?workbook=14_04.xlsx&amp;sheet=U0&amp;row=5598&amp;col=7&amp;number=0.00183&amp;sourceID=14","0.00183")</f>
        <v>0.00183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HYPERLINK("http://141.218.60.56/~jnz1568/getInfo.php?workbook=14_04.xlsx&amp;sheet=U0&amp;row=5599&amp;col=6&amp;number=4.5&amp;sourceID=14","4.5")</f>
        <v>4.5</v>
      </c>
      <c r="G5599" s="4" t="str">
        <f>HYPERLINK("http://141.218.60.56/~jnz1568/getInfo.php?workbook=14_04.xlsx&amp;sheet=U0&amp;row=5599&amp;col=7&amp;number=0.00183&amp;sourceID=14","0.00183")</f>
        <v>0.00183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HYPERLINK("http://141.218.60.56/~jnz1568/getInfo.php?workbook=14_04.xlsx&amp;sheet=U0&amp;row=5600&amp;col=6&amp;number=4.6&amp;sourceID=14","4.6")</f>
        <v>4.6</v>
      </c>
      <c r="G5600" s="4" t="str">
        <f>HYPERLINK("http://141.218.60.56/~jnz1568/getInfo.php?workbook=14_04.xlsx&amp;sheet=U0&amp;row=5600&amp;col=7&amp;number=0.00183&amp;sourceID=14","0.00183")</f>
        <v>0.00183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HYPERLINK("http://141.218.60.56/~jnz1568/getInfo.php?workbook=14_04.xlsx&amp;sheet=U0&amp;row=5601&amp;col=6&amp;number=4.7&amp;sourceID=14","4.7")</f>
        <v>4.7</v>
      </c>
      <c r="G5601" s="4" t="str">
        <f>HYPERLINK("http://141.218.60.56/~jnz1568/getInfo.php?workbook=14_04.xlsx&amp;sheet=U0&amp;row=5601&amp;col=7&amp;number=0.00183&amp;sourceID=14","0.00183")</f>
        <v>0.00183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HYPERLINK("http://141.218.60.56/~jnz1568/getInfo.php?workbook=14_04.xlsx&amp;sheet=U0&amp;row=5602&amp;col=6&amp;number=4.8&amp;sourceID=14","4.8")</f>
        <v>4.8</v>
      </c>
      <c r="G5602" s="4" t="str">
        <f>HYPERLINK("http://141.218.60.56/~jnz1568/getInfo.php?workbook=14_04.xlsx&amp;sheet=U0&amp;row=5602&amp;col=7&amp;number=0.00182&amp;sourceID=14","0.00182")</f>
        <v>0.00182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HYPERLINK("http://141.218.60.56/~jnz1568/getInfo.php?workbook=14_04.xlsx&amp;sheet=U0&amp;row=5603&amp;col=6&amp;number=4.9&amp;sourceID=14","4.9")</f>
        <v>4.9</v>
      </c>
      <c r="G5603" s="4" t="str">
        <f>HYPERLINK("http://141.218.60.56/~jnz1568/getInfo.php?workbook=14_04.xlsx&amp;sheet=U0&amp;row=5603&amp;col=7&amp;number=0.00182&amp;sourceID=14","0.00182")</f>
        <v>0.00182</v>
      </c>
    </row>
    <row r="5604" spans="1:7">
      <c r="A5604" s="3">
        <v>14</v>
      </c>
      <c r="B5604" s="3">
        <v>4</v>
      </c>
      <c r="C5604" s="3">
        <v>3</v>
      </c>
      <c r="D5604" s="3">
        <v>82</v>
      </c>
      <c r="E5604" s="3">
        <v>1</v>
      </c>
      <c r="F5604" s="4" t="str">
        <f>HYPERLINK("http://141.218.60.56/~jnz1568/getInfo.php?workbook=14_04.xlsx&amp;sheet=U0&amp;row=5604&amp;col=6&amp;number=3&amp;sourceID=14","3")</f>
        <v>3</v>
      </c>
      <c r="G5604" s="4" t="str">
        <f>HYPERLINK("http://141.218.60.56/~jnz1568/getInfo.php?workbook=14_04.xlsx&amp;sheet=U0&amp;row=5604&amp;col=7&amp;number=0.00068&amp;sourceID=14","0.00068")</f>
        <v>0.00068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HYPERLINK("http://141.218.60.56/~jnz1568/getInfo.php?workbook=14_04.xlsx&amp;sheet=U0&amp;row=5605&amp;col=6&amp;number=3.1&amp;sourceID=14","3.1")</f>
        <v>3.1</v>
      </c>
      <c r="G5605" s="4" t="str">
        <f>HYPERLINK("http://141.218.60.56/~jnz1568/getInfo.php?workbook=14_04.xlsx&amp;sheet=U0&amp;row=5605&amp;col=7&amp;number=0.00068&amp;sourceID=14","0.00068")</f>
        <v>0.00068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HYPERLINK("http://141.218.60.56/~jnz1568/getInfo.php?workbook=14_04.xlsx&amp;sheet=U0&amp;row=5606&amp;col=6&amp;number=3.2&amp;sourceID=14","3.2")</f>
        <v>3.2</v>
      </c>
      <c r="G5606" s="4" t="str">
        <f>HYPERLINK("http://141.218.60.56/~jnz1568/getInfo.php?workbook=14_04.xlsx&amp;sheet=U0&amp;row=5606&amp;col=7&amp;number=0.00068&amp;sourceID=14","0.00068")</f>
        <v>0.00068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HYPERLINK("http://141.218.60.56/~jnz1568/getInfo.php?workbook=14_04.xlsx&amp;sheet=U0&amp;row=5607&amp;col=6&amp;number=3.3&amp;sourceID=14","3.3")</f>
        <v>3.3</v>
      </c>
      <c r="G5607" s="4" t="str">
        <f>HYPERLINK("http://141.218.60.56/~jnz1568/getInfo.php?workbook=14_04.xlsx&amp;sheet=U0&amp;row=5607&amp;col=7&amp;number=0.00068&amp;sourceID=14","0.00068")</f>
        <v>0.00068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HYPERLINK("http://141.218.60.56/~jnz1568/getInfo.php?workbook=14_04.xlsx&amp;sheet=U0&amp;row=5608&amp;col=6&amp;number=3.4&amp;sourceID=14","3.4")</f>
        <v>3.4</v>
      </c>
      <c r="G5608" s="4" t="str">
        <f>HYPERLINK("http://141.218.60.56/~jnz1568/getInfo.php?workbook=14_04.xlsx&amp;sheet=U0&amp;row=5608&amp;col=7&amp;number=0.00068&amp;sourceID=14","0.00068")</f>
        <v>0.00068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HYPERLINK("http://141.218.60.56/~jnz1568/getInfo.php?workbook=14_04.xlsx&amp;sheet=U0&amp;row=5609&amp;col=6&amp;number=3.5&amp;sourceID=14","3.5")</f>
        <v>3.5</v>
      </c>
      <c r="G5609" s="4" t="str">
        <f>HYPERLINK("http://141.218.60.56/~jnz1568/getInfo.php?workbook=14_04.xlsx&amp;sheet=U0&amp;row=5609&amp;col=7&amp;number=0.00068&amp;sourceID=14","0.00068")</f>
        <v>0.00068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HYPERLINK("http://141.218.60.56/~jnz1568/getInfo.php?workbook=14_04.xlsx&amp;sheet=U0&amp;row=5610&amp;col=6&amp;number=3.6&amp;sourceID=14","3.6")</f>
        <v>3.6</v>
      </c>
      <c r="G5610" s="4" t="str">
        <f>HYPERLINK("http://141.218.60.56/~jnz1568/getInfo.php?workbook=14_04.xlsx&amp;sheet=U0&amp;row=5610&amp;col=7&amp;number=0.00068&amp;sourceID=14","0.00068")</f>
        <v>0.00068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HYPERLINK("http://141.218.60.56/~jnz1568/getInfo.php?workbook=14_04.xlsx&amp;sheet=U0&amp;row=5611&amp;col=6&amp;number=3.7&amp;sourceID=14","3.7")</f>
        <v>3.7</v>
      </c>
      <c r="G5611" s="4" t="str">
        <f>HYPERLINK("http://141.218.60.56/~jnz1568/getInfo.php?workbook=14_04.xlsx&amp;sheet=U0&amp;row=5611&amp;col=7&amp;number=0.00068&amp;sourceID=14","0.00068")</f>
        <v>0.00068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HYPERLINK("http://141.218.60.56/~jnz1568/getInfo.php?workbook=14_04.xlsx&amp;sheet=U0&amp;row=5612&amp;col=6&amp;number=3.8&amp;sourceID=14","3.8")</f>
        <v>3.8</v>
      </c>
      <c r="G5612" s="4" t="str">
        <f>HYPERLINK("http://141.218.60.56/~jnz1568/getInfo.php?workbook=14_04.xlsx&amp;sheet=U0&amp;row=5612&amp;col=7&amp;number=0.00068&amp;sourceID=14","0.00068")</f>
        <v>0.00068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HYPERLINK("http://141.218.60.56/~jnz1568/getInfo.php?workbook=14_04.xlsx&amp;sheet=U0&amp;row=5613&amp;col=6&amp;number=3.9&amp;sourceID=14","3.9")</f>
        <v>3.9</v>
      </c>
      <c r="G5613" s="4" t="str">
        <f>HYPERLINK("http://141.218.60.56/~jnz1568/getInfo.php?workbook=14_04.xlsx&amp;sheet=U0&amp;row=5613&amp;col=7&amp;number=0.00068&amp;sourceID=14","0.00068")</f>
        <v>0.00068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HYPERLINK("http://141.218.60.56/~jnz1568/getInfo.php?workbook=14_04.xlsx&amp;sheet=U0&amp;row=5614&amp;col=6&amp;number=4&amp;sourceID=14","4")</f>
        <v>4</v>
      </c>
      <c r="G5614" s="4" t="str">
        <f>HYPERLINK("http://141.218.60.56/~jnz1568/getInfo.php?workbook=14_04.xlsx&amp;sheet=U0&amp;row=5614&amp;col=7&amp;number=0.000679&amp;sourceID=14","0.000679")</f>
        <v>0.000679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HYPERLINK("http://141.218.60.56/~jnz1568/getInfo.php?workbook=14_04.xlsx&amp;sheet=U0&amp;row=5615&amp;col=6&amp;number=4.1&amp;sourceID=14","4.1")</f>
        <v>4.1</v>
      </c>
      <c r="G5615" s="4" t="str">
        <f>HYPERLINK("http://141.218.60.56/~jnz1568/getInfo.php?workbook=14_04.xlsx&amp;sheet=U0&amp;row=5615&amp;col=7&amp;number=0.000679&amp;sourceID=14","0.000679")</f>
        <v>0.000679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HYPERLINK("http://141.218.60.56/~jnz1568/getInfo.php?workbook=14_04.xlsx&amp;sheet=U0&amp;row=5616&amp;col=6&amp;number=4.2&amp;sourceID=14","4.2")</f>
        <v>4.2</v>
      </c>
      <c r="G5616" s="4" t="str">
        <f>HYPERLINK("http://141.218.60.56/~jnz1568/getInfo.php?workbook=14_04.xlsx&amp;sheet=U0&amp;row=5616&amp;col=7&amp;number=0.000679&amp;sourceID=14","0.000679")</f>
        <v>0.000679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HYPERLINK("http://141.218.60.56/~jnz1568/getInfo.php?workbook=14_04.xlsx&amp;sheet=U0&amp;row=5617&amp;col=6&amp;number=4.3&amp;sourceID=14","4.3")</f>
        <v>4.3</v>
      </c>
      <c r="G5617" s="4" t="str">
        <f>HYPERLINK("http://141.218.60.56/~jnz1568/getInfo.php?workbook=14_04.xlsx&amp;sheet=U0&amp;row=5617&amp;col=7&amp;number=0.000679&amp;sourceID=14","0.000679")</f>
        <v>0.000679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HYPERLINK("http://141.218.60.56/~jnz1568/getInfo.php?workbook=14_04.xlsx&amp;sheet=U0&amp;row=5618&amp;col=6&amp;number=4.4&amp;sourceID=14","4.4")</f>
        <v>4.4</v>
      </c>
      <c r="G5618" s="4" t="str">
        <f>HYPERLINK("http://141.218.60.56/~jnz1568/getInfo.php?workbook=14_04.xlsx&amp;sheet=U0&amp;row=5618&amp;col=7&amp;number=0.000678&amp;sourceID=14","0.000678")</f>
        <v>0.000678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HYPERLINK("http://141.218.60.56/~jnz1568/getInfo.php?workbook=14_04.xlsx&amp;sheet=U0&amp;row=5619&amp;col=6&amp;number=4.5&amp;sourceID=14","4.5")</f>
        <v>4.5</v>
      </c>
      <c r="G5619" s="4" t="str">
        <f>HYPERLINK("http://141.218.60.56/~jnz1568/getInfo.php?workbook=14_04.xlsx&amp;sheet=U0&amp;row=5619&amp;col=7&amp;number=0.000678&amp;sourceID=14","0.000678")</f>
        <v>0.000678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HYPERLINK("http://141.218.60.56/~jnz1568/getInfo.php?workbook=14_04.xlsx&amp;sheet=U0&amp;row=5620&amp;col=6&amp;number=4.6&amp;sourceID=14","4.6")</f>
        <v>4.6</v>
      </c>
      <c r="G5620" s="4" t="str">
        <f>HYPERLINK("http://141.218.60.56/~jnz1568/getInfo.php?workbook=14_04.xlsx&amp;sheet=U0&amp;row=5620&amp;col=7&amp;number=0.000677&amp;sourceID=14","0.000677")</f>
        <v>0.000677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HYPERLINK("http://141.218.60.56/~jnz1568/getInfo.php?workbook=14_04.xlsx&amp;sheet=U0&amp;row=5621&amp;col=6&amp;number=4.7&amp;sourceID=14","4.7")</f>
        <v>4.7</v>
      </c>
      <c r="G5621" s="4" t="str">
        <f>HYPERLINK("http://141.218.60.56/~jnz1568/getInfo.php?workbook=14_04.xlsx&amp;sheet=U0&amp;row=5621&amp;col=7&amp;number=0.000676&amp;sourceID=14","0.000676")</f>
        <v>0.000676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HYPERLINK("http://141.218.60.56/~jnz1568/getInfo.php?workbook=14_04.xlsx&amp;sheet=U0&amp;row=5622&amp;col=6&amp;number=4.8&amp;sourceID=14","4.8")</f>
        <v>4.8</v>
      </c>
      <c r="G5622" s="4" t="str">
        <f>HYPERLINK("http://141.218.60.56/~jnz1568/getInfo.php?workbook=14_04.xlsx&amp;sheet=U0&amp;row=5622&amp;col=7&amp;number=0.000675&amp;sourceID=14","0.000675")</f>
        <v>0.000675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HYPERLINK("http://141.218.60.56/~jnz1568/getInfo.php?workbook=14_04.xlsx&amp;sheet=U0&amp;row=5623&amp;col=6&amp;number=4.9&amp;sourceID=14","4.9")</f>
        <v>4.9</v>
      </c>
      <c r="G5623" s="4" t="str">
        <f>HYPERLINK("http://141.218.60.56/~jnz1568/getInfo.php?workbook=14_04.xlsx&amp;sheet=U0&amp;row=5623&amp;col=7&amp;number=0.000674&amp;sourceID=14","0.000674")</f>
        <v>0.000674</v>
      </c>
    </row>
    <row r="5624" spans="1:7">
      <c r="A5624" s="3">
        <v>14</v>
      </c>
      <c r="B5624" s="3">
        <v>4</v>
      </c>
      <c r="C5624" s="3">
        <v>3</v>
      </c>
      <c r="D5624" s="3">
        <v>83</v>
      </c>
      <c r="E5624" s="3">
        <v>1</v>
      </c>
      <c r="F5624" s="4" t="str">
        <f>HYPERLINK("http://141.218.60.56/~jnz1568/getInfo.php?workbook=14_04.xlsx&amp;sheet=U0&amp;row=5624&amp;col=6&amp;number=3&amp;sourceID=14","3")</f>
        <v>3</v>
      </c>
      <c r="G5624" s="4" t="str">
        <f>HYPERLINK("http://141.218.60.56/~jnz1568/getInfo.php?workbook=14_04.xlsx&amp;sheet=U0&amp;row=5624&amp;col=7&amp;number=0.000688&amp;sourceID=14","0.000688")</f>
        <v>0.000688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HYPERLINK("http://141.218.60.56/~jnz1568/getInfo.php?workbook=14_04.xlsx&amp;sheet=U0&amp;row=5625&amp;col=6&amp;number=3.1&amp;sourceID=14","3.1")</f>
        <v>3.1</v>
      </c>
      <c r="G5625" s="4" t="str">
        <f>HYPERLINK("http://141.218.60.56/~jnz1568/getInfo.php?workbook=14_04.xlsx&amp;sheet=U0&amp;row=5625&amp;col=7&amp;number=0.000688&amp;sourceID=14","0.000688")</f>
        <v>0.000688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HYPERLINK("http://141.218.60.56/~jnz1568/getInfo.php?workbook=14_04.xlsx&amp;sheet=U0&amp;row=5626&amp;col=6&amp;number=3.2&amp;sourceID=14","3.2")</f>
        <v>3.2</v>
      </c>
      <c r="G5626" s="4" t="str">
        <f>HYPERLINK("http://141.218.60.56/~jnz1568/getInfo.php?workbook=14_04.xlsx&amp;sheet=U0&amp;row=5626&amp;col=7&amp;number=0.000688&amp;sourceID=14","0.000688")</f>
        <v>0.000688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HYPERLINK("http://141.218.60.56/~jnz1568/getInfo.php?workbook=14_04.xlsx&amp;sheet=U0&amp;row=5627&amp;col=6&amp;number=3.3&amp;sourceID=14","3.3")</f>
        <v>3.3</v>
      </c>
      <c r="G5627" s="4" t="str">
        <f>HYPERLINK("http://141.218.60.56/~jnz1568/getInfo.php?workbook=14_04.xlsx&amp;sheet=U0&amp;row=5627&amp;col=7&amp;number=0.000688&amp;sourceID=14","0.000688")</f>
        <v>0.000688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HYPERLINK("http://141.218.60.56/~jnz1568/getInfo.php?workbook=14_04.xlsx&amp;sheet=U0&amp;row=5628&amp;col=6&amp;number=3.4&amp;sourceID=14","3.4")</f>
        <v>3.4</v>
      </c>
      <c r="G5628" s="4" t="str">
        <f>HYPERLINK("http://141.218.60.56/~jnz1568/getInfo.php?workbook=14_04.xlsx&amp;sheet=U0&amp;row=5628&amp;col=7&amp;number=0.000688&amp;sourceID=14","0.000688")</f>
        <v>0.000688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HYPERLINK("http://141.218.60.56/~jnz1568/getInfo.php?workbook=14_04.xlsx&amp;sheet=U0&amp;row=5629&amp;col=6&amp;number=3.5&amp;sourceID=14","3.5")</f>
        <v>3.5</v>
      </c>
      <c r="G5629" s="4" t="str">
        <f>HYPERLINK("http://141.218.60.56/~jnz1568/getInfo.php?workbook=14_04.xlsx&amp;sheet=U0&amp;row=5629&amp;col=7&amp;number=0.000688&amp;sourceID=14","0.000688")</f>
        <v>0.000688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HYPERLINK("http://141.218.60.56/~jnz1568/getInfo.php?workbook=14_04.xlsx&amp;sheet=U0&amp;row=5630&amp;col=6&amp;number=3.6&amp;sourceID=14","3.6")</f>
        <v>3.6</v>
      </c>
      <c r="G5630" s="4" t="str">
        <f>HYPERLINK("http://141.218.60.56/~jnz1568/getInfo.php?workbook=14_04.xlsx&amp;sheet=U0&amp;row=5630&amp;col=7&amp;number=0.000688&amp;sourceID=14","0.000688")</f>
        <v>0.000688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HYPERLINK("http://141.218.60.56/~jnz1568/getInfo.php?workbook=14_04.xlsx&amp;sheet=U0&amp;row=5631&amp;col=6&amp;number=3.7&amp;sourceID=14","3.7")</f>
        <v>3.7</v>
      </c>
      <c r="G5631" s="4" t="str">
        <f>HYPERLINK("http://141.218.60.56/~jnz1568/getInfo.php?workbook=14_04.xlsx&amp;sheet=U0&amp;row=5631&amp;col=7&amp;number=0.000688&amp;sourceID=14","0.000688")</f>
        <v>0.000688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HYPERLINK("http://141.218.60.56/~jnz1568/getInfo.php?workbook=14_04.xlsx&amp;sheet=U0&amp;row=5632&amp;col=6&amp;number=3.8&amp;sourceID=14","3.8")</f>
        <v>3.8</v>
      </c>
      <c r="G5632" s="4" t="str">
        <f>HYPERLINK("http://141.218.60.56/~jnz1568/getInfo.php?workbook=14_04.xlsx&amp;sheet=U0&amp;row=5632&amp;col=7&amp;number=0.000688&amp;sourceID=14","0.000688")</f>
        <v>0.000688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HYPERLINK("http://141.218.60.56/~jnz1568/getInfo.php?workbook=14_04.xlsx&amp;sheet=U0&amp;row=5633&amp;col=6&amp;number=3.9&amp;sourceID=14","3.9")</f>
        <v>3.9</v>
      </c>
      <c r="G5633" s="4" t="str">
        <f>HYPERLINK("http://141.218.60.56/~jnz1568/getInfo.php?workbook=14_04.xlsx&amp;sheet=U0&amp;row=5633&amp;col=7&amp;number=0.000688&amp;sourceID=14","0.000688")</f>
        <v>0.000688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HYPERLINK("http://141.218.60.56/~jnz1568/getInfo.php?workbook=14_04.xlsx&amp;sheet=U0&amp;row=5634&amp;col=6&amp;number=4&amp;sourceID=14","4")</f>
        <v>4</v>
      </c>
      <c r="G5634" s="4" t="str">
        <f>HYPERLINK("http://141.218.60.56/~jnz1568/getInfo.php?workbook=14_04.xlsx&amp;sheet=U0&amp;row=5634&amp;col=7&amp;number=0.000687&amp;sourceID=14","0.000687")</f>
        <v>0.000687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HYPERLINK("http://141.218.60.56/~jnz1568/getInfo.php?workbook=14_04.xlsx&amp;sheet=U0&amp;row=5635&amp;col=6&amp;number=4.1&amp;sourceID=14","4.1")</f>
        <v>4.1</v>
      </c>
      <c r="G5635" s="4" t="str">
        <f>HYPERLINK("http://141.218.60.56/~jnz1568/getInfo.php?workbook=14_04.xlsx&amp;sheet=U0&amp;row=5635&amp;col=7&amp;number=0.000687&amp;sourceID=14","0.000687")</f>
        <v>0.000687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HYPERLINK("http://141.218.60.56/~jnz1568/getInfo.php?workbook=14_04.xlsx&amp;sheet=U0&amp;row=5636&amp;col=6&amp;number=4.2&amp;sourceID=14","4.2")</f>
        <v>4.2</v>
      </c>
      <c r="G5636" s="4" t="str">
        <f>HYPERLINK("http://141.218.60.56/~jnz1568/getInfo.php?workbook=14_04.xlsx&amp;sheet=U0&amp;row=5636&amp;col=7&amp;number=0.000687&amp;sourceID=14","0.000687")</f>
        <v>0.000687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HYPERLINK("http://141.218.60.56/~jnz1568/getInfo.php?workbook=14_04.xlsx&amp;sheet=U0&amp;row=5637&amp;col=6&amp;number=4.3&amp;sourceID=14","4.3")</f>
        <v>4.3</v>
      </c>
      <c r="G5637" s="4" t="str">
        <f>HYPERLINK("http://141.218.60.56/~jnz1568/getInfo.php?workbook=14_04.xlsx&amp;sheet=U0&amp;row=5637&amp;col=7&amp;number=0.000687&amp;sourceID=14","0.000687")</f>
        <v>0.000687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HYPERLINK("http://141.218.60.56/~jnz1568/getInfo.php?workbook=14_04.xlsx&amp;sheet=U0&amp;row=5638&amp;col=6&amp;number=4.4&amp;sourceID=14","4.4")</f>
        <v>4.4</v>
      </c>
      <c r="G5638" s="4" t="str">
        <f>HYPERLINK("http://141.218.60.56/~jnz1568/getInfo.php?workbook=14_04.xlsx&amp;sheet=U0&amp;row=5638&amp;col=7&amp;number=0.000687&amp;sourceID=14","0.000687")</f>
        <v>0.000687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HYPERLINK("http://141.218.60.56/~jnz1568/getInfo.php?workbook=14_04.xlsx&amp;sheet=U0&amp;row=5639&amp;col=6&amp;number=4.5&amp;sourceID=14","4.5")</f>
        <v>4.5</v>
      </c>
      <c r="G5639" s="4" t="str">
        <f>HYPERLINK("http://141.218.60.56/~jnz1568/getInfo.php?workbook=14_04.xlsx&amp;sheet=U0&amp;row=5639&amp;col=7&amp;number=0.000686&amp;sourceID=14","0.000686")</f>
        <v>0.000686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HYPERLINK("http://141.218.60.56/~jnz1568/getInfo.php?workbook=14_04.xlsx&amp;sheet=U0&amp;row=5640&amp;col=6&amp;number=4.6&amp;sourceID=14","4.6")</f>
        <v>4.6</v>
      </c>
      <c r="G5640" s="4" t="str">
        <f>HYPERLINK("http://141.218.60.56/~jnz1568/getInfo.php?workbook=14_04.xlsx&amp;sheet=U0&amp;row=5640&amp;col=7&amp;number=0.000686&amp;sourceID=14","0.000686")</f>
        <v>0.000686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HYPERLINK("http://141.218.60.56/~jnz1568/getInfo.php?workbook=14_04.xlsx&amp;sheet=U0&amp;row=5641&amp;col=6&amp;number=4.7&amp;sourceID=14","4.7")</f>
        <v>4.7</v>
      </c>
      <c r="G5641" s="4" t="str">
        <f>HYPERLINK("http://141.218.60.56/~jnz1568/getInfo.php?workbook=14_04.xlsx&amp;sheet=U0&amp;row=5641&amp;col=7&amp;number=0.000686&amp;sourceID=14","0.000686")</f>
        <v>0.000686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HYPERLINK("http://141.218.60.56/~jnz1568/getInfo.php?workbook=14_04.xlsx&amp;sheet=U0&amp;row=5642&amp;col=6&amp;number=4.8&amp;sourceID=14","4.8")</f>
        <v>4.8</v>
      </c>
      <c r="G5642" s="4" t="str">
        <f>HYPERLINK("http://141.218.60.56/~jnz1568/getInfo.php?workbook=14_04.xlsx&amp;sheet=U0&amp;row=5642&amp;col=7&amp;number=0.000685&amp;sourceID=14","0.000685")</f>
        <v>0.000685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HYPERLINK("http://141.218.60.56/~jnz1568/getInfo.php?workbook=14_04.xlsx&amp;sheet=U0&amp;row=5643&amp;col=6&amp;number=4.9&amp;sourceID=14","4.9")</f>
        <v>4.9</v>
      </c>
      <c r="G5643" s="4" t="str">
        <f>HYPERLINK("http://141.218.60.56/~jnz1568/getInfo.php?workbook=14_04.xlsx&amp;sheet=U0&amp;row=5643&amp;col=7&amp;number=0.000684&amp;sourceID=14","0.000684")</f>
        <v>0.000684</v>
      </c>
    </row>
    <row r="5644" spans="1:7">
      <c r="A5644" s="3">
        <v>14</v>
      </c>
      <c r="B5644" s="3">
        <v>4</v>
      </c>
      <c r="C5644" s="3">
        <v>3</v>
      </c>
      <c r="D5644" s="3">
        <v>84</v>
      </c>
      <c r="E5644" s="3">
        <v>1</v>
      </c>
      <c r="F5644" s="4" t="str">
        <f>HYPERLINK("http://141.218.60.56/~jnz1568/getInfo.php?workbook=14_04.xlsx&amp;sheet=U0&amp;row=5644&amp;col=6&amp;number=3&amp;sourceID=14","3")</f>
        <v>3</v>
      </c>
      <c r="G5644" s="4" t="str">
        <f>HYPERLINK("http://141.218.60.56/~jnz1568/getInfo.php?workbook=14_04.xlsx&amp;sheet=U0&amp;row=5644&amp;col=7&amp;number=0.000289&amp;sourceID=14","0.000289")</f>
        <v>0.000289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HYPERLINK("http://141.218.60.56/~jnz1568/getInfo.php?workbook=14_04.xlsx&amp;sheet=U0&amp;row=5645&amp;col=6&amp;number=3.1&amp;sourceID=14","3.1")</f>
        <v>3.1</v>
      </c>
      <c r="G5645" s="4" t="str">
        <f>HYPERLINK("http://141.218.60.56/~jnz1568/getInfo.php?workbook=14_04.xlsx&amp;sheet=U0&amp;row=5645&amp;col=7&amp;number=0.000289&amp;sourceID=14","0.000289")</f>
        <v>0.000289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HYPERLINK("http://141.218.60.56/~jnz1568/getInfo.php?workbook=14_04.xlsx&amp;sheet=U0&amp;row=5646&amp;col=6&amp;number=3.2&amp;sourceID=14","3.2")</f>
        <v>3.2</v>
      </c>
      <c r="G5646" s="4" t="str">
        <f>HYPERLINK("http://141.218.60.56/~jnz1568/getInfo.php?workbook=14_04.xlsx&amp;sheet=U0&amp;row=5646&amp;col=7&amp;number=0.000289&amp;sourceID=14","0.000289")</f>
        <v>0.000289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HYPERLINK("http://141.218.60.56/~jnz1568/getInfo.php?workbook=14_04.xlsx&amp;sheet=U0&amp;row=5647&amp;col=6&amp;number=3.3&amp;sourceID=14","3.3")</f>
        <v>3.3</v>
      </c>
      <c r="G5647" s="4" t="str">
        <f>HYPERLINK("http://141.218.60.56/~jnz1568/getInfo.php?workbook=14_04.xlsx&amp;sheet=U0&amp;row=5647&amp;col=7&amp;number=0.000289&amp;sourceID=14","0.000289")</f>
        <v>0.000289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HYPERLINK("http://141.218.60.56/~jnz1568/getInfo.php?workbook=14_04.xlsx&amp;sheet=U0&amp;row=5648&amp;col=6&amp;number=3.4&amp;sourceID=14","3.4")</f>
        <v>3.4</v>
      </c>
      <c r="G5648" s="4" t="str">
        <f>HYPERLINK("http://141.218.60.56/~jnz1568/getInfo.php?workbook=14_04.xlsx&amp;sheet=U0&amp;row=5648&amp;col=7&amp;number=0.000289&amp;sourceID=14","0.000289")</f>
        <v>0.000289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HYPERLINK("http://141.218.60.56/~jnz1568/getInfo.php?workbook=14_04.xlsx&amp;sheet=U0&amp;row=5649&amp;col=6&amp;number=3.5&amp;sourceID=14","3.5")</f>
        <v>3.5</v>
      </c>
      <c r="G5649" s="4" t="str">
        <f>HYPERLINK("http://141.218.60.56/~jnz1568/getInfo.php?workbook=14_04.xlsx&amp;sheet=U0&amp;row=5649&amp;col=7&amp;number=0.000289&amp;sourceID=14","0.000289")</f>
        <v>0.000289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HYPERLINK("http://141.218.60.56/~jnz1568/getInfo.php?workbook=14_04.xlsx&amp;sheet=U0&amp;row=5650&amp;col=6&amp;number=3.6&amp;sourceID=14","3.6")</f>
        <v>3.6</v>
      </c>
      <c r="G5650" s="4" t="str">
        <f>HYPERLINK("http://141.218.60.56/~jnz1568/getInfo.php?workbook=14_04.xlsx&amp;sheet=U0&amp;row=5650&amp;col=7&amp;number=0.000289&amp;sourceID=14","0.000289")</f>
        <v>0.000289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HYPERLINK("http://141.218.60.56/~jnz1568/getInfo.php?workbook=14_04.xlsx&amp;sheet=U0&amp;row=5651&amp;col=6&amp;number=3.7&amp;sourceID=14","3.7")</f>
        <v>3.7</v>
      </c>
      <c r="G5651" s="4" t="str">
        <f>HYPERLINK("http://141.218.60.56/~jnz1568/getInfo.php?workbook=14_04.xlsx&amp;sheet=U0&amp;row=5651&amp;col=7&amp;number=0.000289&amp;sourceID=14","0.000289")</f>
        <v>0.000289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HYPERLINK("http://141.218.60.56/~jnz1568/getInfo.php?workbook=14_04.xlsx&amp;sheet=U0&amp;row=5652&amp;col=6&amp;number=3.8&amp;sourceID=14","3.8")</f>
        <v>3.8</v>
      </c>
      <c r="G5652" s="4" t="str">
        <f>HYPERLINK("http://141.218.60.56/~jnz1568/getInfo.php?workbook=14_04.xlsx&amp;sheet=U0&amp;row=5652&amp;col=7&amp;number=0.000288&amp;sourceID=14","0.000288")</f>
        <v>0.000288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HYPERLINK("http://141.218.60.56/~jnz1568/getInfo.php?workbook=14_04.xlsx&amp;sheet=U0&amp;row=5653&amp;col=6&amp;number=3.9&amp;sourceID=14","3.9")</f>
        <v>3.9</v>
      </c>
      <c r="G5653" s="4" t="str">
        <f>HYPERLINK("http://141.218.60.56/~jnz1568/getInfo.php?workbook=14_04.xlsx&amp;sheet=U0&amp;row=5653&amp;col=7&amp;number=0.000288&amp;sourceID=14","0.000288")</f>
        <v>0.000288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HYPERLINK("http://141.218.60.56/~jnz1568/getInfo.php?workbook=14_04.xlsx&amp;sheet=U0&amp;row=5654&amp;col=6&amp;number=4&amp;sourceID=14","4")</f>
        <v>4</v>
      </c>
      <c r="G5654" s="4" t="str">
        <f>HYPERLINK("http://141.218.60.56/~jnz1568/getInfo.php?workbook=14_04.xlsx&amp;sheet=U0&amp;row=5654&amp;col=7&amp;number=0.000288&amp;sourceID=14","0.000288")</f>
        <v>0.000288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HYPERLINK("http://141.218.60.56/~jnz1568/getInfo.php?workbook=14_04.xlsx&amp;sheet=U0&amp;row=5655&amp;col=6&amp;number=4.1&amp;sourceID=14","4.1")</f>
        <v>4.1</v>
      </c>
      <c r="G5655" s="4" t="str">
        <f>HYPERLINK("http://141.218.60.56/~jnz1568/getInfo.php?workbook=14_04.xlsx&amp;sheet=U0&amp;row=5655&amp;col=7&amp;number=0.000288&amp;sourceID=14","0.000288")</f>
        <v>0.000288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HYPERLINK("http://141.218.60.56/~jnz1568/getInfo.php?workbook=14_04.xlsx&amp;sheet=U0&amp;row=5656&amp;col=6&amp;number=4.2&amp;sourceID=14","4.2")</f>
        <v>4.2</v>
      </c>
      <c r="G5656" s="4" t="str">
        <f>HYPERLINK("http://141.218.60.56/~jnz1568/getInfo.php?workbook=14_04.xlsx&amp;sheet=U0&amp;row=5656&amp;col=7&amp;number=0.000288&amp;sourceID=14","0.000288")</f>
        <v>0.000288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HYPERLINK("http://141.218.60.56/~jnz1568/getInfo.php?workbook=14_04.xlsx&amp;sheet=U0&amp;row=5657&amp;col=6&amp;number=4.3&amp;sourceID=14","4.3")</f>
        <v>4.3</v>
      </c>
      <c r="G5657" s="4" t="str">
        <f>HYPERLINK("http://141.218.60.56/~jnz1568/getInfo.php?workbook=14_04.xlsx&amp;sheet=U0&amp;row=5657&amp;col=7&amp;number=0.000287&amp;sourceID=14","0.000287")</f>
        <v>0.000287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HYPERLINK("http://141.218.60.56/~jnz1568/getInfo.php?workbook=14_04.xlsx&amp;sheet=U0&amp;row=5658&amp;col=6&amp;number=4.4&amp;sourceID=14","4.4")</f>
        <v>4.4</v>
      </c>
      <c r="G5658" s="4" t="str">
        <f>HYPERLINK("http://141.218.60.56/~jnz1568/getInfo.php?workbook=14_04.xlsx&amp;sheet=U0&amp;row=5658&amp;col=7&amp;number=0.000287&amp;sourceID=14","0.000287")</f>
        <v>0.000287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HYPERLINK("http://141.218.60.56/~jnz1568/getInfo.php?workbook=14_04.xlsx&amp;sheet=U0&amp;row=5659&amp;col=6&amp;number=4.5&amp;sourceID=14","4.5")</f>
        <v>4.5</v>
      </c>
      <c r="G5659" s="4" t="str">
        <f>HYPERLINK("http://141.218.60.56/~jnz1568/getInfo.php?workbook=14_04.xlsx&amp;sheet=U0&amp;row=5659&amp;col=7&amp;number=0.000287&amp;sourceID=14","0.000287")</f>
        <v>0.000287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HYPERLINK("http://141.218.60.56/~jnz1568/getInfo.php?workbook=14_04.xlsx&amp;sheet=U0&amp;row=5660&amp;col=6&amp;number=4.6&amp;sourceID=14","4.6")</f>
        <v>4.6</v>
      </c>
      <c r="G5660" s="4" t="str">
        <f>HYPERLINK("http://141.218.60.56/~jnz1568/getInfo.php?workbook=14_04.xlsx&amp;sheet=U0&amp;row=5660&amp;col=7&amp;number=0.000286&amp;sourceID=14","0.000286")</f>
        <v>0.000286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HYPERLINK("http://141.218.60.56/~jnz1568/getInfo.php?workbook=14_04.xlsx&amp;sheet=U0&amp;row=5661&amp;col=6&amp;number=4.7&amp;sourceID=14","4.7")</f>
        <v>4.7</v>
      </c>
      <c r="G5661" s="4" t="str">
        <f>HYPERLINK("http://141.218.60.56/~jnz1568/getInfo.php?workbook=14_04.xlsx&amp;sheet=U0&amp;row=5661&amp;col=7&amp;number=0.000285&amp;sourceID=14","0.000285")</f>
        <v>0.000285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HYPERLINK("http://141.218.60.56/~jnz1568/getInfo.php?workbook=14_04.xlsx&amp;sheet=U0&amp;row=5662&amp;col=6&amp;number=4.8&amp;sourceID=14","4.8")</f>
        <v>4.8</v>
      </c>
      <c r="G5662" s="4" t="str">
        <f>HYPERLINK("http://141.218.60.56/~jnz1568/getInfo.php?workbook=14_04.xlsx&amp;sheet=U0&amp;row=5662&amp;col=7&amp;number=0.000284&amp;sourceID=14","0.000284")</f>
        <v>0.000284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HYPERLINK("http://141.218.60.56/~jnz1568/getInfo.php?workbook=14_04.xlsx&amp;sheet=U0&amp;row=5663&amp;col=6&amp;number=4.9&amp;sourceID=14","4.9")</f>
        <v>4.9</v>
      </c>
      <c r="G5663" s="4" t="str">
        <f>HYPERLINK("http://141.218.60.56/~jnz1568/getInfo.php?workbook=14_04.xlsx&amp;sheet=U0&amp;row=5663&amp;col=7&amp;number=0.000283&amp;sourceID=14","0.000283")</f>
        <v>0.000283</v>
      </c>
    </row>
    <row r="5664" spans="1:7">
      <c r="A5664" s="3">
        <v>14</v>
      </c>
      <c r="B5664" s="3">
        <v>4</v>
      </c>
      <c r="C5664" s="3">
        <v>3</v>
      </c>
      <c r="D5664" s="3">
        <v>85</v>
      </c>
      <c r="E5664" s="3">
        <v>1</v>
      </c>
      <c r="F5664" s="4" t="str">
        <f>HYPERLINK("http://141.218.60.56/~jnz1568/getInfo.php?workbook=14_04.xlsx&amp;sheet=U0&amp;row=5664&amp;col=6&amp;number=3&amp;sourceID=14","3")</f>
        <v>3</v>
      </c>
      <c r="G5664" s="4" t="str">
        <f>HYPERLINK("http://141.218.60.56/~jnz1568/getInfo.php?workbook=14_04.xlsx&amp;sheet=U0&amp;row=5664&amp;col=7&amp;number=0.000361&amp;sourceID=14","0.000361")</f>
        <v>0.000361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HYPERLINK("http://141.218.60.56/~jnz1568/getInfo.php?workbook=14_04.xlsx&amp;sheet=U0&amp;row=5665&amp;col=6&amp;number=3.1&amp;sourceID=14","3.1")</f>
        <v>3.1</v>
      </c>
      <c r="G5665" s="4" t="str">
        <f>HYPERLINK("http://141.218.60.56/~jnz1568/getInfo.php?workbook=14_04.xlsx&amp;sheet=U0&amp;row=5665&amp;col=7&amp;number=0.000361&amp;sourceID=14","0.000361")</f>
        <v>0.000361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HYPERLINK("http://141.218.60.56/~jnz1568/getInfo.php?workbook=14_04.xlsx&amp;sheet=U0&amp;row=5666&amp;col=6&amp;number=3.2&amp;sourceID=14","3.2")</f>
        <v>3.2</v>
      </c>
      <c r="G5666" s="4" t="str">
        <f>HYPERLINK("http://141.218.60.56/~jnz1568/getInfo.php?workbook=14_04.xlsx&amp;sheet=U0&amp;row=5666&amp;col=7&amp;number=0.000361&amp;sourceID=14","0.000361")</f>
        <v>0.000361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HYPERLINK("http://141.218.60.56/~jnz1568/getInfo.php?workbook=14_04.xlsx&amp;sheet=U0&amp;row=5667&amp;col=6&amp;number=3.3&amp;sourceID=14","3.3")</f>
        <v>3.3</v>
      </c>
      <c r="G5667" s="4" t="str">
        <f>HYPERLINK("http://141.218.60.56/~jnz1568/getInfo.php?workbook=14_04.xlsx&amp;sheet=U0&amp;row=5667&amp;col=7&amp;number=0.000361&amp;sourceID=14","0.000361")</f>
        <v>0.000361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HYPERLINK("http://141.218.60.56/~jnz1568/getInfo.php?workbook=14_04.xlsx&amp;sheet=U0&amp;row=5668&amp;col=6&amp;number=3.4&amp;sourceID=14","3.4")</f>
        <v>3.4</v>
      </c>
      <c r="G5668" s="4" t="str">
        <f>HYPERLINK("http://141.218.60.56/~jnz1568/getInfo.php?workbook=14_04.xlsx&amp;sheet=U0&amp;row=5668&amp;col=7&amp;number=0.000361&amp;sourceID=14","0.000361")</f>
        <v>0.000361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HYPERLINK("http://141.218.60.56/~jnz1568/getInfo.php?workbook=14_04.xlsx&amp;sheet=U0&amp;row=5669&amp;col=6&amp;number=3.5&amp;sourceID=14","3.5")</f>
        <v>3.5</v>
      </c>
      <c r="G5669" s="4" t="str">
        <f>HYPERLINK("http://141.218.60.56/~jnz1568/getInfo.php?workbook=14_04.xlsx&amp;sheet=U0&amp;row=5669&amp;col=7&amp;number=0.000361&amp;sourceID=14","0.000361")</f>
        <v>0.000361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HYPERLINK("http://141.218.60.56/~jnz1568/getInfo.php?workbook=14_04.xlsx&amp;sheet=U0&amp;row=5670&amp;col=6&amp;number=3.6&amp;sourceID=14","3.6")</f>
        <v>3.6</v>
      </c>
      <c r="G5670" s="4" t="str">
        <f>HYPERLINK("http://141.218.60.56/~jnz1568/getInfo.php?workbook=14_04.xlsx&amp;sheet=U0&amp;row=5670&amp;col=7&amp;number=0.000361&amp;sourceID=14","0.000361")</f>
        <v>0.000361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HYPERLINK("http://141.218.60.56/~jnz1568/getInfo.php?workbook=14_04.xlsx&amp;sheet=U0&amp;row=5671&amp;col=6&amp;number=3.7&amp;sourceID=14","3.7")</f>
        <v>3.7</v>
      </c>
      <c r="G5671" s="4" t="str">
        <f>HYPERLINK("http://141.218.60.56/~jnz1568/getInfo.php?workbook=14_04.xlsx&amp;sheet=U0&amp;row=5671&amp;col=7&amp;number=0.000361&amp;sourceID=14","0.000361")</f>
        <v>0.000361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HYPERLINK("http://141.218.60.56/~jnz1568/getInfo.php?workbook=14_04.xlsx&amp;sheet=U0&amp;row=5672&amp;col=6&amp;number=3.8&amp;sourceID=14","3.8")</f>
        <v>3.8</v>
      </c>
      <c r="G5672" s="4" t="str">
        <f>HYPERLINK("http://141.218.60.56/~jnz1568/getInfo.php?workbook=14_04.xlsx&amp;sheet=U0&amp;row=5672&amp;col=7&amp;number=0.000361&amp;sourceID=14","0.000361")</f>
        <v>0.000361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HYPERLINK("http://141.218.60.56/~jnz1568/getInfo.php?workbook=14_04.xlsx&amp;sheet=U0&amp;row=5673&amp;col=6&amp;number=3.9&amp;sourceID=14","3.9")</f>
        <v>3.9</v>
      </c>
      <c r="G5673" s="4" t="str">
        <f>HYPERLINK("http://141.218.60.56/~jnz1568/getInfo.php?workbook=14_04.xlsx&amp;sheet=U0&amp;row=5673&amp;col=7&amp;number=0.000361&amp;sourceID=14","0.000361")</f>
        <v>0.000361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HYPERLINK("http://141.218.60.56/~jnz1568/getInfo.php?workbook=14_04.xlsx&amp;sheet=U0&amp;row=5674&amp;col=6&amp;number=4&amp;sourceID=14","4")</f>
        <v>4</v>
      </c>
      <c r="G5674" s="4" t="str">
        <f>HYPERLINK("http://141.218.60.56/~jnz1568/getInfo.php?workbook=14_04.xlsx&amp;sheet=U0&amp;row=5674&amp;col=7&amp;number=0.000361&amp;sourceID=14","0.000361")</f>
        <v>0.000361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HYPERLINK("http://141.218.60.56/~jnz1568/getInfo.php?workbook=14_04.xlsx&amp;sheet=U0&amp;row=5675&amp;col=6&amp;number=4.1&amp;sourceID=14","4.1")</f>
        <v>4.1</v>
      </c>
      <c r="G5675" s="4" t="str">
        <f>HYPERLINK("http://141.218.60.56/~jnz1568/getInfo.php?workbook=14_04.xlsx&amp;sheet=U0&amp;row=5675&amp;col=7&amp;number=0.000361&amp;sourceID=14","0.000361")</f>
        <v>0.000361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HYPERLINK("http://141.218.60.56/~jnz1568/getInfo.php?workbook=14_04.xlsx&amp;sheet=U0&amp;row=5676&amp;col=6&amp;number=4.2&amp;sourceID=14","4.2")</f>
        <v>4.2</v>
      </c>
      <c r="G5676" s="4" t="str">
        <f>HYPERLINK("http://141.218.60.56/~jnz1568/getInfo.php?workbook=14_04.xlsx&amp;sheet=U0&amp;row=5676&amp;col=7&amp;number=0.000361&amp;sourceID=14","0.000361")</f>
        <v>0.000361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HYPERLINK("http://141.218.60.56/~jnz1568/getInfo.php?workbook=14_04.xlsx&amp;sheet=U0&amp;row=5677&amp;col=6&amp;number=4.3&amp;sourceID=14","4.3")</f>
        <v>4.3</v>
      </c>
      <c r="G5677" s="4" t="str">
        <f>HYPERLINK("http://141.218.60.56/~jnz1568/getInfo.php?workbook=14_04.xlsx&amp;sheet=U0&amp;row=5677&amp;col=7&amp;number=0.00036&amp;sourceID=14","0.00036")</f>
        <v>0.00036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HYPERLINK("http://141.218.60.56/~jnz1568/getInfo.php?workbook=14_04.xlsx&amp;sheet=U0&amp;row=5678&amp;col=6&amp;number=4.4&amp;sourceID=14","4.4")</f>
        <v>4.4</v>
      </c>
      <c r="G5678" s="4" t="str">
        <f>HYPERLINK("http://141.218.60.56/~jnz1568/getInfo.php?workbook=14_04.xlsx&amp;sheet=U0&amp;row=5678&amp;col=7&amp;number=0.00036&amp;sourceID=14","0.00036")</f>
        <v>0.00036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HYPERLINK("http://141.218.60.56/~jnz1568/getInfo.php?workbook=14_04.xlsx&amp;sheet=U0&amp;row=5679&amp;col=6&amp;number=4.5&amp;sourceID=14","4.5")</f>
        <v>4.5</v>
      </c>
      <c r="G5679" s="4" t="str">
        <f>HYPERLINK("http://141.218.60.56/~jnz1568/getInfo.php?workbook=14_04.xlsx&amp;sheet=U0&amp;row=5679&amp;col=7&amp;number=0.00036&amp;sourceID=14","0.00036")</f>
        <v>0.00036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HYPERLINK("http://141.218.60.56/~jnz1568/getInfo.php?workbook=14_04.xlsx&amp;sheet=U0&amp;row=5680&amp;col=6&amp;number=4.6&amp;sourceID=14","4.6")</f>
        <v>4.6</v>
      </c>
      <c r="G5680" s="4" t="str">
        <f>HYPERLINK("http://141.218.60.56/~jnz1568/getInfo.php?workbook=14_04.xlsx&amp;sheet=U0&amp;row=5680&amp;col=7&amp;number=0.000359&amp;sourceID=14","0.000359")</f>
        <v>0.000359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HYPERLINK("http://141.218.60.56/~jnz1568/getInfo.php?workbook=14_04.xlsx&amp;sheet=U0&amp;row=5681&amp;col=6&amp;number=4.7&amp;sourceID=14","4.7")</f>
        <v>4.7</v>
      </c>
      <c r="G5681" s="4" t="str">
        <f>HYPERLINK("http://141.218.60.56/~jnz1568/getInfo.php?workbook=14_04.xlsx&amp;sheet=U0&amp;row=5681&amp;col=7&amp;number=0.000359&amp;sourceID=14","0.000359")</f>
        <v>0.000359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HYPERLINK("http://141.218.60.56/~jnz1568/getInfo.php?workbook=14_04.xlsx&amp;sheet=U0&amp;row=5682&amp;col=6&amp;number=4.8&amp;sourceID=14","4.8")</f>
        <v>4.8</v>
      </c>
      <c r="G5682" s="4" t="str">
        <f>HYPERLINK("http://141.218.60.56/~jnz1568/getInfo.php?workbook=14_04.xlsx&amp;sheet=U0&amp;row=5682&amp;col=7&amp;number=0.000358&amp;sourceID=14","0.000358")</f>
        <v>0.000358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HYPERLINK("http://141.218.60.56/~jnz1568/getInfo.php?workbook=14_04.xlsx&amp;sheet=U0&amp;row=5683&amp;col=6&amp;number=4.9&amp;sourceID=14","4.9")</f>
        <v>4.9</v>
      </c>
      <c r="G5683" s="4" t="str">
        <f>HYPERLINK("http://141.218.60.56/~jnz1568/getInfo.php?workbook=14_04.xlsx&amp;sheet=U0&amp;row=5683&amp;col=7&amp;number=0.000358&amp;sourceID=14","0.000358")</f>
        <v>0.000358</v>
      </c>
    </row>
    <row r="5684" spans="1:7">
      <c r="A5684" s="3">
        <v>14</v>
      </c>
      <c r="B5684" s="3">
        <v>4</v>
      </c>
      <c r="C5684" s="3">
        <v>3</v>
      </c>
      <c r="D5684" s="3">
        <v>86</v>
      </c>
      <c r="E5684" s="3">
        <v>1</v>
      </c>
      <c r="F5684" s="4" t="str">
        <f>HYPERLINK("http://141.218.60.56/~jnz1568/getInfo.php?workbook=14_04.xlsx&amp;sheet=U0&amp;row=5684&amp;col=6&amp;number=3&amp;sourceID=14","3")</f>
        <v>3</v>
      </c>
      <c r="G5684" s="4" t="str">
        <f>HYPERLINK("http://141.218.60.56/~jnz1568/getInfo.php?workbook=14_04.xlsx&amp;sheet=U0&amp;row=5684&amp;col=7&amp;number=0.00557&amp;sourceID=14","0.00557")</f>
        <v>0.00557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HYPERLINK("http://141.218.60.56/~jnz1568/getInfo.php?workbook=14_04.xlsx&amp;sheet=U0&amp;row=5685&amp;col=6&amp;number=3.1&amp;sourceID=14","3.1")</f>
        <v>3.1</v>
      </c>
      <c r="G5685" s="4" t="str">
        <f>HYPERLINK("http://141.218.60.56/~jnz1568/getInfo.php?workbook=14_04.xlsx&amp;sheet=U0&amp;row=5685&amp;col=7&amp;number=0.00557&amp;sourceID=14","0.00557")</f>
        <v>0.00557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HYPERLINK("http://141.218.60.56/~jnz1568/getInfo.php?workbook=14_04.xlsx&amp;sheet=U0&amp;row=5686&amp;col=6&amp;number=3.2&amp;sourceID=14","3.2")</f>
        <v>3.2</v>
      </c>
      <c r="G5686" s="4" t="str">
        <f>HYPERLINK("http://141.218.60.56/~jnz1568/getInfo.php?workbook=14_04.xlsx&amp;sheet=U0&amp;row=5686&amp;col=7&amp;number=0.00557&amp;sourceID=14","0.00557")</f>
        <v>0.00557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HYPERLINK("http://141.218.60.56/~jnz1568/getInfo.php?workbook=14_04.xlsx&amp;sheet=U0&amp;row=5687&amp;col=6&amp;number=3.3&amp;sourceID=14","3.3")</f>
        <v>3.3</v>
      </c>
      <c r="G5687" s="4" t="str">
        <f>HYPERLINK("http://141.218.60.56/~jnz1568/getInfo.php?workbook=14_04.xlsx&amp;sheet=U0&amp;row=5687&amp;col=7&amp;number=0.00557&amp;sourceID=14","0.00557")</f>
        <v>0.00557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HYPERLINK("http://141.218.60.56/~jnz1568/getInfo.php?workbook=14_04.xlsx&amp;sheet=U0&amp;row=5688&amp;col=6&amp;number=3.4&amp;sourceID=14","3.4")</f>
        <v>3.4</v>
      </c>
      <c r="G5688" s="4" t="str">
        <f>HYPERLINK("http://141.218.60.56/~jnz1568/getInfo.php?workbook=14_04.xlsx&amp;sheet=U0&amp;row=5688&amp;col=7&amp;number=0.00557&amp;sourceID=14","0.00557")</f>
        <v>0.00557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HYPERLINK("http://141.218.60.56/~jnz1568/getInfo.php?workbook=14_04.xlsx&amp;sheet=U0&amp;row=5689&amp;col=6&amp;number=3.5&amp;sourceID=14","3.5")</f>
        <v>3.5</v>
      </c>
      <c r="G5689" s="4" t="str">
        <f>HYPERLINK("http://141.218.60.56/~jnz1568/getInfo.php?workbook=14_04.xlsx&amp;sheet=U0&amp;row=5689&amp;col=7&amp;number=0.00557&amp;sourceID=14","0.00557")</f>
        <v>0.00557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HYPERLINK("http://141.218.60.56/~jnz1568/getInfo.php?workbook=14_04.xlsx&amp;sheet=U0&amp;row=5690&amp;col=6&amp;number=3.6&amp;sourceID=14","3.6")</f>
        <v>3.6</v>
      </c>
      <c r="G5690" s="4" t="str">
        <f>HYPERLINK("http://141.218.60.56/~jnz1568/getInfo.php?workbook=14_04.xlsx&amp;sheet=U0&amp;row=5690&amp;col=7&amp;number=0.00557&amp;sourceID=14","0.00557")</f>
        <v>0.00557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HYPERLINK("http://141.218.60.56/~jnz1568/getInfo.php?workbook=14_04.xlsx&amp;sheet=U0&amp;row=5691&amp;col=6&amp;number=3.7&amp;sourceID=14","3.7")</f>
        <v>3.7</v>
      </c>
      <c r="G5691" s="4" t="str">
        <f>HYPERLINK("http://141.218.60.56/~jnz1568/getInfo.php?workbook=14_04.xlsx&amp;sheet=U0&amp;row=5691&amp;col=7&amp;number=0.00557&amp;sourceID=14","0.00557")</f>
        <v>0.00557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HYPERLINK("http://141.218.60.56/~jnz1568/getInfo.php?workbook=14_04.xlsx&amp;sheet=U0&amp;row=5692&amp;col=6&amp;number=3.8&amp;sourceID=14","3.8")</f>
        <v>3.8</v>
      </c>
      <c r="G5692" s="4" t="str">
        <f>HYPERLINK("http://141.218.60.56/~jnz1568/getInfo.php?workbook=14_04.xlsx&amp;sheet=U0&amp;row=5692&amp;col=7&amp;number=0.00557&amp;sourceID=14","0.00557")</f>
        <v>0.00557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HYPERLINK("http://141.218.60.56/~jnz1568/getInfo.php?workbook=14_04.xlsx&amp;sheet=U0&amp;row=5693&amp;col=6&amp;number=3.9&amp;sourceID=14","3.9")</f>
        <v>3.9</v>
      </c>
      <c r="G5693" s="4" t="str">
        <f>HYPERLINK("http://141.218.60.56/~jnz1568/getInfo.php?workbook=14_04.xlsx&amp;sheet=U0&amp;row=5693&amp;col=7&amp;number=0.00557&amp;sourceID=14","0.00557")</f>
        <v>0.00557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HYPERLINK("http://141.218.60.56/~jnz1568/getInfo.php?workbook=14_04.xlsx&amp;sheet=U0&amp;row=5694&amp;col=6&amp;number=4&amp;sourceID=14","4")</f>
        <v>4</v>
      </c>
      <c r="G5694" s="4" t="str">
        <f>HYPERLINK("http://141.218.60.56/~jnz1568/getInfo.php?workbook=14_04.xlsx&amp;sheet=U0&amp;row=5694&amp;col=7&amp;number=0.00557&amp;sourceID=14","0.00557")</f>
        <v>0.00557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HYPERLINK("http://141.218.60.56/~jnz1568/getInfo.php?workbook=14_04.xlsx&amp;sheet=U0&amp;row=5695&amp;col=6&amp;number=4.1&amp;sourceID=14","4.1")</f>
        <v>4.1</v>
      </c>
      <c r="G5695" s="4" t="str">
        <f>HYPERLINK("http://141.218.60.56/~jnz1568/getInfo.php?workbook=14_04.xlsx&amp;sheet=U0&amp;row=5695&amp;col=7&amp;number=0.00558&amp;sourceID=14","0.00558")</f>
        <v>0.00558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HYPERLINK("http://141.218.60.56/~jnz1568/getInfo.php?workbook=14_04.xlsx&amp;sheet=U0&amp;row=5696&amp;col=6&amp;number=4.2&amp;sourceID=14","4.2")</f>
        <v>4.2</v>
      </c>
      <c r="G5696" s="4" t="str">
        <f>HYPERLINK("http://141.218.60.56/~jnz1568/getInfo.php?workbook=14_04.xlsx&amp;sheet=U0&amp;row=5696&amp;col=7&amp;number=0.00558&amp;sourceID=14","0.00558")</f>
        <v>0.00558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HYPERLINK("http://141.218.60.56/~jnz1568/getInfo.php?workbook=14_04.xlsx&amp;sheet=U0&amp;row=5697&amp;col=6&amp;number=4.3&amp;sourceID=14","4.3")</f>
        <v>4.3</v>
      </c>
      <c r="G5697" s="4" t="str">
        <f>HYPERLINK("http://141.218.60.56/~jnz1568/getInfo.php?workbook=14_04.xlsx&amp;sheet=U0&amp;row=5697&amp;col=7&amp;number=0.00558&amp;sourceID=14","0.00558")</f>
        <v>0.00558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HYPERLINK("http://141.218.60.56/~jnz1568/getInfo.php?workbook=14_04.xlsx&amp;sheet=U0&amp;row=5698&amp;col=6&amp;number=4.4&amp;sourceID=14","4.4")</f>
        <v>4.4</v>
      </c>
      <c r="G5698" s="4" t="str">
        <f>HYPERLINK("http://141.218.60.56/~jnz1568/getInfo.php?workbook=14_04.xlsx&amp;sheet=U0&amp;row=5698&amp;col=7&amp;number=0.00558&amp;sourceID=14","0.00558")</f>
        <v>0.00558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HYPERLINK("http://141.218.60.56/~jnz1568/getInfo.php?workbook=14_04.xlsx&amp;sheet=U0&amp;row=5699&amp;col=6&amp;number=4.5&amp;sourceID=14","4.5")</f>
        <v>4.5</v>
      </c>
      <c r="G5699" s="4" t="str">
        <f>HYPERLINK("http://141.218.60.56/~jnz1568/getInfo.php?workbook=14_04.xlsx&amp;sheet=U0&amp;row=5699&amp;col=7&amp;number=0.00558&amp;sourceID=14","0.00558")</f>
        <v>0.00558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HYPERLINK("http://141.218.60.56/~jnz1568/getInfo.php?workbook=14_04.xlsx&amp;sheet=U0&amp;row=5700&amp;col=6&amp;number=4.6&amp;sourceID=14","4.6")</f>
        <v>4.6</v>
      </c>
      <c r="G5700" s="4" t="str">
        <f>HYPERLINK("http://141.218.60.56/~jnz1568/getInfo.php?workbook=14_04.xlsx&amp;sheet=U0&amp;row=5700&amp;col=7&amp;number=0.00559&amp;sourceID=14","0.00559")</f>
        <v>0.00559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HYPERLINK("http://141.218.60.56/~jnz1568/getInfo.php?workbook=14_04.xlsx&amp;sheet=U0&amp;row=5701&amp;col=6&amp;number=4.7&amp;sourceID=14","4.7")</f>
        <v>4.7</v>
      </c>
      <c r="G5701" s="4" t="str">
        <f>HYPERLINK("http://141.218.60.56/~jnz1568/getInfo.php?workbook=14_04.xlsx&amp;sheet=U0&amp;row=5701&amp;col=7&amp;number=0.00559&amp;sourceID=14","0.00559")</f>
        <v>0.00559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HYPERLINK("http://141.218.60.56/~jnz1568/getInfo.php?workbook=14_04.xlsx&amp;sheet=U0&amp;row=5702&amp;col=6&amp;number=4.8&amp;sourceID=14","4.8")</f>
        <v>4.8</v>
      </c>
      <c r="G5702" s="4" t="str">
        <f>HYPERLINK("http://141.218.60.56/~jnz1568/getInfo.php?workbook=14_04.xlsx&amp;sheet=U0&amp;row=5702&amp;col=7&amp;number=0.00559&amp;sourceID=14","0.00559")</f>
        <v>0.00559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HYPERLINK("http://141.218.60.56/~jnz1568/getInfo.php?workbook=14_04.xlsx&amp;sheet=U0&amp;row=5703&amp;col=6&amp;number=4.9&amp;sourceID=14","4.9")</f>
        <v>4.9</v>
      </c>
      <c r="G5703" s="4" t="str">
        <f>HYPERLINK("http://141.218.60.56/~jnz1568/getInfo.php?workbook=14_04.xlsx&amp;sheet=U0&amp;row=5703&amp;col=7&amp;number=0.0056&amp;sourceID=14","0.0056")</f>
        <v>0.0056</v>
      </c>
    </row>
    <row r="5704" spans="1:7">
      <c r="A5704" s="3">
        <v>14</v>
      </c>
      <c r="B5704" s="3">
        <v>4</v>
      </c>
      <c r="C5704" s="3">
        <v>3</v>
      </c>
      <c r="D5704" s="3">
        <v>87</v>
      </c>
      <c r="E5704" s="3">
        <v>1</v>
      </c>
      <c r="F5704" s="4" t="str">
        <f>HYPERLINK("http://141.218.60.56/~jnz1568/getInfo.php?workbook=14_04.xlsx&amp;sheet=U0&amp;row=5704&amp;col=6&amp;number=3&amp;sourceID=14","3")</f>
        <v>3</v>
      </c>
      <c r="G5704" s="4" t="str">
        <f>HYPERLINK("http://141.218.60.56/~jnz1568/getInfo.php?workbook=14_04.xlsx&amp;sheet=U0&amp;row=5704&amp;col=7&amp;number=0.00152&amp;sourceID=14","0.00152")</f>
        <v>0.00152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HYPERLINK("http://141.218.60.56/~jnz1568/getInfo.php?workbook=14_04.xlsx&amp;sheet=U0&amp;row=5705&amp;col=6&amp;number=3.1&amp;sourceID=14","3.1")</f>
        <v>3.1</v>
      </c>
      <c r="G5705" s="4" t="str">
        <f>HYPERLINK("http://141.218.60.56/~jnz1568/getInfo.php?workbook=14_04.xlsx&amp;sheet=U0&amp;row=5705&amp;col=7&amp;number=0.00152&amp;sourceID=14","0.00152")</f>
        <v>0.00152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HYPERLINK("http://141.218.60.56/~jnz1568/getInfo.php?workbook=14_04.xlsx&amp;sheet=U0&amp;row=5706&amp;col=6&amp;number=3.2&amp;sourceID=14","3.2")</f>
        <v>3.2</v>
      </c>
      <c r="G5706" s="4" t="str">
        <f>HYPERLINK("http://141.218.60.56/~jnz1568/getInfo.php?workbook=14_04.xlsx&amp;sheet=U0&amp;row=5706&amp;col=7&amp;number=0.00152&amp;sourceID=14","0.00152")</f>
        <v>0.00152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HYPERLINK("http://141.218.60.56/~jnz1568/getInfo.php?workbook=14_04.xlsx&amp;sheet=U0&amp;row=5707&amp;col=6&amp;number=3.3&amp;sourceID=14","3.3")</f>
        <v>3.3</v>
      </c>
      <c r="G5707" s="4" t="str">
        <f>HYPERLINK("http://141.218.60.56/~jnz1568/getInfo.php?workbook=14_04.xlsx&amp;sheet=U0&amp;row=5707&amp;col=7&amp;number=0.00152&amp;sourceID=14","0.00152")</f>
        <v>0.00152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HYPERLINK("http://141.218.60.56/~jnz1568/getInfo.php?workbook=14_04.xlsx&amp;sheet=U0&amp;row=5708&amp;col=6&amp;number=3.4&amp;sourceID=14","3.4")</f>
        <v>3.4</v>
      </c>
      <c r="G5708" s="4" t="str">
        <f>HYPERLINK("http://141.218.60.56/~jnz1568/getInfo.php?workbook=14_04.xlsx&amp;sheet=U0&amp;row=5708&amp;col=7&amp;number=0.00152&amp;sourceID=14","0.00152")</f>
        <v>0.00152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HYPERLINK("http://141.218.60.56/~jnz1568/getInfo.php?workbook=14_04.xlsx&amp;sheet=U0&amp;row=5709&amp;col=6&amp;number=3.5&amp;sourceID=14","3.5")</f>
        <v>3.5</v>
      </c>
      <c r="G5709" s="4" t="str">
        <f>HYPERLINK("http://141.218.60.56/~jnz1568/getInfo.php?workbook=14_04.xlsx&amp;sheet=U0&amp;row=5709&amp;col=7&amp;number=0.00152&amp;sourceID=14","0.00152")</f>
        <v>0.00152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HYPERLINK("http://141.218.60.56/~jnz1568/getInfo.php?workbook=14_04.xlsx&amp;sheet=U0&amp;row=5710&amp;col=6&amp;number=3.6&amp;sourceID=14","3.6")</f>
        <v>3.6</v>
      </c>
      <c r="G5710" s="4" t="str">
        <f>HYPERLINK("http://141.218.60.56/~jnz1568/getInfo.php?workbook=14_04.xlsx&amp;sheet=U0&amp;row=5710&amp;col=7&amp;number=0.00152&amp;sourceID=14","0.00152")</f>
        <v>0.00152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HYPERLINK("http://141.218.60.56/~jnz1568/getInfo.php?workbook=14_04.xlsx&amp;sheet=U0&amp;row=5711&amp;col=6&amp;number=3.7&amp;sourceID=14","3.7")</f>
        <v>3.7</v>
      </c>
      <c r="G5711" s="4" t="str">
        <f>HYPERLINK("http://141.218.60.56/~jnz1568/getInfo.php?workbook=14_04.xlsx&amp;sheet=U0&amp;row=5711&amp;col=7&amp;number=0.00152&amp;sourceID=14","0.00152")</f>
        <v>0.00152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HYPERLINK("http://141.218.60.56/~jnz1568/getInfo.php?workbook=14_04.xlsx&amp;sheet=U0&amp;row=5712&amp;col=6&amp;number=3.8&amp;sourceID=14","3.8")</f>
        <v>3.8</v>
      </c>
      <c r="G5712" s="4" t="str">
        <f>HYPERLINK("http://141.218.60.56/~jnz1568/getInfo.php?workbook=14_04.xlsx&amp;sheet=U0&amp;row=5712&amp;col=7&amp;number=0.00152&amp;sourceID=14","0.00152")</f>
        <v>0.00152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HYPERLINK("http://141.218.60.56/~jnz1568/getInfo.php?workbook=14_04.xlsx&amp;sheet=U0&amp;row=5713&amp;col=6&amp;number=3.9&amp;sourceID=14","3.9")</f>
        <v>3.9</v>
      </c>
      <c r="G5713" s="4" t="str">
        <f>HYPERLINK("http://141.218.60.56/~jnz1568/getInfo.php?workbook=14_04.xlsx&amp;sheet=U0&amp;row=5713&amp;col=7&amp;number=0.00152&amp;sourceID=14","0.00152")</f>
        <v>0.00152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HYPERLINK("http://141.218.60.56/~jnz1568/getInfo.php?workbook=14_04.xlsx&amp;sheet=U0&amp;row=5714&amp;col=6&amp;number=4&amp;sourceID=14","4")</f>
        <v>4</v>
      </c>
      <c r="G5714" s="4" t="str">
        <f>HYPERLINK("http://141.218.60.56/~jnz1568/getInfo.php?workbook=14_04.xlsx&amp;sheet=U0&amp;row=5714&amp;col=7&amp;number=0.00152&amp;sourceID=14","0.00152")</f>
        <v>0.00152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HYPERLINK("http://141.218.60.56/~jnz1568/getInfo.php?workbook=14_04.xlsx&amp;sheet=U0&amp;row=5715&amp;col=6&amp;number=4.1&amp;sourceID=14","4.1")</f>
        <v>4.1</v>
      </c>
      <c r="G5715" s="4" t="str">
        <f>HYPERLINK("http://141.218.60.56/~jnz1568/getInfo.php?workbook=14_04.xlsx&amp;sheet=U0&amp;row=5715&amp;col=7&amp;number=0.00152&amp;sourceID=14","0.00152")</f>
        <v>0.00152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HYPERLINK("http://141.218.60.56/~jnz1568/getInfo.php?workbook=14_04.xlsx&amp;sheet=U0&amp;row=5716&amp;col=6&amp;number=4.2&amp;sourceID=14","4.2")</f>
        <v>4.2</v>
      </c>
      <c r="G5716" s="4" t="str">
        <f>HYPERLINK("http://141.218.60.56/~jnz1568/getInfo.php?workbook=14_04.xlsx&amp;sheet=U0&amp;row=5716&amp;col=7&amp;number=0.00152&amp;sourceID=14","0.00152")</f>
        <v>0.00152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HYPERLINK("http://141.218.60.56/~jnz1568/getInfo.php?workbook=14_04.xlsx&amp;sheet=U0&amp;row=5717&amp;col=6&amp;number=4.3&amp;sourceID=14","4.3")</f>
        <v>4.3</v>
      </c>
      <c r="G5717" s="4" t="str">
        <f>HYPERLINK("http://141.218.60.56/~jnz1568/getInfo.php?workbook=14_04.xlsx&amp;sheet=U0&amp;row=5717&amp;col=7&amp;number=0.00152&amp;sourceID=14","0.00152")</f>
        <v>0.00152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HYPERLINK("http://141.218.60.56/~jnz1568/getInfo.php?workbook=14_04.xlsx&amp;sheet=U0&amp;row=5718&amp;col=6&amp;number=4.4&amp;sourceID=14","4.4")</f>
        <v>4.4</v>
      </c>
      <c r="G5718" s="4" t="str">
        <f>HYPERLINK("http://141.218.60.56/~jnz1568/getInfo.php?workbook=14_04.xlsx&amp;sheet=U0&amp;row=5718&amp;col=7&amp;number=0.00152&amp;sourceID=14","0.00152")</f>
        <v>0.00152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HYPERLINK("http://141.218.60.56/~jnz1568/getInfo.php?workbook=14_04.xlsx&amp;sheet=U0&amp;row=5719&amp;col=6&amp;number=4.5&amp;sourceID=14","4.5")</f>
        <v>4.5</v>
      </c>
      <c r="G5719" s="4" t="str">
        <f>HYPERLINK("http://141.218.60.56/~jnz1568/getInfo.php?workbook=14_04.xlsx&amp;sheet=U0&amp;row=5719&amp;col=7&amp;number=0.00152&amp;sourceID=14","0.00152")</f>
        <v>0.00152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HYPERLINK("http://141.218.60.56/~jnz1568/getInfo.php?workbook=14_04.xlsx&amp;sheet=U0&amp;row=5720&amp;col=6&amp;number=4.6&amp;sourceID=14","4.6")</f>
        <v>4.6</v>
      </c>
      <c r="G5720" s="4" t="str">
        <f>HYPERLINK("http://141.218.60.56/~jnz1568/getInfo.php?workbook=14_04.xlsx&amp;sheet=U0&amp;row=5720&amp;col=7&amp;number=0.00151&amp;sourceID=14","0.00151")</f>
        <v>0.00151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HYPERLINK("http://141.218.60.56/~jnz1568/getInfo.php?workbook=14_04.xlsx&amp;sheet=U0&amp;row=5721&amp;col=6&amp;number=4.7&amp;sourceID=14","4.7")</f>
        <v>4.7</v>
      </c>
      <c r="G5721" s="4" t="str">
        <f>HYPERLINK("http://141.218.60.56/~jnz1568/getInfo.php?workbook=14_04.xlsx&amp;sheet=U0&amp;row=5721&amp;col=7&amp;number=0.00151&amp;sourceID=14","0.00151")</f>
        <v>0.00151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HYPERLINK("http://141.218.60.56/~jnz1568/getInfo.php?workbook=14_04.xlsx&amp;sheet=U0&amp;row=5722&amp;col=6&amp;number=4.8&amp;sourceID=14","4.8")</f>
        <v>4.8</v>
      </c>
      <c r="G5722" s="4" t="str">
        <f>HYPERLINK("http://141.218.60.56/~jnz1568/getInfo.php?workbook=14_04.xlsx&amp;sheet=U0&amp;row=5722&amp;col=7&amp;number=0.00151&amp;sourceID=14","0.00151")</f>
        <v>0.00151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HYPERLINK("http://141.218.60.56/~jnz1568/getInfo.php?workbook=14_04.xlsx&amp;sheet=U0&amp;row=5723&amp;col=6&amp;number=4.9&amp;sourceID=14","4.9")</f>
        <v>4.9</v>
      </c>
      <c r="G5723" s="4" t="str">
        <f>HYPERLINK("http://141.218.60.56/~jnz1568/getInfo.php?workbook=14_04.xlsx&amp;sheet=U0&amp;row=5723&amp;col=7&amp;number=0.00151&amp;sourceID=14","0.00151")</f>
        <v>0.00151</v>
      </c>
    </row>
    <row r="5724" spans="1:7">
      <c r="A5724" s="3">
        <v>14</v>
      </c>
      <c r="B5724" s="3">
        <v>4</v>
      </c>
      <c r="C5724" s="3">
        <v>3</v>
      </c>
      <c r="D5724" s="3">
        <v>88</v>
      </c>
      <c r="E5724" s="3">
        <v>1</v>
      </c>
      <c r="F5724" s="4" t="str">
        <f>HYPERLINK("http://141.218.60.56/~jnz1568/getInfo.php?workbook=14_04.xlsx&amp;sheet=U0&amp;row=5724&amp;col=6&amp;number=3&amp;sourceID=14","3")</f>
        <v>3</v>
      </c>
      <c r="G5724" s="4" t="str">
        <f>HYPERLINK("http://141.218.60.56/~jnz1568/getInfo.php?workbook=14_04.xlsx&amp;sheet=U0&amp;row=5724&amp;col=7&amp;number=0.000948&amp;sourceID=14","0.000948")</f>
        <v>0.000948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HYPERLINK("http://141.218.60.56/~jnz1568/getInfo.php?workbook=14_04.xlsx&amp;sheet=U0&amp;row=5725&amp;col=6&amp;number=3.1&amp;sourceID=14","3.1")</f>
        <v>3.1</v>
      </c>
      <c r="G5725" s="4" t="str">
        <f>HYPERLINK("http://141.218.60.56/~jnz1568/getInfo.php?workbook=14_04.xlsx&amp;sheet=U0&amp;row=5725&amp;col=7&amp;number=0.000948&amp;sourceID=14","0.000948")</f>
        <v>0.000948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HYPERLINK("http://141.218.60.56/~jnz1568/getInfo.php?workbook=14_04.xlsx&amp;sheet=U0&amp;row=5726&amp;col=6&amp;number=3.2&amp;sourceID=14","3.2")</f>
        <v>3.2</v>
      </c>
      <c r="G5726" s="4" t="str">
        <f>HYPERLINK("http://141.218.60.56/~jnz1568/getInfo.php?workbook=14_04.xlsx&amp;sheet=U0&amp;row=5726&amp;col=7&amp;number=0.000948&amp;sourceID=14","0.000948")</f>
        <v>0.000948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HYPERLINK("http://141.218.60.56/~jnz1568/getInfo.php?workbook=14_04.xlsx&amp;sheet=U0&amp;row=5727&amp;col=6&amp;number=3.3&amp;sourceID=14","3.3")</f>
        <v>3.3</v>
      </c>
      <c r="G5727" s="4" t="str">
        <f>HYPERLINK("http://141.218.60.56/~jnz1568/getInfo.php?workbook=14_04.xlsx&amp;sheet=U0&amp;row=5727&amp;col=7&amp;number=0.000948&amp;sourceID=14","0.000948")</f>
        <v>0.000948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HYPERLINK("http://141.218.60.56/~jnz1568/getInfo.php?workbook=14_04.xlsx&amp;sheet=U0&amp;row=5728&amp;col=6&amp;number=3.4&amp;sourceID=14","3.4")</f>
        <v>3.4</v>
      </c>
      <c r="G5728" s="4" t="str">
        <f>HYPERLINK("http://141.218.60.56/~jnz1568/getInfo.php?workbook=14_04.xlsx&amp;sheet=U0&amp;row=5728&amp;col=7&amp;number=0.000948&amp;sourceID=14","0.000948")</f>
        <v>0.000948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HYPERLINK("http://141.218.60.56/~jnz1568/getInfo.php?workbook=14_04.xlsx&amp;sheet=U0&amp;row=5729&amp;col=6&amp;number=3.5&amp;sourceID=14","3.5")</f>
        <v>3.5</v>
      </c>
      <c r="G5729" s="4" t="str">
        <f>HYPERLINK("http://141.218.60.56/~jnz1568/getInfo.php?workbook=14_04.xlsx&amp;sheet=U0&amp;row=5729&amp;col=7&amp;number=0.000948&amp;sourceID=14","0.000948")</f>
        <v>0.000948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HYPERLINK("http://141.218.60.56/~jnz1568/getInfo.php?workbook=14_04.xlsx&amp;sheet=U0&amp;row=5730&amp;col=6&amp;number=3.6&amp;sourceID=14","3.6")</f>
        <v>3.6</v>
      </c>
      <c r="G5730" s="4" t="str">
        <f>HYPERLINK("http://141.218.60.56/~jnz1568/getInfo.php?workbook=14_04.xlsx&amp;sheet=U0&amp;row=5730&amp;col=7&amp;number=0.000948&amp;sourceID=14","0.000948")</f>
        <v>0.000948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HYPERLINK("http://141.218.60.56/~jnz1568/getInfo.php?workbook=14_04.xlsx&amp;sheet=U0&amp;row=5731&amp;col=6&amp;number=3.7&amp;sourceID=14","3.7")</f>
        <v>3.7</v>
      </c>
      <c r="G5731" s="4" t="str">
        <f>HYPERLINK("http://141.218.60.56/~jnz1568/getInfo.php?workbook=14_04.xlsx&amp;sheet=U0&amp;row=5731&amp;col=7&amp;number=0.000948&amp;sourceID=14","0.000948")</f>
        <v>0.000948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HYPERLINK("http://141.218.60.56/~jnz1568/getInfo.php?workbook=14_04.xlsx&amp;sheet=U0&amp;row=5732&amp;col=6&amp;number=3.8&amp;sourceID=14","3.8")</f>
        <v>3.8</v>
      </c>
      <c r="G5732" s="4" t="str">
        <f>HYPERLINK("http://141.218.60.56/~jnz1568/getInfo.php?workbook=14_04.xlsx&amp;sheet=U0&amp;row=5732&amp;col=7&amp;number=0.000948&amp;sourceID=14","0.000948")</f>
        <v>0.000948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HYPERLINK("http://141.218.60.56/~jnz1568/getInfo.php?workbook=14_04.xlsx&amp;sheet=U0&amp;row=5733&amp;col=6&amp;number=3.9&amp;sourceID=14","3.9")</f>
        <v>3.9</v>
      </c>
      <c r="G5733" s="4" t="str">
        <f>HYPERLINK("http://141.218.60.56/~jnz1568/getInfo.php?workbook=14_04.xlsx&amp;sheet=U0&amp;row=5733&amp;col=7&amp;number=0.000947&amp;sourceID=14","0.000947")</f>
        <v>0.000947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HYPERLINK("http://141.218.60.56/~jnz1568/getInfo.php?workbook=14_04.xlsx&amp;sheet=U0&amp;row=5734&amp;col=6&amp;number=4&amp;sourceID=14","4")</f>
        <v>4</v>
      </c>
      <c r="G5734" s="4" t="str">
        <f>HYPERLINK("http://141.218.60.56/~jnz1568/getInfo.php?workbook=14_04.xlsx&amp;sheet=U0&amp;row=5734&amp;col=7&amp;number=0.000947&amp;sourceID=14","0.000947")</f>
        <v>0.000947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HYPERLINK("http://141.218.60.56/~jnz1568/getInfo.php?workbook=14_04.xlsx&amp;sheet=U0&amp;row=5735&amp;col=6&amp;number=4.1&amp;sourceID=14","4.1")</f>
        <v>4.1</v>
      </c>
      <c r="G5735" s="4" t="str">
        <f>HYPERLINK("http://141.218.60.56/~jnz1568/getInfo.php?workbook=14_04.xlsx&amp;sheet=U0&amp;row=5735&amp;col=7&amp;number=0.000947&amp;sourceID=14","0.000947")</f>
        <v>0.000947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HYPERLINK("http://141.218.60.56/~jnz1568/getInfo.php?workbook=14_04.xlsx&amp;sheet=U0&amp;row=5736&amp;col=6&amp;number=4.2&amp;sourceID=14","4.2")</f>
        <v>4.2</v>
      </c>
      <c r="G5736" s="4" t="str">
        <f>HYPERLINK("http://141.218.60.56/~jnz1568/getInfo.php?workbook=14_04.xlsx&amp;sheet=U0&amp;row=5736&amp;col=7&amp;number=0.000946&amp;sourceID=14","0.000946")</f>
        <v>0.000946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HYPERLINK("http://141.218.60.56/~jnz1568/getInfo.php?workbook=14_04.xlsx&amp;sheet=U0&amp;row=5737&amp;col=6&amp;number=4.3&amp;sourceID=14","4.3")</f>
        <v>4.3</v>
      </c>
      <c r="G5737" s="4" t="str">
        <f>HYPERLINK("http://141.218.60.56/~jnz1568/getInfo.php?workbook=14_04.xlsx&amp;sheet=U0&amp;row=5737&amp;col=7&amp;number=0.000946&amp;sourceID=14","0.000946")</f>
        <v>0.000946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HYPERLINK("http://141.218.60.56/~jnz1568/getInfo.php?workbook=14_04.xlsx&amp;sheet=U0&amp;row=5738&amp;col=6&amp;number=4.4&amp;sourceID=14","4.4")</f>
        <v>4.4</v>
      </c>
      <c r="G5738" s="4" t="str">
        <f>HYPERLINK("http://141.218.60.56/~jnz1568/getInfo.php?workbook=14_04.xlsx&amp;sheet=U0&amp;row=5738&amp;col=7&amp;number=0.000945&amp;sourceID=14","0.000945")</f>
        <v>0.000945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HYPERLINK("http://141.218.60.56/~jnz1568/getInfo.php?workbook=14_04.xlsx&amp;sheet=U0&amp;row=5739&amp;col=6&amp;number=4.5&amp;sourceID=14","4.5")</f>
        <v>4.5</v>
      </c>
      <c r="G5739" s="4" t="str">
        <f>HYPERLINK("http://141.218.60.56/~jnz1568/getInfo.php?workbook=14_04.xlsx&amp;sheet=U0&amp;row=5739&amp;col=7&amp;number=0.000945&amp;sourceID=14","0.000945")</f>
        <v>0.000945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HYPERLINK("http://141.218.60.56/~jnz1568/getInfo.php?workbook=14_04.xlsx&amp;sheet=U0&amp;row=5740&amp;col=6&amp;number=4.6&amp;sourceID=14","4.6")</f>
        <v>4.6</v>
      </c>
      <c r="G5740" s="4" t="str">
        <f>HYPERLINK("http://141.218.60.56/~jnz1568/getInfo.php?workbook=14_04.xlsx&amp;sheet=U0&amp;row=5740&amp;col=7&amp;number=0.000944&amp;sourceID=14","0.000944")</f>
        <v>0.000944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HYPERLINK("http://141.218.60.56/~jnz1568/getInfo.php?workbook=14_04.xlsx&amp;sheet=U0&amp;row=5741&amp;col=6&amp;number=4.7&amp;sourceID=14","4.7")</f>
        <v>4.7</v>
      </c>
      <c r="G5741" s="4" t="str">
        <f>HYPERLINK("http://141.218.60.56/~jnz1568/getInfo.php?workbook=14_04.xlsx&amp;sheet=U0&amp;row=5741&amp;col=7&amp;number=0.000943&amp;sourceID=14","0.000943")</f>
        <v>0.000943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HYPERLINK("http://141.218.60.56/~jnz1568/getInfo.php?workbook=14_04.xlsx&amp;sheet=U0&amp;row=5742&amp;col=6&amp;number=4.8&amp;sourceID=14","4.8")</f>
        <v>4.8</v>
      </c>
      <c r="G5742" s="4" t="str">
        <f>HYPERLINK("http://141.218.60.56/~jnz1568/getInfo.php?workbook=14_04.xlsx&amp;sheet=U0&amp;row=5742&amp;col=7&amp;number=0.000941&amp;sourceID=14","0.000941")</f>
        <v>0.000941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HYPERLINK("http://141.218.60.56/~jnz1568/getInfo.php?workbook=14_04.xlsx&amp;sheet=U0&amp;row=5743&amp;col=6&amp;number=4.9&amp;sourceID=14","4.9")</f>
        <v>4.9</v>
      </c>
      <c r="G5743" s="4" t="str">
        <f>HYPERLINK("http://141.218.60.56/~jnz1568/getInfo.php?workbook=14_04.xlsx&amp;sheet=U0&amp;row=5743&amp;col=7&amp;number=0.000939&amp;sourceID=14","0.000939")</f>
        <v>0.000939</v>
      </c>
    </row>
    <row r="5744" spans="1:7">
      <c r="A5744" s="3">
        <v>14</v>
      </c>
      <c r="B5744" s="3">
        <v>4</v>
      </c>
      <c r="C5744" s="3">
        <v>3</v>
      </c>
      <c r="D5744" s="3">
        <v>89</v>
      </c>
      <c r="E5744" s="3">
        <v>1</v>
      </c>
      <c r="F5744" s="4" t="str">
        <f>HYPERLINK("http://141.218.60.56/~jnz1568/getInfo.php?workbook=14_04.xlsx&amp;sheet=U0&amp;row=5744&amp;col=6&amp;number=3&amp;sourceID=14","3")</f>
        <v>3</v>
      </c>
      <c r="G5744" s="4" t="str">
        <f>HYPERLINK("http://141.218.60.56/~jnz1568/getInfo.php?workbook=14_04.xlsx&amp;sheet=U0&amp;row=5744&amp;col=7&amp;number=0.00451&amp;sourceID=14","0.00451")</f>
        <v>0.00451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HYPERLINK("http://141.218.60.56/~jnz1568/getInfo.php?workbook=14_04.xlsx&amp;sheet=U0&amp;row=5745&amp;col=6&amp;number=3.1&amp;sourceID=14","3.1")</f>
        <v>3.1</v>
      </c>
      <c r="G5745" s="4" t="str">
        <f>HYPERLINK("http://141.218.60.56/~jnz1568/getInfo.php?workbook=14_04.xlsx&amp;sheet=U0&amp;row=5745&amp;col=7&amp;number=0.00451&amp;sourceID=14","0.00451")</f>
        <v>0.00451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HYPERLINK("http://141.218.60.56/~jnz1568/getInfo.php?workbook=14_04.xlsx&amp;sheet=U0&amp;row=5746&amp;col=6&amp;number=3.2&amp;sourceID=14","3.2")</f>
        <v>3.2</v>
      </c>
      <c r="G5746" s="4" t="str">
        <f>HYPERLINK("http://141.218.60.56/~jnz1568/getInfo.php?workbook=14_04.xlsx&amp;sheet=U0&amp;row=5746&amp;col=7&amp;number=0.00451&amp;sourceID=14","0.00451")</f>
        <v>0.00451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HYPERLINK("http://141.218.60.56/~jnz1568/getInfo.php?workbook=14_04.xlsx&amp;sheet=U0&amp;row=5747&amp;col=6&amp;number=3.3&amp;sourceID=14","3.3")</f>
        <v>3.3</v>
      </c>
      <c r="G5747" s="4" t="str">
        <f>HYPERLINK("http://141.218.60.56/~jnz1568/getInfo.php?workbook=14_04.xlsx&amp;sheet=U0&amp;row=5747&amp;col=7&amp;number=0.00451&amp;sourceID=14","0.00451")</f>
        <v>0.00451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HYPERLINK("http://141.218.60.56/~jnz1568/getInfo.php?workbook=14_04.xlsx&amp;sheet=U0&amp;row=5748&amp;col=6&amp;number=3.4&amp;sourceID=14","3.4")</f>
        <v>3.4</v>
      </c>
      <c r="G5748" s="4" t="str">
        <f>HYPERLINK("http://141.218.60.56/~jnz1568/getInfo.php?workbook=14_04.xlsx&amp;sheet=U0&amp;row=5748&amp;col=7&amp;number=0.00451&amp;sourceID=14","0.00451")</f>
        <v>0.00451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HYPERLINK("http://141.218.60.56/~jnz1568/getInfo.php?workbook=14_04.xlsx&amp;sheet=U0&amp;row=5749&amp;col=6&amp;number=3.5&amp;sourceID=14","3.5")</f>
        <v>3.5</v>
      </c>
      <c r="G5749" s="4" t="str">
        <f>HYPERLINK("http://141.218.60.56/~jnz1568/getInfo.php?workbook=14_04.xlsx&amp;sheet=U0&amp;row=5749&amp;col=7&amp;number=0.00451&amp;sourceID=14","0.00451")</f>
        <v>0.00451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HYPERLINK("http://141.218.60.56/~jnz1568/getInfo.php?workbook=14_04.xlsx&amp;sheet=U0&amp;row=5750&amp;col=6&amp;number=3.6&amp;sourceID=14","3.6")</f>
        <v>3.6</v>
      </c>
      <c r="G5750" s="4" t="str">
        <f>HYPERLINK("http://141.218.60.56/~jnz1568/getInfo.php?workbook=14_04.xlsx&amp;sheet=U0&amp;row=5750&amp;col=7&amp;number=0.00451&amp;sourceID=14","0.00451")</f>
        <v>0.00451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HYPERLINK("http://141.218.60.56/~jnz1568/getInfo.php?workbook=14_04.xlsx&amp;sheet=U0&amp;row=5751&amp;col=6&amp;number=3.7&amp;sourceID=14","3.7")</f>
        <v>3.7</v>
      </c>
      <c r="G5751" s="4" t="str">
        <f>HYPERLINK("http://141.218.60.56/~jnz1568/getInfo.php?workbook=14_04.xlsx&amp;sheet=U0&amp;row=5751&amp;col=7&amp;number=0.00451&amp;sourceID=14","0.00451")</f>
        <v>0.00451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HYPERLINK("http://141.218.60.56/~jnz1568/getInfo.php?workbook=14_04.xlsx&amp;sheet=U0&amp;row=5752&amp;col=6&amp;number=3.8&amp;sourceID=14","3.8")</f>
        <v>3.8</v>
      </c>
      <c r="G5752" s="4" t="str">
        <f>HYPERLINK("http://141.218.60.56/~jnz1568/getInfo.php?workbook=14_04.xlsx&amp;sheet=U0&amp;row=5752&amp;col=7&amp;number=0.00451&amp;sourceID=14","0.00451")</f>
        <v>0.00451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HYPERLINK("http://141.218.60.56/~jnz1568/getInfo.php?workbook=14_04.xlsx&amp;sheet=U0&amp;row=5753&amp;col=6&amp;number=3.9&amp;sourceID=14","3.9")</f>
        <v>3.9</v>
      </c>
      <c r="G5753" s="4" t="str">
        <f>HYPERLINK("http://141.218.60.56/~jnz1568/getInfo.php?workbook=14_04.xlsx&amp;sheet=U0&amp;row=5753&amp;col=7&amp;number=0.00451&amp;sourceID=14","0.00451")</f>
        <v>0.00451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HYPERLINK("http://141.218.60.56/~jnz1568/getInfo.php?workbook=14_04.xlsx&amp;sheet=U0&amp;row=5754&amp;col=6&amp;number=4&amp;sourceID=14","4")</f>
        <v>4</v>
      </c>
      <c r="G5754" s="4" t="str">
        <f>HYPERLINK("http://141.218.60.56/~jnz1568/getInfo.php?workbook=14_04.xlsx&amp;sheet=U0&amp;row=5754&amp;col=7&amp;number=0.00451&amp;sourceID=14","0.00451")</f>
        <v>0.00451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HYPERLINK("http://141.218.60.56/~jnz1568/getInfo.php?workbook=14_04.xlsx&amp;sheet=U0&amp;row=5755&amp;col=6&amp;number=4.1&amp;sourceID=14","4.1")</f>
        <v>4.1</v>
      </c>
      <c r="G5755" s="4" t="str">
        <f>HYPERLINK("http://141.218.60.56/~jnz1568/getInfo.php?workbook=14_04.xlsx&amp;sheet=U0&amp;row=5755&amp;col=7&amp;number=0.00452&amp;sourceID=14","0.00452")</f>
        <v>0.00452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HYPERLINK("http://141.218.60.56/~jnz1568/getInfo.php?workbook=14_04.xlsx&amp;sheet=U0&amp;row=5756&amp;col=6&amp;number=4.2&amp;sourceID=14","4.2")</f>
        <v>4.2</v>
      </c>
      <c r="G5756" s="4" t="str">
        <f>HYPERLINK("http://141.218.60.56/~jnz1568/getInfo.php?workbook=14_04.xlsx&amp;sheet=U0&amp;row=5756&amp;col=7&amp;number=0.00452&amp;sourceID=14","0.00452")</f>
        <v>0.00452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HYPERLINK("http://141.218.60.56/~jnz1568/getInfo.php?workbook=14_04.xlsx&amp;sheet=U0&amp;row=5757&amp;col=6&amp;number=4.3&amp;sourceID=14","4.3")</f>
        <v>4.3</v>
      </c>
      <c r="G5757" s="4" t="str">
        <f>HYPERLINK("http://141.218.60.56/~jnz1568/getInfo.php?workbook=14_04.xlsx&amp;sheet=U0&amp;row=5757&amp;col=7&amp;number=0.00452&amp;sourceID=14","0.00452")</f>
        <v>0.00452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HYPERLINK("http://141.218.60.56/~jnz1568/getInfo.php?workbook=14_04.xlsx&amp;sheet=U0&amp;row=5758&amp;col=6&amp;number=4.4&amp;sourceID=14","4.4")</f>
        <v>4.4</v>
      </c>
      <c r="G5758" s="4" t="str">
        <f>HYPERLINK("http://141.218.60.56/~jnz1568/getInfo.php?workbook=14_04.xlsx&amp;sheet=U0&amp;row=5758&amp;col=7&amp;number=0.00452&amp;sourceID=14","0.00452")</f>
        <v>0.00452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HYPERLINK("http://141.218.60.56/~jnz1568/getInfo.php?workbook=14_04.xlsx&amp;sheet=U0&amp;row=5759&amp;col=6&amp;number=4.5&amp;sourceID=14","4.5")</f>
        <v>4.5</v>
      </c>
      <c r="G5759" s="4" t="str">
        <f>HYPERLINK("http://141.218.60.56/~jnz1568/getInfo.php?workbook=14_04.xlsx&amp;sheet=U0&amp;row=5759&amp;col=7&amp;number=0.00453&amp;sourceID=14","0.00453")</f>
        <v>0.00453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HYPERLINK("http://141.218.60.56/~jnz1568/getInfo.php?workbook=14_04.xlsx&amp;sheet=U0&amp;row=5760&amp;col=6&amp;number=4.6&amp;sourceID=14","4.6")</f>
        <v>4.6</v>
      </c>
      <c r="G5760" s="4" t="str">
        <f>HYPERLINK("http://141.218.60.56/~jnz1568/getInfo.php?workbook=14_04.xlsx&amp;sheet=U0&amp;row=5760&amp;col=7&amp;number=0.00453&amp;sourceID=14","0.00453")</f>
        <v>0.00453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HYPERLINK("http://141.218.60.56/~jnz1568/getInfo.php?workbook=14_04.xlsx&amp;sheet=U0&amp;row=5761&amp;col=6&amp;number=4.7&amp;sourceID=14","4.7")</f>
        <v>4.7</v>
      </c>
      <c r="G5761" s="4" t="str">
        <f>HYPERLINK("http://141.218.60.56/~jnz1568/getInfo.php?workbook=14_04.xlsx&amp;sheet=U0&amp;row=5761&amp;col=7&amp;number=0.00454&amp;sourceID=14","0.00454")</f>
        <v>0.00454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HYPERLINK("http://141.218.60.56/~jnz1568/getInfo.php?workbook=14_04.xlsx&amp;sheet=U0&amp;row=5762&amp;col=6&amp;number=4.8&amp;sourceID=14","4.8")</f>
        <v>4.8</v>
      </c>
      <c r="G5762" s="4" t="str">
        <f>HYPERLINK("http://141.218.60.56/~jnz1568/getInfo.php?workbook=14_04.xlsx&amp;sheet=U0&amp;row=5762&amp;col=7&amp;number=0.00454&amp;sourceID=14","0.00454")</f>
        <v>0.00454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HYPERLINK("http://141.218.60.56/~jnz1568/getInfo.php?workbook=14_04.xlsx&amp;sheet=U0&amp;row=5763&amp;col=6&amp;number=4.9&amp;sourceID=14","4.9")</f>
        <v>4.9</v>
      </c>
      <c r="G5763" s="4" t="str">
        <f>HYPERLINK("http://141.218.60.56/~jnz1568/getInfo.php?workbook=14_04.xlsx&amp;sheet=U0&amp;row=5763&amp;col=7&amp;number=0.00455&amp;sourceID=14","0.00455")</f>
        <v>0.00455</v>
      </c>
    </row>
    <row r="5764" spans="1:7">
      <c r="A5764" s="3">
        <v>14</v>
      </c>
      <c r="B5764" s="3">
        <v>4</v>
      </c>
      <c r="C5764" s="3">
        <v>3</v>
      </c>
      <c r="D5764" s="3">
        <v>90</v>
      </c>
      <c r="E5764" s="3">
        <v>1</v>
      </c>
      <c r="F5764" s="4" t="str">
        <f>HYPERLINK("http://141.218.60.56/~jnz1568/getInfo.php?workbook=14_04.xlsx&amp;sheet=U0&amp;row=5764&amp;col=6&amp;number=3&amp;sourceID=14","3")</f>
        <v>3</v>
      </c>
      <c r="G5764" s="4" t="str">
        <f>HYPERLINK("http://141.218.60.56/~jnz1568/getInfo.php?workbook=14_04.xlsx&amp;sheet=U0&amp;row=5764&amp;col=7&amp;number=0.0107&amp;sourceID=14","0.0107")</f>
        <v>0.0107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HYPERLINK("http://141.218.60.56/~jnz1568/getInfo.php?workbook=14_04.xlsx&amp;sheet=U0&amp;row=5765&amp;col=6&amp;number=3.1&amp;sourceID=14","3.1")</f>
        <v>3.1</v>
      </c>
      <c r="G5765" s="4" t="str">
        <f>HYPERLINK("http://141.218.60.56/~jnz1568/getInfo.php?workbook=14_04.xlsx&amp;sheet=U0&amp;row=5765&amp;col=7&amp;number=0.0107&amp;sourceID=14","0.0107")</f>
        <v>0.0107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HYPERLINK("http://141.218.60.56/~jnz1568/getInfo.php?workbook=14_04.xlsx&amp;sheet=U0&amp;row=5766&amp;col=6&amp;number=3.2&amp;sourceID=14","3.2")</f>
        <v>3.2</v>
      </c>
      <c r="G5766" s="4" t="str">
        <f>HYPERLINK("http://141.218.60.56/~jnz1568/getInfo.php?workbook=14_04.xlsx&amp;sheet=U0&amp;row=5766&amp;col=7&amp;number=0.0107&amp;sourceID=14","0.0107")</f>
        <v>0.0107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HYPERLINK("http://141.218.60.56/~jnz1568/getInfo.php?workbook=14_04.xlsx&amp;sheet=U0&amp;row=5767&amp;col=6&amp;number=3.3&amp;sourceID=14","3.3")</f>
        <v>3.3</v>
      </c>
      <c r="G5767" s="4" t="str">
        <f>HYPERLINK("http://141.218.60.56/~jnz1568/getInfo.php?workbook=14_04.xlsx&amp;sheet=U0&amp;row=5767&amp;col=7&amp;number=0.0107&amp;sourceID=14","0.0107")</f>
        <v>0.0107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HYPERLINK("http://141.218.60.56/~jnz1568/getInfo.php?workbook=14_04.xlsx&amp;sheet=U0&amp;row=5768&amp;col=6&amp;number=3.4&amp;sourceID=14","3.4")</f>
        <v>3.4</v>
      </c>
      <c r="G5768" s="4" t="str">
        <f>HYPERLINK("http://141.218.60.56/~jnz1568/getInfo.php?workbook=14_04.xlsx&amp;sheet=U0&amp;row=5768&amp;col=7&amp;number=0.0107&amp;sourceID=14","0.0107")</f>
        <v>0.0107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HYPERLINK("http://141.218.60.56/~jnz1568/getInfo.php?workbook=14_04.xlsx&amp;sheet=U0&amp;row=5769&amp;col=6&amp;number=3.5&amp;sourceID=14","3.5")</f>
        <v>3.5</v>
      </c>
      <c r="G5769" s="4" t="str">
        <f>HYPERLINK("http://141.218.60.56/~jnz1568/getInfo.php?workbook=14_04.xlsx&amp;sheet=U0&amp;row=5769&amp;col=7&amp;number=0.0107&amp;sourceID=14","0.0107")</f>
        <v>0.0107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HYPERLINK("http://141.218.60.56/~jnz1568/getInfo.php?workbook=14_04.xlsx&amp;sheet=U0&amp;row=5770&amp;col=6&amp;number=3.6&amp;sourceID=14","3.6")</f>
        <v>3.6</v>
      </c>
      <c r="G5770" s="4" t="str">
        <f>HYPERLINK("http://141.218.60.56/~jnz1568/getInfo.php?workbook=14_04.xlsx&amp;sheet=U0&amp;row=5770&amp;col=7&amp;number=0.0107&amp;sourceID=14","0.0107")</f>
        <v>0.0107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HYPERLINK("http://141.218.60.56/~jnz1568/getInfo.php?workbook=14_04.xlsx&amp;sheet=U0&amp;row=5771&amp;col=6&amp;number=3.7&amp;sourceID=14","3.7")</f>
        <v>3.7</v>
      </c>
      <c r="G5771" s="4" t="str">
        <f>HYPERLINK("http://141.218.60.56/~jnz1568/getInfo.php?workbook=14_04.xlsx&amp;sheet=U0&amp;row=5771&amp;col=7&amp;number=0.0107&amp;sourceID=14","0.0107")</f>
        <v>0.0107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HYPERLINK("http://141.218.60.56/~jnz1568/getInfo.php?workbook=14_04.xlsx&amp;sheet=U0&amp;row=5772&amp;col=6&amp;number=3.8&amp;sourceID=14","3.8")</f>
        <v>3.8</v>
      </c>
      <c r="G5772" s="4" t="str">
        <f>HYPERLINK("http://141.218.60.56/~jnz1568/getInfo.php?workbook=14_04.xlsx&amp;sheet=U0&amp;row=5772&amp;col=7&amp;number=0.0107&amp;sourceID=14","0.0107")</f>
        <v>0.0107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HYPERLINK("http://141.218.60.56/~jnz1568/getInfo.php?workbook=14_04.xlsx&amp;sheet=U0&amp;row=5773&amp;col=6&amp;number=3.9&amp;sourceID=14","3.9")</f>
        <v>3.9</v>
      </c>
      <c r="G5773" s="4" t="str">
        <f>HYPERLINK("http://141.218.60.56/~jnz1568/getInfo.php?workbook=14_04.xlsx&amp;sheet=U0&amp;row=5773&amp;col=7&amp;number=0.0107&amp;sourceID=14","0.0107")</f>
        <v>0.0107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HYPERLINK("http://141.218.60.56/~jnz1568/getInfo.php?workbook=14_04.xlsx&amp;sheet=U0&amp;row=5774&amp;col=6&amp;number=4&amp;sourceID=14","4")</f>
        <v>4</v>
      </c>
      <c r="G5774" s="4" t="str">
        <f>HYPERLINK("http://141.218.60.56/~jnz1568/getInfo.php?workbook=14_04.xlsx&amp;sheet=U0&amp;row=5774&amp;col=7&amp;number=0.0107&amp;sourceID=14","0.0107")</f>
        <v>0.0107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HYPERLINK("http://141.218.60.56/~jnz1568/getInfo.php?workbook=14_04.xlsx&amp;sheet=U0&amp;row=5775&amp;col=6&amp;number=4.1&amp;sourceID=14","4.1")</f>
        <v>4.1</v>
      </c>
      <c r="G5775" s="4" t="str">
        <f>HYPERLINK("http://141.218.60.56/~jnz1568/getInfo.php?workbook=14_04.xlsx&amp;sheet=U0&amp;row=5775&amp;col=7&amp;number=0.0107&amp;sourceID=14","0.0107")</f>
        <v>0.0107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HYPERLINK("http://141.218.60.56/~jnz1568/getInfo.php?workbook=14_04.xlsx&amp;sheet=U0&amp;row=5776&amp;col=6&amp;number=4.2&amp;sourceID=14","4.2")</f>
        <v>4.2</v>
      </c>
      <c r="G5776" s="4" t="str">
        <f>HYPERLINK("http://141.218.60.56/~jnz1568/getInfo.php?workbook=14_04.xlsx&amp;sheet=U0&amp;row=5776&amp;col=7&amp;number=0.0107&amp;sourceID=14","0.0107")</f>
        <v>0.0107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HYPERLINK("http://141.218.60.56/~jnz1568/getInfo.php?workbook=14_04.xlsx&amp;sheet=U0&amp;row=5777&amp;col=6&amp;number=4.3&amp;sourceID=14","4.3")</f>
        <v>4.3</v>
      </c>
      <c r="G5777" s="4" t="str">
        <f>HYPERLINK("http://141.218.60.56/~jnz1568/getInfo.php?workbook=14_04.xlsx&amp;sheet=U0&amp;row=5777&amp;col=7&amp;number=0.0107&amp;sourceID=14","0.0107")</f>
        <v>0.0107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HYPERLINK("http://141.218.60.56/~jnz1568/getInfo.php?workbook=14_04.xlsx&amp;sheet=U0&amp;row=5778&amp;col=6&amp;number=4.4&amp;sourceID=14","4.4")</f>
        <v>4.4</v>
      </c>
      <c r="G5778" s="4" t="str">
        <f>HYPERLINK("http://141.218.60.56/~jnz1568/getInfo.php?workbook=14_04.xlsx&amp;sheet=U0&amp;row=5778&amp;col=7&amp;number=0.0107&amp;sourceID=14","0.0107")</f>
        <v>0.0107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HYPERLINK("http://141.218.60.56/~jnz1568/getInfo.php?workbook=14_04.xlsx&amp;sheet=U0&amp;row=5779&amp;col=6&amp;number=4.5&amp;sourceID=14","4.5")</f>
        <v>4.5</v>
      </c>
      <c r="G5779" s="4" t="str">
        <f>HYPERLINK("http://141.218.60.56/~jnz1568/getInfo.php?workbook=14_04.xlsx&amp;sheet=U0&amp;row=5779&amp;col=7&amp;number=0.0107&amp;sourceID=14","0.0107")</f>
        <v>0.0107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HYPERLINK("http://141.218.60.56/~jnz1568/getInfo.php?workbook=14_04.xlsx&amp;sheet=U0&amp;row=5780&amp;col=6&amp;number=4.6&amp;sourceID=14","4.6")</f>
        <v>4.6</v>
      </c>
      <c r="G5780" s="4" t="str">
        <f>HYPERLINK("http://141.218.60.56/~jnz1568/getInfo.php?workbook=14_04.xlsx&amp;sheet=U0&amp;row=5780&amp;col=7&amp;number=0.0108&amp;sourceID=14","0.0108")</f>
        <v>0.0108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HYPERLINK("http://141.218.60.56/~jnz1568/getInfo.php?workbook=14_04.xlsx&amp;sheet=U0&amp;row=5781&amp;col=6&amp;number=4.7&amp;sourceID=14","4.7")</f>
        <v>4.7</v>
      </c>
      <c r="G5781" s="4" t="str">
        <f>HYPERLINK("http://141.218.60.56/~jnz1568/getInfo.php?workbook=14_04.xlsx&amp;sheet=U0&amp;row=5781&amp;col=7&amp;number=0.0108&amp;sourceID=14","0.0108")</f>
        <v>0.0108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HYPERLINK("http://141.218.60.56/~jnz1568/getInfo.php?workbook=14_04.xlsx&amp;sheet=U0&amp;row=5782&amp;col=6&amp;number=4.8&amp;sourceID=14","4.8")</f>
        <v>4.8</v>
      </c>
      <c r="G5782" s="4" t="str">
        <f>HYPERLINK("http://141.218.60.56/~jnz1568/getInfo.php?workbook=14_04.xlsx&amp;sheet=U0&amp;row=5782&amp;col=7&amp;number=0.0108&amp;sourceID=14","0.0108")</f>
        <v>0.0108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HYPERLINK("http://141.218.60.56/~jnz1568/getInfo.php?workbook=14_04.xlsx&amp;sheet=U0&amp;row=5783&amp;col=6&amp;number=4.9&amp;sourceID=14","4.9")</f>
        <v>4.9</v>
      </c>
      <c r="G5783" s="4" t="str">
        <f>HYPERLINK("http://141.218.60.56/~jnz1568/getInfo.php?workbook=14_04.xlsx&amp;sheet=U0&amp;row=5783&amp;col=7&amp;number=0.0108&amp;sourceID=14","0.0108")</f>
        <v>0.0108</v>
      </c>
    </row>
    <row r="5784" spans="1:7">
      <c r="A5784" s="3">
        <v>14</v>
      </c>
      <c r="B5784" s="3">
        <v>4</v>
      </c>
      <c r="C5784" s="3">
        <v>3</v>
      </c>
      <c r="D5784" s="3">
        <v>91</v>
      </c>
      <c r="E5784" s="3">
        <v>1</v>
      </c>
      <c r="F5784" s="4" t="str">
        <f>HYPERLINK("http://141.218.60.56/~jnz1568/getInfo.php?workbook=14_04.xlsx&amp;sheet=U0&amp;row=5784&amp;col=6&amp;number=3&amp;sourceID=14","3")</f>
        <v>3</v>
      </c>
      <c r="G5784" s="4" t="str">
        <f>HYPERLINK("http://141.218.60.56/~jnz1568/getInfo.php?workbook=14_04.xlsx&amp;sheet=U0&amp;row=5784&amp;col=7&amp;number=0.00276&amp;sourceID=14","0.00276")</f>
        <v>0.00276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HYPERLINK("http://141.218.60.56/~jnz1568/getInfo.php?workbook=14_04.xlsx&amp;sheet=U0&amp;row=5785&amp;col=6&amp;number=3.1&amp;sourceID=14","3.1")</f>
        <v>3.1</v>
      </c>
      <c r="G5785" s="4" t="str">
        <f>HYPERLINK("http://141.218.60.56/~jnz1568/getInfo.php?workbook=14_04.xlsx&amp;sheet=U0&amp;row=5785&amp;col=7&amp;number=0.00276&amp;sourceID=14","0.00276")</f>
        <v>0.00276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HYPERLINK("http://141.218.60.56/~jnz1568/getInfo.php?workbook=14_04.xlsx&amp;sheet=U0&amp;row=5786&amp;col=6&amp;number=3.2&amp;sourceID=14","3.2")</f>
        <v>3.2</v>
      </c>
      <c r="G5786" s="4" t="str">
        <f>HYPERLINK("http://141.218.60.56/~jnz1568/getInfo.php?workbook=14_04.xlsx&amp;sheet=U0&amp;row=5786&amp;col=7&amp;number=0.00276&amp;sourceID=14","0.00276")</f>
        <v>0.00276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HYPERLINK("http://141.218.60.56/~jnz1568/getInfo.php?workbook=14_04.xlsx&amp;sheet=U0&amp;row=5787&amp;col=6&amp;number=3.3&amp;sourceID=14","3.3")</f>
        <v>3.3</v>
      </c>
      <c r="G5787" s="4" t="str">
        <f>HYPERLINK("http://141.218.60.56/~jnz1568/getInfo.php?workbook=14_04.xlsx&amp;sheet=U0&amp;row=5787&amp;col=7&amp;number=0.00276&amp;sourceID=14","0.00276")</f>
        <v>0.00276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HYPERLINK("http://141.218.60.56/~jnz1568/getInfo.php?workbook=14_04.xlsx&amp;sheet=U0&amp;row=5788&amp;col=6&amp;number=3.4&amp;sourceID=14","3.4")</f>
        <v>3.4</v>
      </c>
      <c r="G5788" s="4" t="str">
        <f>HYPERLINK("http://141.218.60.56/~jnz1568/getInfo.php?workbook=14_04.xlsx&amp;sheet=U0&amp;row=5788&amp;col=7&amp;number=0.00276&amp;sourceID=14","0.00276")</f>
        <v>0.00276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HYPERLINK("http://141.218.60.56/~jnz1568/getInfo.php?workbook=14_04.xlsx&amp;sheet=U0&amp;row=5789&amp;col=6&amp;number=3.5&amp;sourceID=14","3.5")</f>
        <v>3.5</v>
      </c>
      <c r="G5789" s="4" t="str">
        <f>HYPERLINK("http://141.218.60.56/~jnz1568/getInfo.php?workbook=14_04.xlsx&amp;sheet=U0&amp;row=5789&amp;col=7&amp;number=0.00276&amp;sourceID=14","0.00276")</f>
        <v>0.00276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HYPERLINK("http://141.218.60.56/~jnz1568/getInfo.php?workbook=14_04.xlsx&amp;sheet=U0&amp;row=5790&amp;col=6&amp;number=3.6&amp;sourceID=14","3.6")</f>
        <v>3.6</v>
      </c>
      <c r="G5790" s="4" t="str">
        <f>HYPERLINK("http://141.218.60.56/~jnz1568/getInfo.php?workbook=14_04.xlsx&amp;sheet=U0&amp;row=5790&amp;col=7&amp;number=0.00276&amp;sourceID=14","0.00276")</f>
        <v>0.00276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HYPERLINK("http://141.218.60.56/~jnz1568/getInfo.php?workbook=14_04.xlsx&amp;sheet=U0&amp;row=5791&amp;col=6&amp;number=3.7&amp;sourceID=14","3.7")</f>
        <v>3.7</v>
      </c>
      <c r="G5791" s="4" t="str">
        <f>HYPERLINK("http://141.218.60.56/~jnz1568/getInfo.php?workbook=14_04.xlsx&amp;sheet=U0&amp;row=5791&amp;col=7&amp;number=0.00276&amp;sourceID=14","0.00276")</f>
        <v>0.00276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HYPERLINK("http://141.218.60.56/~jnz1568/getInfo.php?workbook=14_04.xlsx&amp;sheet=U0&amp;row=5792&amp;col=6&amp;number=3.8&amp;sourceID=14","3.8")</f>
        <v>3.8</v>
      </c>
      <c r="G5792" s="4" t="str">
        <f>HYPERLINK("http://141.218.60.56/~jnz1568/getInfo.php?workbook=14_04.xlsx&amp;sheet=U0&amp;row=5792&amp;col=7&amp;number=0.00276&amp;sourceID=14","0.00276")</f>
        <v>0.00276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HYPERLINK("http://141.218.60.56/~jnz1568/getInfo.php?workbook=14_04.xlsx&amp;sheet=U0&amp;row=5793&amp;col=6&amp;number=3.9&amp;sourceID=14","3.9")</f>
        <v>3.9</v>
      </c>
      <c r="G5793" s="4" t="str">
        <f>HYPERLINK("http://141.218.60.56/~jnz1568/getInfo.php?workbook=14_04.xlsx&amp;sheet=U0&amp;row=5793&amp;col=7&amp;number=0.00276&amp;sourceID=14","0.00276")</f>
        <v>0.00276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HYPERLINK("http://141.218.60.56/~jnz1568/getInfo.php?workbook=14_04.xlsx&amp;sheet=U0&amp;row=5794&amp;col=6&amp;number=4&amp;sourceID=14","4")</f>
        <v>4</v>
      </c>
      <c r="G5794" s="4" t="str">
        <f>HYPERLINK("http://141.218.60.56/~jnz1568/getInfo.php?workbook=14_04.xlsx&amp;sheet=U0&amp;row=5794&amp;col=7&amp;number=0.00276&amp;sourceID=14","0.00276")</f>
        <v>0.00276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HYPERLINK("http://141.218.60.56/~jnz1568/getInfo.php?workbook=14_04.xlsx&amp;sheet=U0&amp;row=5795&amp;col=6&amp;number=4.1&amp;sourceID=14","4.1")</f>
        <v>4.1</v>
      </c>
      <c r="G5795" s="4" t="str">
        <f>HYPERLINK("http://141.218.60.56/~jnz1568/getInfo.php?workbook=14_04.xlsx&amp;sheet=U0&amp;row=5795&amp;col=7&amp;number=0.00276&amp;sourceID=14","0.00276")</f>
        <v>0.00276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HYPERLINK("http://141.218.60.56/~jnz1568/getInfo.php?workbook=14_04.xlsx&amp;sheet=U0&amp;row=5796&amp;col=6&amp;number=4.2&amp;sourceID=14","4.2")</f>
        <v>4.2</v>
      </c>
      <c r="G5796" s="4" t="str">
        <f>HYPERLINK("http://141.218.60.56/~jnz1568/getInfo.php?workbook=14_04.xlsx&amp;sheet=U0&amp;row=5796&amp;col=7&amp;number=0.00276&amp;sourceID=14","0.00276")</f>
        <v>0.00276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HYPERLINK("http://141.218.60.56/~jnz1568/getInfo.php?workbook=14_04.xlsx&amp;sheet=U0&amp;row=5797&amp;col=6&amp;number=4.3&amp;sourceID=14","4.3")</f>
        <v>4.3</v>
      </c>
      <c r="G5797" s="4" t="str">
        <f>HYPERLINK("http://141.218.60.56/~jnz1568/getInfo.php?workbook=14_04.xlsx&amp;sheet=U0&amp;row=5797&amp;col=7&amp;number=0.00275&amp;sourceID=14","0.00275")</f>
        <v>0.00275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HYPERLINK("http://141.218.60.56/~jnz1568/getInfo.php?workbook=14_04.xlsx&amp;sheet=U0&amp;row=5798&amp;col=6&amp;number=4.4&amp;sourceID=14","4.4")</f>
        <v>4.4</v>
      </c>
      <c r="G5798" s="4" t="str">
        <f>HYPERLINK("http://141.218.60.56/~jnz1568/getInfo.php?workbook=14_04.xlsx&amp;sheet=U0&amp;row=5798&amp;col=7&amp;number=0.00275&amp;sourceID=14","0.00275")</f>
        <v>0.00275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HYPERLINK("http://141.218.60.56/~jnz1568/getInfo.php?workbook=14_04.xlsx&amp;sheet=U0&amp;row=5799&amp;col=6&amp;number=4.5&amp;sourceID=14","4.5")</f>
        <v>4.5</v>
      </c>
      <c r="G5799" s="4" t="str">
        <f>HYPERLINK("http://141.218.60.56/~jnz1568/getInfo.php?workbook=14_04.xlsx&amp;sheet=U0&amp;row=5799&amp;col=7&amp;number=0.00275&amp;sourceID=14","0.00275")</f>
        <v>0.00275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HYPERLINK("http://141.218.60.56/~jnz1568/getInfo.php?workbook=14_04.xlsx&amp;sheet=U0&amp;row=5800&amp;col=6&amp;number=4.6&amp;sourceID=14","4.6")</f>
        <v>4.6</v>
      </c>
      <c r="G5800" s="4" t="str">
        <f>HYPERLINK("http://141.218.60.56/~jnz1568/getInfo.php?workbook=14_04.xlsx&amp;sheet=U0&amp;row=5800&amp;col=7&amp;number=0.00275&amp;sourceID=14","0.00275")</f>
        <v>0.00275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HYPERLINK("http://141.218.60.56/~jnz1568/getInfo.php?workbook=14_04.xlsx&amp;sheet=U0&amp;row=5801&amp;col=6&amp;number=4.7&amp;sourceID=14","4.7")</f>
        <v>4.7</v>
      </c>
      <c r="G5801" s="4" t="str">
        <f>HYPERLINK("http://141.218.60.56/~jnz1568/getInfo.php?workbook=14_04.xlsx&amp;sheet=U0&amp;row=5801&amp;col=7&amp;number=0.00274&amp;sourceID=14","0.00274")</f>
        <v>0.00274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HYPERLINK("http://141.218.60.56/~jnz1568/getInfo.php?workbook=14_04.xlsx&amp;sheet=U0&amp;row=5802&amp;col=6&amp;number=4.8&amp;sourceID=14","4.8")</f>
        <v>4.8</v>
      </c>
      <c r="G5802" s="4" t="str">
        <f>HYPERLINK("http://141.218.60.56/~jnz1568/getInfo.php?workbook=14_04.xlsx&amp;sheet=U0&amp;row=5802&amp;col=7&amp;number=0.00274&amp;sourceID=14","0.00274")</f>
        <v>0.00274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HYPERLINK("http://141.218.60.56/~jnz1568/getInfo.php?workbook=14_04.xlsx&amp;sheet=U0&amp;row=5803&amp;col=6&amp;number=4.9&amp;sourceID=14","4.9")</f>
        <v>4.9</v>
      </c>
      <c r="G5803" s="4" t="str">
        <f>HYPERLINK("http://141.218.60.56/~jnz1568/getInfo.php?workbook=14_04.xlsx&amp;sheet=U0&amp;row=5803&amp;col=7&amp;number=0.00273&amp;sourceID=14","0.00273")</f>
        <v>0.00273</v>
      </c>
    </row>
    <row r="5804" spans="1:7">
      <c r="A5804" s="3">
        <v>14</v>
      </c>
      <c r="B5804" s="3">
        <v>4</v>
      </c>
      <c r="C5804" s="3">
        <v>3</v>
      </c>
      <c r="D5804" s="3">
        <v>92</v>
      </c>
      <c r="E5804" s="3">
        <v>1</v>
      </c>
      <c r="F5804" s="4" t="str">
        <f>HYPERLINK("http://141.218.60.56/~jnz1568/getInfo.php?workbook=14_04.xlsx&amp;sheet=U0&amp;row=5804&amp;col=6&amp;number=3&amp;sourceID=14","3")</f>
        <v>3</v>
      </c>
      <c r="G5804" s="4" t="str">
        <f>HYPERLINK("http://141.218.60.56/~jnz1568/getInfo.php?workbook=14_04.xlsx&amp;sheet=U0&amp;row=5804&amp;col=7&amp;number=0.00281&amp;sourceID=14","0.00281")</f>
        <v>0.00281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HYPERLINK("http://141.218.60.56/~jnz1568/getInfo.php?workbook=14_04.xlsx&amp;sheet=U0&amp;row=5805&amp;col=6&amp;number=3.1&amp;sourceID=14","3.1")</f>
        <v>3.1</v>
      </c>
      <c r="G5805" s="4" t="str">
        <f>HYPERLINK("http://141.218.60.56/~jnz1568/getInfo.php?workbook=14_04.xlsx&amp;sheet=U0&amp;row=5805&amp;col=7&amp;number=0.00281&amp;sourceID=14","0.00281")</f>
        <v>0.00281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HYPERLINK("http://141.218.60.56/~jnz1568/getInfo.php?workbook=14_04.xlsx&amp;sheet=U0&amp;row=5806&amp;col=6&amp;number=3.2&amp;sourceID=14","3.2")</f>
        <v>3.2</v>
      </c>
      <c r="G5806" s="4" t="str">
        <f>HYPERLINK("http://141.218.60.56/~jnz1568/getInfo.php?workbook=14_04.xlsx&amp;sheet=U0&amp;row=5806&amp;col=7&amp;number=0.00281&amp;sourceID=14","0.00281")</f>
        <v>0.00281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HYPERLINK("http://141.218.60.56/~jnz1568/getInfo.php?workbook=14_04.xlsx&amp;sheet=U0&amp;row=5807&amp;col=6&amp;number=3.3&amp;sourceID=14","3.3")</f>
        <v>3.3</v>
      </c>
      <c r="G5807" s="4" t="str">
        <f>HYPERLINK("http://141.218.60.56/~jnz1568/getInfo.php?workbook=14_04.xlsx&amp;sheet=U0&amp;row=5807&amp;col=7&amp;number=0.00281&amp;sourceID=14","0.00281")</f>
        <v>0.00281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HYPERLINK("http://141.218.60.56/~jnz1568/getInfo.php?workbook=14_04.xlsx&amp;sheet=U0&amp;row=5808&amp;col=6&amp;number=3.4&amp;sourceID=14","3.4")</f>
        <v>3.4</v>
      </c>
      <c r="G5808" s="4" t="str">
        <f>HYPERLINK("http://141.218.60.56/~jnz1568/getInfo.php?workbook=14_04.xlsx&amp;sheet=U0&amp;row=5808&amp;col=7&amp;number=0.00281&amp;sourceID=14","0.00281")</f>
        <v>0.00281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HYPERLINK("http://141.218.60.56/~jnz1568/getInfo.php?workbook=14_04.xlsx&amp;sheet=U0&amp;row=5809&amp;col=6&amp;number=3.5&amp;sourceID=14","3.5")</f>
        <v>3.5</v>
      </c>
      <c r="G5809" s="4" t="str">
        <f>HYPERLINK("http://141.218.60.56/~jnz1568/getInfo.php?workbook=14_04.xlsx&amp;sheet=U0&amp;row=5809&amp;col=7&amp;number=0.00281&amp;sourceID=14","0.00281")</f>
        <v>0.00281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HYPERLINK("http://141.218.60.56/~jnz1568/getInfo.php?workbook=14_04.xlsx&amp;sheet=U0&amp;row=5810&amp;col=6&amp;number=3.6&amp;sourceID=14","3.6")</f>
        <v>3.6</v>
      </c>
      <c r="G5810" s="4" t="str">
        <f>HYPERLINK("http://141.218.60.56/~jnz1568/getInfo.php?workbook=14_04.xlsx&amp;sheet=U0&amp;row=5810&amp;col=7&amp;number=0.00281&amp;sourceID=14","0.00281")</f>
        <v>0.00281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HYPERLINK("http://141.218.60.56/~jnz1568/getInfo.php?workbook=14_04.xlsx&amp;sheet=U0&amp;row=5811&amp;col=6&amp;number=3.7&amp;sourceID=14","3.7")</f>
        <v>3.7</v>
      </c>
      <c r="G5811" s="4" t="str">
        <f>HYPERLINK("http://141.218.60.56/~jnz1568/getInfo.php?workbook=14_04.xlsx&amp;sheet=U0&amp;row=5811&amp;col=7&amp;number=0.00281&amp;sourceID=14","0.00281")</f>
        <v>0.00281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HYPERLINK("http://141.218.60.56/~jnz1568/getInfo.php?workbook=14_04.xlsx&amp;sheet=U0&amp;row=5812&amp;col=6&amp;number=3.8&amp;sourceID=14","3.8")</f>
        <v>3.8</v>
      </c>
      <c r="G5812" s="4" t="str">
        <f>HYPERLINK("http://141.218.60.56/~jnz1568/getInfo.php?workbook=14_04.xlsx&amp;sheet=U0&amp;row=5812&amp;col=7&amp;number=0.00281&amp;sourceID=14","0.00281")</f>
        <v>0.00281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HYPERLINK("http://141.218.60.56/~jnz1568/getInfo.php?workbook=14_04.xlsx&amp;sheet=U0&amp;row=5813&amp;col=6&amp;number=3.9&amp;sourceID=14","3.9")</f>
        <v>3.9</v>
      </c>
      <c r="G5813" s="4" t="str">
        <f>HYPERLINK("http://141.218.60.56/~jnz1568/getInfo.php?workbook=14_04.xlsx&amp;sheet=U0&amp;row=5813&amp;col=7&amp;number=0.00281&amp;sourceID=14","0.00281")</f>
        <v>0.00281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HYPERLINK("http://141.218.60.56/~jnz1568/getInfo.php?workbook=14_04.xlsx&amp;sheet=U0&amp;row=5814&amp;col=6&amp;number=4&amp;sourceID=14","4")</f>
        <v>4</v>
      </c>
      <c r="G5814" s="4" t="str">
        <f>HYPERLINK("http://141.218.60.56/~jnz1568/getInfo.php?workbook=14_04.xlsx&amp;sheet=U0&amp;row=5814&amp;col=7&amp;number=0.00281&amp;sourceID=14","0.00281")</f>
        <v>0.00281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HYPERLINK("http://141.218.60.56/~jnz1568/getInfo.php?workbook=14_04.xlsx&amp;sheet=U0&amp;row=5815&amp;col=6&amp;number=4.1&amp;sourceID=14","4.1")</f>
        <v>4.1</v>
      </c>
      <c r="G5815" s="4" t="str">
        <f>HYPERLINK("http://141.218.60.56/~jnz1568/getInfo.php?workbook=14_04.xlsx&amp;sheet=U0&amp;row=5815&amp;col=7&amp;number=0.0028&amp;sourceID=14","0.0028")</f>
        <v>0.0028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HYPERLINK("http://141.218.60.56/~jnz1568/getInfo.php?workbook=14_04.xlsx&amp;sheet=U0&amp;row=5816&amp;col=6&amp;number=4.2&amp;sourceID=14","4.2")</f>
        <v>4.2</v>
      </c>
      <c r="G5816" s="4" t="str">
        <f>HYPERLINK("http://141.218.60.56/~jnz1568/getInfo.php?workbook=14_04.xlsx&amp;sheet=U0&amp;row=5816&amp;col=7&amp;number=0.0028&amp;sourceID=14","0.0028")</f>
        <v>0.0028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HYPERLINK("http://141.218.60.56/~jnz1568/getInfo.php?workbook=14_04.xlsx&amp;sheet=U0&amp;row=5817&amp;col=6&amp;number=4.3&amp;sourceID=14","4.3")</f>
        <v>4.3</v>
      </c>
      <c r="G5817" s="4" t="str">
        <f>HYPERLINK("http://141.218.60.56/~jnz1568/getInfo.php?workbook=14_04.xlsx&amp;sheet=U0&amp;row=5817&amp;col=7&amp;number=0.0028&amp;sourceID=14","0.0028")</f>
        <v>0.0028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HYPERLINK("http://141.218.60.56/~jnz1568/getInfo.php?workbook=14_04.xlsx&amp;sheet=U0&amp;row=5818&amp;col=6&amp;number=4.4&amp;sourceID=14","4.4")</f>
        <v>4.4</v>
      </c>
      <c r="G5818" s="4" t="str">
        <f>HYPERLINK("http://141.218.60.56/~jnz1568/getInfo.php?workbook=14_04.xlsx&amp;sheet=U0&amp;row=5818&amp;col=7&amp;number=0.0028&amp;sourceID=14","0.0028")</f>
        <v>0.0028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HYPERLINK("http://141.218.60.56/~jnz1568/getInfo.php?workbook=14_04.xlsx&amp;sheet=U0&amp;row=5819&amp;col=6&amp;number=4.5&amp;sourceID=14","4.5")</f>
        <v>4.5</v>
      </c>
      <c r="G5819" s="4" t="str">
        <f>HYPERLINK("http://141.218.60.56/~jnz1568/getInfo.php?workbook=14_04.xlsx&amp;sheet=U0&amp;row=5819&amp;col=7&amp;number=0.00279&amp;sourceID=14","0.00279")</f>
        <v>0.00279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HYPERLINK("http://141.218.60.56/~jnz1568/getInfo.php?workbook=14_04.xlsx&amp;sheet=U0&amp;row=5820&amp;col=6&amp;number=4.6&amp;sourceID=14","4.6")</f>
        <v>4.6</v>
      </c>
      <c r="G5820" s="4" t="str">
        <f>HYPERLINK("http://141.218.60.56/~jnz1568/getInfo.php?workbook=14_04.xlsx&amp;sheet=U0&amp;row=5820&amp;col=7&amp;number=0.00279&amp;sourceID=14","0.00279")</f>
        <v>0.00279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HYPERLINK("http://141.218.60.56/~jnz1568/getInfo.php?workbook=14_04.xlsx&amp;sheet=U0&amp;row=5821&amp;col=6&amp;number=4.7&amp;sourceID=14","4.7")</f>
        <v>4.7</v>
      </c>
      <c r="G5821" s="4" t="str">
        <f>HYPERLINK("http://141.218.60.56/~jnz1568/getInfo.php?workbook=14_04.xlsx&amp;sheet=U0&amp;row=5821&amp;col=7&amp;number=0.00279&amp;sourceID=14","0.00279")</f>
        <v>0.00279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HYPERLINK("http://141.218.60.56/~jnz1568/getInfo.php?workbook=14_04.xlsx&amp;sheet=U0&amp;row=5822&amp;col=6&amp;number=4.8&amp;sourceID=14","4.8")</f>
        <v>4.8</v>
      </c>
      <c r="G5822" s="4" t="str">
        <f>HYPERLINK("http://141.218.60.56/~jnz1568/getInfo.php?workbook=14_04.xlsx&amp;sheet=U0&amp;row=5822&amp;col=7&amp;number=0.00278&amp;sourceID=14","0.00278")</f>
        <v>0.00278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HYPERLINK("http://141.218.60.56/~jnz1568/getInfo.php?workbook=14_04.xlsx&amp;sheet=U0&amp;row=5823&amp;col=6&amp;number=4.9&amp;sourceID=14","4.9")</f>
        <v>4.9</v>
      </c>
      <c r="G5823" s="4" t="str">
        <f>HYPERLINK("http://141.218.60.56/~jnz1568/getInfo.php?workbook=14_04.xlsx&amp;sheet=U0&amp;row=5823&amp;col=7&amp;number=0.00277&amp;sourceID=14","0.00277")</f>
        <v>0.00277</v>
      </c>
    </row>
    <row r="5824" spans="1:7">
      <c r="A5824" s="3">
        <v>14</v>
      </c>
      <c r="B5824" s="3">
        <v>4</v>
      </c>
      <c r="C5824" s="3">
        <v>4</v>
      </c>
      <c r="D5824" s="3">
        <v>11</v>
      </c>
      <c r="E5824" s="3">
        <v>1</v>
      </c>
      <c r="F5824" s="4" t="str">
        <f>HYPERLINK("http://141.218.60.56/~jnz1568/getInfo.php?workbook=14_04.xlsx&amp;sheet=U0&amp;row=5824&amp;col=6&amp;number=3&amp;sourceID=14","3")</f>
        <v>3</v>
      </c>
      <c r="G5824" s="4" t="str">
        <f>HYPERLINK("http://141.218.60.56/~jnz1568/getInfo.php?workbook=14_04.xlsx&amp;sheet=U0&amp;row=5824&amp;col=7&amp;number=0.00619&amp;sourceID=14","0.00619")</f>
        <v>0.00619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HYPERLINK("http://141.218.60.56/~jnz1568/getInfo.php?workbook=14_04.xlsx&amp;sheet=U0&amp;row=5825&amp;col=6&amp;number=3.1&amp;sourceID=14","3.1")</f>
        <v>3.1</v>
      </c>
      <c r="G5825" s="4" t="str">
        <f>HYPERLINK("http://141.218.60.56/~jnz1568/getInfo.php?workbook=14_04.xlsx&amp;sheet=U0&amp;row=5825&amp;col=7&amp;number=0.00619&amp;sourceID=14","0.00619")</f>
        <v>0.00619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HYPERLINK("http://141.218.60.56/~jnz1568/getInfo.php?workbook=14_04.xlsx&amp;sheet=U0&amp;row=5826&amp;col=6&amp;number=3.2&amp;sourceID=14","3.2")</f>
        <v>3.2</v>
      </c>
      <c r="G5826" s="4" t="str">
        <f>HYPERLINK("http://141.218.60.56/~jnz1568/getInfo.php?workbook=14_04.xlsx&amp;sheet=U0&amp;row=5826&amp;col=7&amp;number=0.0062&amp;sourceID=14","0.0062")</f>
        <v>0.0062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HYPERLINK("http://141.218.60.56/~jnz1568/getInfo.php?workbook=14_04.xlsx&amp;sheet=U0&amp;row=5827&amp;col=6&amp;number=3.3&amp;sourceID=14","3.3")</f>
        <v>3.3</v>
      </c>
      <c r="G5827" s="4" t="str">
        <f>HYPERLINK("http://141.218.60.56/~jnz1568/getInfo.php?workbook=14_04.xlsx&amp;sheet=U0&amp;row=5827&amp;col=7&amp;number=0.0062&amp;sourceID=14","0.0062")</f>
        <v>0.0062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HYPERLINK("http://141.218.60.56/~jnz1568/getInfo.php?workbook=14_04.xlsx&amp;sheet=U0&amp;row=5828&amp;col=6&amp;number=3.4&amp;sourceID=14","3.4")</f>
        <v>3.4</v>
      </c>
      <c r="G5828" s="4" t="str">
        <f>HYPERLINK("http://141.218.60.56/~jnz1568/getInfo.php?workbook=14_04.xlsx&amp;sheet=U0&amp;row=5828&amp;col=7&amp;number=0.0062&amp;sourceID=14","0.0062")</f>
        <v>0.0062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HYPERLINK("http://141.218.60.56/~jnz1568/getInfo.php?workbook=14_04.xlsx&amp;sheet=U0&amp;row=5829&amp;col=6&amp;number=3.5&amp;sourceID=14","3.5")</f>
        <v>3.5</v>
      </c>
      <c r="G5829" s="4" t="str">
        <f>HYPERLINK("http://141.218.60.56/~jnz1568/getInfo.php?workbook=14_04.xlsx&amp;sheet=U0&amp;row=5829&amp;col=7&amp;number=0.0062&amp;sourceID=14","0.0062")</f>
        <v>0.0062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HYPERLINK("http://141.218.60.56/~jnz1568/getInfo.php?workbook=14_04.xlsx&amp;sheet=U0&amp;row=5830&amp;col=6&amp;number=3.6&amp;sourceID=14","3.6")</f>
        <v>3.6</v>
      </c>
      <c r="G5830" s="4" t="str">
        <f>HYPERLINK("http://141.218.60.56/~jnz1568/getInfo.php?workbook=14_04.xlsx&amp;sheet=U0&amp;row=5830&amp;col=7&amp;number=0.0062&amp;sourceID=14","0.0062")</f>
        <v>0.0062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HYPERLINK("http://141.218.60.56/~jnz1568/getInfo.php?workbook=14_04.xlsx&amp;sheet=U0&amp;row=5831&amp;col=6&amp;number=3.7&amp;sourceID=14","3.7")</f>
        <v>3.7</v>
      </c>
      <c r="G5831" s="4" t="str">
        <f>HYPERLINK("http://141.218.60.56/~jnz1568/getInfo.php?workbook=14_04.xlsx&amp;sheet=U0&amp;row=5831&amp;col=7&amp;number=0.00621&amp;sourceID=14","0.00621")</f>
        <v>0.00621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HYPERLINK("http://141.218.60.56/~jnz1568/getInfo.php?workbook=14_04.xlsx&amp;sheet=U0&amp;row=5832&amp;col=6&amp;number=3.8&amp;sourceID=14","3.8")</f>
        <v>3.8</v>
      </c>
      <c r="G5832" s="4" t="str">
        <f>HYPERLINK("http://141.218.60.56/~jnz1568/getInfo.php?workbook=14_04.xlsx&amp;sheet=U0&amp;row=5832&amp;col=7&amp;number=0.00621&amp;sourceID=14","0.00621")</f>
        <v>0.00621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HYPERLINK("http://141.218.60.56/~jnz1568/getInfo.php?workbook=14_04.xlsx&amp;sheet=U0&amp;row=5833&amp;col=6&amp;number=3.9&amp;sourceID=14","3.9")</f>
        <v>3.9</v>
      </c>
      <c r="G5833" s="4" t="str">
        <f>HYPERLINK("http://141.218.60.56/~jnz1568/getInfo.php?workbook=14_04.xlsx&amp;sheet=U0&amp;row=5833&amp;col=7&amp;number=0.00622&amp;sourceID=14","0.00622")</f>
        <v>0.00622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HYPERLINK("http://141.218.60.56/~jnz1568/getInfo.php?workbook=14_04.xlsx&amp;sheet=U0&amp;row=5834&amp;col=6&amp;number=4&amp;sourceID=14","4")</f>
        <v>4</v>
      </c>
      <c r="G5834" s="4" t="str">
        <f>HYPERLINK("http://141.218.60.56/~jnz1568/getInfo.php?workbook=14_04.xlsx&amp;sheet=U0&amp;row=5834&amp;col=7&amp;number=0.00623&amp;sourceID=14","0.00623")</f>
        <v>0.00623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HYPERLINK("http://141.218.60.56/~jnz1568/getInfo.php?workbook=14_04.xlsx&amp;sheet=U0&amp;row=5835&amp;col=6&amp;number=4.1&amp;sourceID=14","4.1")</f>
        <v>4.1</v>
      </c>
      <c r="G5835" s="4" t="str">
        <f>HYPERLINK("http://141.218.60.56/~jnz1568/getInfo.php?workbook=14_04.xlsx&amp;sheet=U0&amp;row=5835&amp;col=7&amp;number=0.00624&amp;sourceID=14","0.00624")</f>
        <v>0.00624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HYPERLINK("http://141.218.60.56/~jnz1568/getInfo.php?workbook=14_04.xlsx&amp;sheet=U0&amp;row=5836&amp;col=6&amp;number=4.2&amp;sourceID=14","4.2")</f>
        <v>4.2</v>
      </c>
      <c r="G5836" s="4" t="str">
        <f>HYPERLINK("http://141.218.60.56/~jnz1568/getInfo.php?workbook=14_04.xlsx&amp;sheet=U0&amp;row=5836&amp;col=7&amp;number=0.00625&amp;sourceID=14","0.00625")</f>
        <v>0.00625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HYPERLINK("http://141.218.60.56/~jnz1568/getInfo.php?workbook=14_04.xlsx&amp;sheet=U0&amp;row=5837&amp;col=6&amp;number=4.3&amp;sourceID=14","4.3")</f>
        <v>4.3</v>
      </c>
      <c r="G5837" s="4" t="str">
        <f>HYPERLINK("http://141.218.60.56/~jnz1568/getInfo.php?workbook=14_04.xlsx&amp;sheet=U0&amp;row=5837&amp;col=7&amp;number=0.00626&amp;sourceID=14","0.00626")</f>
        <v>0.00626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HYPERLINK("http://141.218.60.56/~jnz1568/getInfo.php?workbook=14_04.xlsx&amp;sheet=U0&amp;row=5838&amp;col=6&amp;number=4.4&amp;sourceID=14","4.4")</f>
        <v>4.4</v>
      </c>
      <c r="G5838" s="4" t="str">
        <f>HYPERLINK("http://141.218.60.56/~jnz1568/getInfo.php?workbook=14_04.xlsx&amp;sheet=U0&amp;row=5838&amp;col=7&amp;number=0.00628&amp;sourceID=14","0.00628")</f>
        <v>0.00628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HYPERLINK("http://141.218.60.56/~jnz1568/getInfo.php?workbook=14_04.xlsx&amp;sheet=U0&amp;row=5839&amp;col=6&amp;number=4.5&amp;sourceID=14","4.5")</f>
        <v>4.5</v>
      </c>
      <c r="G5839" s="4" t="str">
        <f>HYPERLINK("http://141.218.60.56/~jnz1568/getInfo.php?workbook=14_04.xlsx&amp;sheet=U0&amp;row=5839&amp;col=7&amp;number=0.00631&amp;sourceID=14","0.00631")</f>
        <v>0.00631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HYPERLINK("http://141.218.60.56/~jnz1568/getInfo.php?workbook=14_04.xlsx&amp;sheet=U0&amp;row=5840&amp;col=6&amp;number=4.6&amp;sourceID=14","4.6")</f>
        <v>4.6</v>
      </c>
      <c r="G5840" s="4" t="str">
        <f>HYPERLINK("http://141.218.60.56/~jnz1568/getInfo.php?workbook=14_04.xlsx&amp;sheet=U0&amp;row=5840&amp;col=7&amp;number=0.00634&amp;sourceID=14","0.00634")</f>
        <v>0.00634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HYPERLINK("http://141.218.60.56/~jnz1568/getInfo.php?workbook=14_04.xlsx&amp;sheet=U0&amp;row=5841&amp;col=6&amp;number=4.7&amp;sourceID=14","4.7")</f>
        <v>4.7</v>
      </c>
      <c r="G5841" s="4" t="str">
        <f>HYPERLINK("http://141.218.60.56/~jnz1568/getInfo.php?workbook=14_04.xlsx&amp;sheet=U0&amp;row=5841&amp;col=7&amp;number=0.00637&amp;sourceID=14","0.00637")</f>
        <v>0.00637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HYPERLINK("http://141.218.60.56/~jnz1568/getInfo.php?workbook=14_04.xlsx&amp;sheet=U0&amp;row=5842&amp;col=6&amp;number=4.8&amp;sourceID=14","4.8")</f>
        <v>4.8</v>
      </c>
      <c r="G5842" s="4" t="str">
        <f>HYPERLINK("http://141.218.60.56/~jnz1568/getInfo.php?workbook=14_04.xlsx&amp;sheet=U0&amp;row=5842&amp;col=7&amp;number=0.00642&amp;sourceID=14","0.00642")</f>
        <v>0.00642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HYPERLINK("http://141.218.60.56/~jnz1568/getInfo.php?workbook=14_04.xlsx&amp;sheet=U0&amp;row=5843&amp;col=6&amp;number=4.9&amp;sourceID=14","4.9")</f>
        <v>4.9</v>
      </c>
      <c r="G5843" s="4" t="str">
        <f>HYPERLINK("http://141.218.60.56/~jnz1568/getInfo.php?workbook=14_04.xlsx&amp;sheet=U0&amp;row=5843&amp;col=7&amp;number=0.00648&amp;sourceID=14","0.00648")</f>
        <v>0.00648</v>
      </c>
    </row>
    <row r="5844" spans="1:7">
      <c r="A5844" s="3">
        <v>14</v>
      </c>
      <c r="B5844" s="3">
        <v>4</v>
      </c>
      <c r="C5844" s="3">
        <v>4</v>
      </c>
      <c r="D5844" s="3">
        <v>12</v>
      </c>
      <c r="E5844" s="3">
        <v>1</v>
      </c>
      <c r="F5844" s="4" t="str">
        <f>HYPERLINK("http://141.218.60.56/~jnz1568/getInfo.php?workbook=14_04.xlsx&amp;sheet=U0&amp;row=5844&amp;col=6&amp;number=3&amp;sourceID=14","3")</f>
        <v>3</v>
      </c>
      <c r="G5844" s="4" t="str">
        <f>HYPERLINK("http://141.218.60.56/~jnz1568/getInfo.php?workbook=14_04.xlsx&amp;sheet=U0&amp;row=5844&amp;col=7&amp;number=0.0028&amp;sourceID=14","0.0028")</f>
        <v>0.0028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HYPERLINK("http://141.218.60.56/~jnz1568/getInfo.php?workbook=14_04.xlsx&amp;sheet=U0&amp;row=5845&amp;col=6&amp;number=3.1&amp;sourceID=14","3.1")</f>
        <v>3.1</v>
      </c>
      <c r="G5845" s="4" t="str">
        <f>HYPERLINK("http://141.218.60.56/~jnz1568/getInfo.php?workbook=14_04.xlsx&amp;sheet=U0&amp;row=5845&amp;col=7&amp;number=0.0028&amp;sourceID=14","0.0028")</f>
        <v>0.0028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HYPERLINK("http://141.218.60.56/~jnz1568/getInfo.php?workbook=14_04.xlsx&amp;sheet=U0&amp;row=5846&amp;col=6&amp;number=3.2&amp;sourceID=14","3.2")</f>
        <v>3.2</v>
      </c>
      <c r="G5846" s="4" t="str">
        <f>HYPERLINK("http://141.218.60.56/~jnz1568/getInfo.php?workbook=14_04.xlsx&amp;sheet=U0&amp;row=5846&amp;col=7&amp;number=0.0028&amp;sourceID=14","0.0028")</f>
        <v>0.0028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HYPERLINK("http://141.218.60.56/~jnz1568/getInfo.php?workbook=14_04.xlsx&amp;sheet=U0&amp;row=5847&amp;col=6&amp;number=3.3&amp;sourceID=14","3.3")</f>
        <v>3.3</v>
      </c>
      <c r="G5847" s="4" t="str">
        <f>HYPERLINK("http://141.218.60.56/~jnz1568/getInfo.php?workbook=14_04.xlsx&amp;sheet=U0&amp;row=5847&amp;col=7&amp;number=0.0028&amp;sourceID=14","0.0028")</f>
        <v>0.0028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HYPERLINK("http://141.218.60.56/~jnz1568/getInfo.php?workbook=14_04.xlsx&amp;sheet=U0&amp;row=5848&amp;col=6&amp;number=3.4&amp;sourceID=14","3.4")</f>
        <v>3.4</v>
      </c>
      <c r="G5848" s="4" t="str">
        <f>HYPERLINK("http://141.218.60.56/~jnz1568/getInfo.php?workbook=14_04.xlsx&amp;sheet=U0&amp;row=5848&amp;col=7&amp;number=0.0028&amp;sourceID=14","0.0028")</f>
        <v>0.0028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HYPERLINK("http://141.218.60.56/~jnz1568/getInfo.php?workbook=14_04.xlsx&amp;sheet=U0&amp;row=5849&amp;col=6&amp;number=3.5&amp;sourceID=14","3.5")</f>
        <v>3.5</v>
      </c>
      <c r="G5849" s="4" t="str">
        <f>HYPERLINK("http://141.218.60.56/~jnz1568/getInfo.php?workbook=14_04.xlsx&amp;sheet=U0&amp;row=5849&amp;col=7&amp;number=0.0028&amp;sourceID=14","0.0028")</f>
        <v>0.0028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HYPERLINK("http://141.218.60.56/~jnz1568/getInfo.php?workbook=14_04.xlsx&amp;sheet=U0&amp;row=5850&amp;col=6&amp;number=3.6&amp;sourceID=14","3.6")</f>
        <v>3.6</v>
      </c>
      <c r="G5850" s="4" t="str">
        <f>HYPERLINK("http://141.218.60.56/~jnz1568/getInfo.php?workbook=14_04.xlsx&amp;sheet=U0&amp;row=5850&amp;col=7&amp;number=0.0028&amp;sourceID=14","0.0028")</f>
        <v>0.0028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HYPERLINK("http://141.218.60.56/~jnz1568/getInfo.php?workbook=14_04.xlsx&amp;sheet=U0&amp;row=5851&amp;col=6&amp;number=3.7&amp;sourceID=14","3.7")</f>
        <v>3.7</v>
      </c>
      <c r="G5851" s="4" t="str">
        <f>HYPERLINK("http://141.218.60.56/~jnz1568/getInfo.php?workbook=14_04.xlsx&amp;sheet=U0&amp;row=5851&amp;col=7&amp;number=0.0028&amp;sourceID=14","0.0028")</f>
        <v>0.0028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HYPERLINK("http://141.218.60.56/~jnz1568/getInfo.php?workbook=14_04.xlsx&amp;sheet=U0&amp;row=5852&amp;col=6&amp;number=3.8&amp;sourceID=14","3.8")</f>
        <v>3.8</v>
      </c>
      <c r="G5852" s="4" t="str">
        <f>HYPERLINK("http://141.218.60.56/~jnz1568/getInfo.php?workbook=14_04.xlsx&amp;sheet=U0&amp;row=5852&amp;col=7&amp;number=0.0028&amp;sourceID=14","0.0028")</f>
        <v>0.0028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HYPERLINK("http://141.218.60.56/~jnz1568/getInfo.php?workbook=14_04.xlsx&amp;sheet=U0&amp;row=5853&amp;col=6&amp;number=3.9&amp;sourceID=14","3.9")</f>
        <v>3.9</v>
      </c>
      <c r="G5853" s="4" t="str">
        <f>HYPERLINK("http://141.218.60.56/~jnz1568/getInfo.php?workbook=14_04.xlsx&amp;sheet=U0&amp;row=5853&amp;col=7&amp;number=0.0028&amp;sourceID=14","0.0028")</f>
        <v>0.0028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HYPERLINK("http://141.218.60.56/~jnz1568/getInfo.php?workbook=14_04.xlsx&amp;sheet=U0&amp;row=5854&amp;col=6&amp;number=4&amp;sourceID=14","4")</f>
        <v>4</v>
      </c>
      <c r="G5854" s="4" t="str">
        <f>HYPERLINK("http://141.218.60.56/~jnz1568/getInfo.php?workbook=14_04.xlsx&amp;sheet=U0&amp;row=5854&amp;col=7&amp;number=0.0028&amp;sourceID=14","0.0028")</f>
        <v>0.0028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HYPERLINK("http://141.218.60.56/~jnz1568/getInfo.php?workbook=14_04.xlsx&amp;sheet=U0&amp;row=5855&amp;col=6&amp;number=4.1&amp;sourceID=14","4.1")</f>
        <v>4.1</v>
      </c>
      <c r="G5855" s="4" t="str">
        <f>HYPERLINK("http://141.218.60.56/~jnz1568/getInfo.php?workbook=14_04.xlsx&amp;sheet=U0&amp;row=5855&amp;col=7&amp;number=0.00279&amp;sourceID=14","0.00279")</f>
        <v>0.00279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HYPERLINK("http://141.218.60.56/~jnz1568/getInfo.php?workbook=14_04.xlsx&amp;sheet=U0&amp;row=5856&amp;col=6&amp;number=4.2&amp;sourceID=14","4.2")</f>
        <v>4.2</v>
      </c>
      <c r="G5856" s="4" t="str">
        <f>HYPERLINK("http://141.218.60.56/~jnz1568/getInfo.php?workbook=14_04.xlsx&amp;sheet=U0&amp;row=5856&amp;col=7&amp;number=0.00279&amp;sourceID=14","0.00279")</f>
        <v>0.00279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HYPERLINK("http://141.218.60.56/~jnz1568/getInfo.php?workbook=14_04.xlsx&amp;sheet=U0&amp;row=5857&amp;col=6&amp;number=4.3&amp;sourceID=14","4.3")</f>
        <v>4.3</v>
      </c>
      <c r="G5857" s="4" t="str">
        <f>HYPERLINK("http://141.218.60.56/~jnz1568/getInfo.php?workbook=14_04.xlsx&amp;sheet=U0&amp;row=5857&amp;col=7&amp;number=0.00279&amp;sourceID=14","0.00279")</f>
        <v>0.00279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HYPERLINK("http://141.218.60.56/~jnz1568/getInfo.php?workbook=14_04.xlsx&amp;sheet=U0&amp;row=5858&amp;col=6&amp;number=4.4&amp;sourceID=14","4.4")</f>
        <v>4.4</v>
      </c>
      <c r="G5858" s="4" t="str">
        <f>HYPERLINK("http://141.218.60.56/~jnz1568/getInfo.php?workbook=14_04.xlsx&amp;sheet=U0&amp;row=5858&amp;col=7&amp;number=0.00279&amp;sourceID=14","0.00279")</f>
        <v>0.00279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HYPERLINK("http://141.218.60.56/~jnz1568/getInfo.php?workbook=14_04.xlsx&amp;sheet=U0&amp;row=5859&amp;col=6&amp;number=4.5&amp;sourceID=14","4.5")</f>
        <v>4.5</v>
      </c>
      <c r="G5859" s="4" t="str">
        <f>HYPERLINK("http://141.218.60.56/~jnz1568/getInfo.php?workbook=14_04.xlsx&amp;sheet=U0&amp;row=5859&amp;col=7&amp;number=0.00279&amp;sourceID=14","0.00279")</f>
        <v>0.00279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HYPERLINK("http://141.218.60.56/~jnz1568/getInfo.php?workbook=14_04.xlsx&amp;sheet=U0&amp;row=5860&amp;col=6&amp;number=4.6&amp;sourceID=14","4.6")</f>
        <v>4.6</v>
      </c>
      <c r="G5860" s="4" t="str">
        <f>HYPERLINK("http://141.218.60.56/~jnz1568/getInfo.php?workbook=14_04.xlsx&amp;sheet=U0&amp;row=5860&amp;col=7&amp;number=0.00278&amp;sourceID=14","0.00278")</f>
        <v>0.00278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HYPERLINK("http://141.218.60.56/~jnz1568/getInfo.php?workbook=14_04.xlsx&amp;sheet=U0&amp;row=5861&amp;col=6&amp;number=4.7&amp;sourceID=14","4.7")</f>
        <v>4.7</v>
      </c>
      <c r="G5861" s="4" t="str">
        <f>HYPERLINK("http://141.218.60.56/~jnz1568/getInfo.php?workbook=14_04.xlsx&amp;sheet=U0&amp;row=5861&amp;col=7&amp;number=0.00278&amp;sourceID=14","0.00278")</f>
        <v>0.00278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HYPERLINK("http://141.218.60.56/~jnz1568/getInfo.php?workbook=14_04.xlsx&amp;sheet=U0&amp;row=5862&amp;col=6&amp;number=4.8&amp;sourceID=14","4.8")</f>
        <v>4.8</v>
      </c>
      <c r="G5862" s="4" t="str">
        <f>HYPERLINK("http://141.218.60.56/~jnz1568/getInfo.php?workbook=14_04.xlsx&amp;sheet=U0&amp;row=5862&amp;col=7&amp;number=0.00277&amp;sourceID=14","0.00277")</f>
        <v>0.00277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HYPERLINK("http://141.218.60.56/~jnz1568/getInfo.php?workbook=14_04.xlsx&amp;sheet=U0&amp;row=5863&amp;col=6&amp;number=4.9&amp;sourceID=14","4.9")</f>
        <v>4.9</v>
      </c>
      <c r="G5863" s="4" t="str">
        <f>HYPERLINK("http://141.218.60.56/~jnz1568/getInfo.php?workbook=14_04.xlsx&amp;sheet=U0&amp;row=5863&amp;col=7&amp;number=0.00277&amp;sourceID=14","0.00277")</f>
        <v>0.00277</v>
      </c>
    </row>
    <row r="5864" spans="1:7">
      <c r="A5864" s="3">
        <v>14</v>
      </c>
      <c r="B5864" s="3">
        <v>4</v>
      </c>
      <c r="C5864" s="3">
        <v>4</v>
      </c>
      <c r="D5864" s="3">
        <v>13</v>
      </c>
      <c r="E5864" s="3">
        <v>1</v>
      </c>
      <c r="F5864" s="4" t="str">
        <f>HYPERLINK("http://141.218.60.56/~jnz1568/getInfo.php?workbook=14_04.xlsx&amp;sheet=U0&amp;row=5864&amp;col=6&amp;number=3&amp;sourceID=14","3")</f>
        <v>3</v>
      </c>
      <c r="G5864" s="4" t="str">
        <f>HYPERLINK("http://141.218.60.56/~jnz1568/getInfo.php?workbook=14_04.xlsx&amp;sheet=U0&amp;row=5864&amp;col=7&amp;number=0.0132&amp;sourceID=14","0.0132")</f>
        <v>0.0132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HYPERLINK("http://141.218.60.56/~jnz1568/getInfo.php?workbook=14_04.xlsx&amp;sheet=U0&amp;row=5865&amp;col=6&amp;number=3.1&amp;sourceID=14","3.1")</f>
        <v>3.1</v>
      </c>
      <c r="G5865" s="4" t="str">
        <f>HYPERLINK("http://141.218.60.56/~jnz1568/getInfo.php?workbook=14_04.xlsx&amp;sheet=U0&amp;row=5865&amp;col=7&amp;number=0.0132&amp;sourceID=14","0.0132")</f>
        <v>0.0132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HYPERLINK("http://141.218.60.56/~jnz1568/getInfo.php?workbook=14_04.xlsx&amp;sheet=U0&amp;row=5866&amp;col=6&amp;number=3.2&amp;sourceID=14","3.2")</f>
        <v>3.2</v>
      </c>
      <c r="G5866" s="4" t="str">
        <f>HYPERLINK("http://141.218.60.56/~jnz1568/getInfo.php?workbook=14_04.xlsx&amp;sheet=U0&amp;row=5866&amp;col=7&amp;number=0.0132&amp;sourceID=14","0.0132")</f>
        <v>0.0132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HYPERLINK("http://141.218.60.56/~jnz1568/getInfo.php?workbook=14_04.xlsx&amp;sheet=U0&amp;row=5867&amp;col=6&amp;number=3.3&amp;sourceID=14","3.3")</f>
        <v>3.3</v>
      </c>
      <c r="G5867" s="4" t="str">
        <f>HYPERLINK("http://141.218.60.56/~jnz1568/getInfo.php?workbook=14_04.xlsx&amp;sheet=U0&amp;row=5867&amp;col=7&amp;number=0.0132&amp;sourceID=14","0.0132")</f>
        <v>0.0132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HYPERLINK("http://141.218.60.56/~jnz1568/getInfo.php?workbook=14_04.xlsx&amp;sheet=U0&amp;row=5868&amp;col=6&amp;number=3.4&amp;sourceID=14","3.4")</f>
        <v>3.4</v>
      </c>
      <c r="G5868" s="4" t="str">
        <f>HYPERLINK("http://141.218.60.56/~jnz1568/getInfo.php?workbook=14_04.xlsx&amp;sheet=U0&amp;row=5868&amp;col=7&amp;number=0.0132&amp;sourceID=14","0.0132")</f>
        <v>0.0132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HYPERLINK("http://141.218.60.56/~jnz1568/getInfo.php?workbook=14_04.xlsx&amp;sheet=U0&amp;row=5869&amp;col=6&amp;number=3.5&amp;sourceID=14","3.5")</f>
        <v>3.5</v>
      </c>
      <c r="G5869" s="4" t="str">
        <f>HYPERLINK("http://141.218.60.56/~jnz1568/getInfo.php?workbook=14_04.xlsx&amp;sheet=U0&amp;row=5869&amp;col=7&amp;number=0.0132&amp;sourceID=14","0.0132")</f>
        <v>0.0132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HYPERLINK("http://141.218.60.56/~jnz1568/getInfo.php?workbook=14_04.xlsx&amp;sheet=U0&amp;row=5870&amp;col=6&amp;number=3.6&amp;sourceID=14","3.6")</f>
        <v>3.6</v>
      </c>
      <c r="G5870" s="4" t="str">
        <f>HYPERLINK("http://141.218.60.56/~jnz1568/getInfo.php?workbook=14_04.xlsx&amp;sheet=U0&amp;row=5870&amp;col=7&amp;number=0.0132&amp;sourceID=14","0.0132")</f>
        <v>0.0132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HYPERLINK("http://141.218.60.56/~jnz1568/getInfo.php?workbook=14_04.xlsx&amp;sheet=U0&amp;row=5871&amp;col=6&amp;number=3.7&amp;sourceID=14","3.7")</f>
        <v>3.7</v>
      </c>
      <c r="G5871" s="4" t="str">
        <f>HYPERLINK("http://141.218.60.56/~jnz1568/getInfo.php?workbook=14_04.xlsx&amp;sheet=U0&amp;row=5871&amp;col=7&amp;number=0.0132&amp;sourceID=14","0.0132")</f>
        <v>0.0132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HYPERLINK("http://141.218.60.56/~jnz1568/getInfo.php?workbook=14_04.xlsx&amp;sheet=U0&amp;row=5872&amp;col=6&amp;number=3.8&amp;sourceID=14","3.8")</f>
        <v>3.8</v>
      </c>
      <c r="G5872" s="4" t="str">
        <f>HYPERLINK("http://141.218.60.56/~jnz1568/getInfo.php?workbook=14_04.xlsx&amp;sheet=U0&amp;row=5872&amp;col=7&amp;number=0.0132&amp;sourceID=14","0.0132")</f>
        <v>0.0132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HYPERLINK("http://141.218.60.56/~jnz1568/getInfo.php?workbook=14_04.xlsx&amp;sheet=U0&amp;row=5873&amp;col=6&amp;number=3.9&amp;sourceID=14","3.9")</f>
        <v>3.9</v>
      </c>
      <c r="G5873" s="4" t="str">
        <f>HYPERLINK("http://141.218.60.56/~jnz1568/getInfo.php?workbook=14_04.xlsx&amp;sheet=U0&amp;row=5873&amp;col=7&amp;number=0.0132&amp;sourceID=14","0.0132")</f>
        <v>0.0132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HYPERLINK("http://141.218.60.56/~jnz1568/getInfo.php?workbook=14_04.xlsx&amp;sheet=U0&amp;row=5874&amp;col=6&amp;number=4&amp;sourceID=14","4")</f>
        <v>4</v>
      </c>
      <c r="G5874" s="4" t="str">
        <f>HYPERLINK("http://141.218.60.56/~jnz1568/getInfo.php?workbook=14_04.xlsx&amp;sheet=U0&amp;row=5874&amp;col=7&amp;number=0.0132&amp;sourceID=14","0.0132")</f>
        <v>0.0132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HYPERLINK("http://141.218.60.56/~jnz1568/getInfo.php?workbook=14_04.xlsx&amp;sheet=U0&amp;row=5875&amp;col=6&amp;number=4.1&amp;sourceID=14","4.1")</f>
        <v>4.1</v>
      </c>
      <c r="G5875" s="4" t="str">
        <f>HYPERLINK("http://141.218.60.56/~jnz1568/getInfo.php?workbook=14_04.xlsx&amp;sheet=U0&amp;row=5875&amp;col=7&amp;number=0.0132&amp;sourceID=14","0.0132")</f>
        <v>0.0132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HYPERLINK("http://141.218.60.56/~jnz1568/getInfo.php?workbook=14_04.xlsx&amp;sheet=U0&amp;row=5876&amp;col=6&amp;number=4.2&amp;sourceID=14","4.2")</f>
        <v>4.2</v>
      </c>
      <c r="G5876" s="4" t="str">
        <f>HYPERLINK("http://141.218.60.56/~jnz1568/getInfo.php?workbook=14_04.xlsx&amp;sheet=U0&amp;row=5876&amp;col=7&amp;number=0.0132&amp;sourceID=14","0.0132")</f>
        <v>0.0132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HYPERLINK("http://141.218.60.56/~jnz1568/getInfo.php?workbook=14_04.xlsx&amp;sheet=U0&amp;row=5877&amp;col=6&amp;number=4.3&amp;sourceID=14","4.3")</f>
        <v>4.3</v>
      </c>
      <c r="G5877" s="4" t="str">
        <f>HYPERLINK("http://141.218.60.56/~jnz1568/getInfo.php?workbook=14_04.xlsx&amp;sheet=U0&amp;row=5877&amp;col=7&amp;number=0.0132&amp;sourceID=14","0.0132")</f>
        <v>0.0132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HYPERLINK("http://141.218.60.56/~jnz1568/getInfo.php?workbook=14_04.xlsx&amp;sheet=U0&amp;row=5878&amp;col=6&amp;number=4.4&amp;sourceID=14","4.4")</f>
        <v>4.4</v>
      </c>
      <c r="G5878" s="4" t="str">
        <f>HYPERLINK("http://141.218.60.56/~jnz1568/getInfo.php?workbook=14_04.xlsx&amp;sheet=U0&amp;row=5878&amp;col=7&amp;number=0.0132&amp;sourceID=14","0.0132")</f>
        <v>0.0132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HYPERLINK("http://141.218.60.56/~jnz1568/getInfo.php?workbook=14_04.xlsx&amp;sheet=U0&amp;row=5879&amp;col=6&amp;number=4.5&amp;sourceID=14","4.5")</f>
        <v>4.5</v>
      </c>
      <c r="G5879" s="4" t="str">
        <f>HYPERLINK("http://141.218.60.56/~jnz1568/getInfo.php?workbook=14_04.xlsx&amp;sheet=U0&amp;row=5879&amp;col=7&amp;number=0.0132&amp;sourceID=14","0.0132")</f>
        <v>0.0132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HYPERLINK("http://141.218.60.56/~jnz1568/getInfo.php?workbook=14_04.xlsx&amp;sheet=U0&amp;row=5880&amp;col=6&amp;number=4.6&amp;sourceID=14","4.6")</f>
        <v>4.6</v>
      </c>
      <c r="G5880" s="4" t="str">
        <f>HYPERLINK("http://141.218.60.56/~jnz1568/getInfo.php?workbook=14_04.xlsx&amp;sheet=U0&amp;row=5880&amp;col=7&amp;number=0.0131&amp;sourceID=14","0.0131")</f>
        <v>0.0131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HYPERLINK("http://141.218.60.56/~jnz1568/getInfo.php?workbook=14_04.xlsx&amp;sheet=U0&amp;row=5881&amp;col=6&amp;number=4.7&amp;sourceID=14","4.7")</f>
        <v>4.7</v>
      </c>
      <c r="G5881" s="4" t="str">
        <f>HYPERLINK("http://141.218.60.56/~jnz1568/getInfo.php?workbook=14_04.xlsx&amp;sheet=U0&amp;row=5881&amp;col=7&amp;number=0.0131&amp;sourceID=14","0.0131")</f>
        <v>0.0131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HYPERLINK("http://141.218.60.56/~jnz1568/getInfo.php?workbook=14_04.xlsx&amp;sheet=U0&amp;row=5882&amp;col=6&amp;number=4.8&amp;sourceID=14","4.8")</f>
        <v>4.8</v>
      </c>
      <c r="G5882" s="4" t="str">
        <f>HYPERLINK("http://141.218.60.56/~jnz1568/getInfo.php?workbook=14_04.xlsx&amp;sheet=U0&amp;row=5882&amp;col=7&amp;number=0.0131&amp;sourceID=14","0.0131")</f>
        <v>0.0131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HYPERLINK("http://141.218.60.56/~jnz1568/getInfo.php?workbook=14_04.xlsx&amp;sheet=U0&amp;row=5883&amp;col=6&amp;number=4.9&amp;sourceID=14","4.9")</f>
        <v>4.9</v>
      </c>
      <c r="G5883" s="4" t="str">
        <f>HYPERLINK("http://141.218.60.56/~jnz1568/getInfo.php?workbook=14_04.xlsx&amp;sheet=U0&amp;row=5883&amp;col=7&amp;number=0.0131&amp;sourceID=14","0.0131")</f>
        <v>0.0131</v>
      </c>
    </row>
    <row r="5884" spans="1:7">
      <c r="A5884" s="3">
        <v>14</v>
      </c>
      <c r="B5884" s="3">
        <v>4</v>
      </c>
      <c r="C5884" s="3">
        <v>4</v>
      </c>
      <c r="D5884" s="3">
        <v>14</v>
      </c>
      <c r="E5884" s="3">
        <v>1</v>
      </c>
      <c r="F5884" s="4" t="str">
        <f>HYPERLINK("http://141.218.60.56/~jnz1568/getInfo.php?workbook=14_04.xlsx&amp;sheet=U0&amp;row=5884&amp;col=6&amp;number=3&amp;sourceID=14","3")</f>
        <v>3</v>
      </c>
      <c r="G5884" s="4" t="str">
        <f>HYPERLINK("http://141.218.60.56/~jnz1568/getInfo.php?workbook=14_04.xlsx&amp;sheet=U0&amp;row=5884&amp;col=7&amp;number=0.00549&amp;sourceID=14","0.00549")</f>
        <v>0.00549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HYPERLINK("http://141.218.60.56/~jnz1568/getInfo.php?workbook=14_04.xlsx&amp;sheet=U0&amp;row=5885&amp;col=6&amp;number=3.1&amp;sourceID=14","3.1")</f>
        <v>3.1</v>
      </c>
      <c r="G5885" s="4" t="str">
        <f>HYPERLINK("http://141.218.60.56/~jnz1568/getInfo.php?workbook=14_04.xlsx&amp;sheet=U0&amp;row=5885&amp;col=7&amp;number=0.00549&amp;sourceID=14","0.00549")</f>
        <v>0.00549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HYPERLINK("http://141.218.60.56/~jnz1568/getInfo.php?workbook=14_04.xlsx&amp;sheet=U0&amp;row=5886&amp;col=6&amp;number=3.2&amp;sourceID=14","3.2")</f>
        <v>3.2</v>
      </c>
      <c r="G5886" s="4" t="str">
        <f>HYPERLINK("http://141.218.60.56/~jnz1568/getInfo.php?workbook=14_04.xlsx&amp;sheet=U0&amp;row=5886&amp;col=7&amp;number=0.00549&amp;sourceID=14","0.00549")</f>
        <v>0.00549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HYPERLINK("http://141.218.60.56/~jnz1568/getInfo.php?workbook=14_04.xlsx&amp;sheet=U0&amp;row=5887&amp;col=6&amp;number=3.3&amp;sourceID=14","3.3")</f>
        <v>3.3</v>
      </c>
      <c r="G5887" s="4" t="str">
        <f>HYPERLINK("http://141.218.60.56/~jnz1568/getInfo.php?workbook=14_04.xlsx&amp;sheet=U0&amp;row=5887&amp;col=7&amp;number=0.00549&amp;sourceID=14","0.00549")</f>
        <v>0.00549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HYPERLINK("http://141.218.60.56/~jnz1568/getInfo.php?workbook=14_04.xlsx&amp;sheet=U0&amp;row=5888&amp;col=6&amp;number=3.4&amp;sourceID=14","3.4")</f>
        <v>3.4</v>
      </c>
      <c r="G5888" s="4" t="str">
        <f>HYPERLINK("http://141.218.60.56/~jnz1568/getInfo.php?workbook=14_04.xlsx&amp;sheet=U0&amp;row=5888&amp;col=7&amp;number=0.00549&amp;sourceID=14","0.00549")</f>
        <v>0.00549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HYPERLINK("http://141.218.60.56/~jnz1568/getInfo.php?workbook=14_04.xlsx&amp;sheet=U0&amp;row=5889&amp;col=6&amp;number=3.5&amp;sourceID=14","3.5")</f>
        <v>3.5</v>
      </c>
      <c r="G5889" s="4" t="str">
        <f>HYPERLINK("http://141.218.60.56/~jnz1568/getInfo.php?workbook=14_04.xlsx&amp;sheet=U0&amp;row=5889&amp;col=7&amp;number=0.00549&amp;sourceID=14","0.00549")</f>
        <v>0.00549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HYPERLINK("http://141.218.60.56/~jnz1568/getInfo.php?workbook=14_04.xlsx&amp;sheet=U0&amp;row=5890&amp;col=6&amp;number=3.6&amp;sourceID=14","3.6")</f>
        <v>3.6</v>
      </c>
      <c r="G5890" s="4" t="str">
        <f>HYPERLINK("http://141.218.60.56/~jnz1568/getInfo.php?workbook=14_04.xlsx&amp;sheet=U0&amp;row=5890&amp;col=7&amp;number=0.00549&amp;sourceID=14","0.00549")</f>
        <v>0.00549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HYPERLINK("http://141.218.60.56/~jnz1568/getInfo.php?workbook=14_04.xlsx&amp;sheet=U0&amp;row=5891&amp;col=6&amp;number=3.7&amp;sourceID=14","3.7")</f>
        <v>3.7</v>
      </c>
      <c r="G5891" s="4" t="str">
        <f>HYPERLINK("http://141.218.60.56/~jnz1568/getInfo.php?workbook=14_04.xlsx&amp;sheet=U0&amp;row=5891&amp;col=7&amp;number=0.00549&amp;sourceID=14","0.00549")</f>
        <v>0.00549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HYPERLINK("http://141.218.60.56/~jnz1568/getInfo.php?workbook=14_04.xlsx&amp;sheet=U0&amp;row=5892&amp;col=6&amp;number=3.8&amp;sourceID=14","3.8")</f>
        <v>3.8</v>
      </c>
      <c r="G5892" s="4" t="str">
        <f>HYPERLINK("http://141.218.60.56/~jnz1568/getInfo.php?workbook=14_04.xlsx&amp;sheet=U0&amp;row=5892&amp;col=7&amp;number=0.00549&amp;sourceID=14","0.00549")</f>
        <v>0.00549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HYPERLINK("http://141.218.60.56/~jnz1568/getInfo.php?workbook=14_04.xlsx&amp;sheet=U0&amp;row=5893&amp;col=6&amp;number=3.9&amp;sourceID=14","3.9")</f>
        <v>3.9</v>
      </c>
      <c r="G5893" s="4" t="str">
        <f>HYPERLINK("http://141.218.60.56/~jnz1568/getInfo.php?workbook=14_04.xlsx&amp;sheet=U0&amp;row=5893&amp;col=7&amp;number=0.0055&amp;sourceID=14","0.0055")</f>
        <v>0.0055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HYPERLINK("http://141.218.60.56/~jnz1568/getInfo.php?workbook=14_04.xlsx&amp;sheet=U0&amp;row=5894&amp;col=6&amp;number=4&amp;sourceID=14","4")</f>
        <v>4</v>
      </c>
      <c r="G5894" s="4" t="str">
        <f>HYPERLINK("http://141.218.60.56/~jnz1568/getInfo.php?workbook=14_04.xlsx&amp;sheet=U0&amp;row=5894&amp;col=7&amp;number=0.0055&amp;sourceID=14","0.0055")</f>
        <v>0.0055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HYPERLINK("http://141.218.60.56/~jnz1568/getInfo.php?workbook=14_04.xlsx&amp;sheet=U0&amp;row=5895&amp;col=6&amp;number=4.1&amp;sourceID=14","4.1")</f>
        <v>4.1</v>
      </c>
      <c r="G5895" s="4" t="str">
        <f>HYPERLINK("http://141.218.60.56/~jnz1568/getInfo.php?workbook=14_04.xlsx&amp;sheet=U0&amp;row=5895&amp;col=7&amp;number=0.0055&amp;sourceID=14","0.0055")</f>
        <v>0.0055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HYPERLINK("http://141.218.60.56/~jnz1568/getInfo.php?workbook=14_04.xlsx&amp;sheet=U0&amp;row=5896&amp;col=6&amp;number=4.2&amp;sourceID=14","4.2")</f>
        <v>4.2</v>
      </c>
      <c r="G5896" s="4" t="str">
        <f>HYPERLINK("http://141.218.60.56/~jnz1568/getInfo.php?workbook=14_04.xlsx&amp;sheet=U0&amp;row=5896&amp;col=7&amp;number=0.0055&amp;sourceID=14","0.0055")</f>
        <v>0.0055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HYPERLINK("http://141.218.60.56/~jnz1568/getInfo.php?workbook=14_04.xlsx&amp;sheet=U0&amp;row=5897&amp;col=6&amp;number=4.3&amp;sourceID=14","4.3")</f>
        <v>4.3</v>
      </c>
      <c r="G5897" s="4" t="str">
        <f>HYPERLINK("http://141.218.60.56/~jnz1568/getInfo.php?workbook=14_04.xlsx&amp;sheet=U0&amp;row=5897&amp;col=7&amp;number=0.0055&amp;sourceID=14","0.0055")</f>
        <v>0.0055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HYPERLINK("http://141.218.60.56/~jnz1568/getInfo.php?workbook=14_04.xlsx&amp;sheet=U0&amp;row=5898&amp;col=6&amp;number=4.4&amp;sourceID=14","4.4")</f>
        <v>4.4</v>
      </c>
      <c r="G5898" s="4" t="str">
        <f>HYPERLINK("http://141.218.60.56/~jnz1568/getInfo.php?workbook=14_04.xlsx&amp;sheet=U0&amp;row=5898&amp;col=7&amp;number=0.0055&amp;sourceID=14","0.0055")</f>
        <v>0.0055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HYPERLINK("http://141.218.60.56/~jnz1568/getInfo.php?workbook=14_04.xlsx&amp;sheet=U0&amp;row=5899&amp;col=6&amp;number=4.5&amp;sourceID=14","4.5")</f>
        <v>4.5</v>
      </c>
      <c r="G5899" s="4" t="str">
        <f>HYPERLINK("http://141.218.60.56/~jnz1568/getInfo.php?workbook=14_04.xlsx&amp;sheet=U0&amp;row=5899&amp;col=7&amp;number=0.0055&amp;sourceID=14","0.0055")</f>
        <v>0.0055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HYPERLINK("http://141.218.60.56/~jnz1568/getInfo.php?workbook=14_04.xlsx&amp;sheet=U0&amp;row=5900&amp;col=6&amp;number=4.6&amp;sourceID=14","4.6")</f>
        <v>4.6</v>
      </c>
      <c r="G5900" s="4" t="str">
        <f>HYPERLINK("http://141.218.60.56/~jnz1568/getInfo.php?workbook=14_04.xlsx&amp;sheet=U0&amp;row=5900&amp;col=7&amp;number=0.0055&amp;sourceID=14","0.0055")</f>
        <v>0.0055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HYPERLINK("http://141.218.60.56/~jnz1568/getInfo.php?workbook=14_04.xlsx&amp;sheet=U0&amp;row=5901&amp;col=6&amp;number=4.7&amp;sourceID=14","4.7")</f>
        <v>4.7</v>
      </c>
      <c r="G5901" s="4" t="str">
        <f>HYPERLINK("http://141.218.60.56/~jnz1568/getInfo.php?workbook=14_04.xlsx&amp;sheet=U0&amp;row=5901&amp;col=7&amp;number=0.00551&amp;sourceID=14","0.00551")</f>
        <v>0.00551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HYPERLINK("http://141.218.60.56/~jnz1568/getInfo.php?workbook=14_04.xlsx&amp;sheet=U0&amp;row=5902&amp;col=6&amp;number=4.8&amp;sourceID=14","4.8")</f>
        <v>4.8</v>
      </c>
      <c r="G5902" s="4" t="str">
        <f>HYPERLINK("http://141.218.60.56/~jnz1568/getInfo.php?workbook=14_04.xlsx&amp;sheet=U0&amp;row=5902&amp;col=7&amp;number=0.00551&amp;sourceID=14","0.00551")</f>
        <v>0.00551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HYPERLINK("http://141.218.60.56/~jnz1568/getInfo.php?workbook=14_04.xlsx&amp;sheet=U0&amp;row=5903&amp;col=6&amp;number=4.9&amp;sourceID=14","4.9")</f>
        <v>4.9</v>
      </c>
      <c r="G5903" s="4" t="str">
        <f>HYPERLINK("http://141.218.60.56/~jnz1568/getInfo.php?workbook=14_04.xlsx&amp;sheet=U0&amp;row=5903&amp;col=7&amp;number=0.00551&amp;sourceID=14","0.00551")</f>
        <v>0.00551</v>
      </c>
    </row>
    <row r="5904" spans="1:7">
      <c r="A5904" s="3">
        <v>14</v>
      </c>
      <c r="B5904" s="3">
        <v>4</v>
      </c>
      <c r="C5904" s="3">
        <v>4</v>
      </c>
      <c r="D5904" s="3">
        <v>15</v>
      </c>
      <c r="E5904" s="3">
        <v>1</v>
      </c>
      <c r="F5904" s="4" t="str">
        <f>HYPERLINK("http://141.218.60.56/~jnz1568/getInfo.php?workbook=14_04.xlsx&amp;sheet=U0&amp;row=5904&amp;col=6&amp;number=3&amp;sourceID=14","3")</f>
        <v>3</v>
      </c>
      <c r="G5904" s="4" t="str">
        <f>HYPERLINK("http://141.218.60.56/~jnz1568/getInfo.php?workbook=14_04.xlsx&amp;sheet=U0&amp;row=5904&amp;col=7&amp;number=0.0148&amp;sourceID=14","0.0148")</f>
        <v>0.0148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HYPERLINK("http://141.218.60.56/~jnz1568/getInfo.php?workbook=14_04.xlsx&amp;sheet=U0&amp;row=5905&amp;col=6&amp;number=3.1&amp;sourceID=14","3.1")</f>
        <v>3.1</v>
      </c>
      <c r="G5905" s="4" t="str">
        <f>HYPERLINK("http://141.218.60.56/~jnz1568/getInfo.php?workbook=14_04.xlsx&amp;sheet=U0&amp;row=5905&amp;col=7&amp;number=0.0148&amp;sourceID=14","0.0148")</f>
        <v>0.0148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HYPERLINK("http://141.218.60.56/~jnz1568/getInfo.php?workbook=14_04.xlsx&amp;sheet=U0&amp;row=5906&amp;col=6&amp;number=3.2&amp;sourceID=14","3.2")</f>
        <v>3.2</v>
      </c>
      <c r="G5906" s="4" t="str">
        <f>HYPERLINK("http://141.218.60.56/~jnz1568/getInfo.php?workbook=14_04.xlsx&amp;sheet=U0&amp;row=5906&amp;col=7&amp;number=0.0148&amp;sourceID=14","0.0148")</f>
        <v>0.0148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HYPERLINK("http://141.218.60.56/~jnz1568/getInfo.php?workbook=14_04.xlsx&amp;sheet=U0&amp;row=5907&amp;col=6&amp;number=3.3&amp;sourceID=14","3.3")</f>
        <v>3.3</v>
      </c>
      <c r="G5907" s="4" t="str">
        <f>HYPERLINK("http://141.218.60.56/~jnz1568/getInfo.php?workbook=14_04.xlsx&amp;sheet=U0&amp;row=5907&amp;col=7&amp;number=0.0148&amp;sourceID=14","0.0148")</f>
        <v>0.0148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HYPERLINK("http://141.218.60.56/~jnz1568/getInfo.php?workbook=14_04.xlsx&amp;sheet=U0&amp;row=5908&amp;col=6&amp;number=3.4&amp;sourceID=14","3.4")</f>
        <v>3.4</v>
      </c>
      <c r="G5908" s="4" t="str">
        <f>HYPERLINK("http://141.218.60.56/~jnz1568/getInfo.php?workbook=14_04.xlsx&amp;sheet=U0&amp;row=5908&amp;col=7&amp;number=0.0148&amp;sourceID=14","0.0148")</f>
        <v>0.0148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HYPERLINK("http://141.218.60.56/~jnz1568/getInfo.php?workbook=14_04.xlsx&amp;sheet=U0&amp;row=5909&amp;col=6&amp;number=3.5&amp;sourceID=14","3.5")</f>
        <v>3.5</v>
      </c>
      <c r="G5909" s="4" t="str">
        <f>HYPERLINK("http://141.218.60.56/~jnz1568/getInfo.php?workbook=14_04.xlsx&amp;sheet=U0&amp;row=5909&amp;col=7&amp;number=0.0148&amp;sourceID=14","0.0148")</f>
        <v>0.0148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HYPERLINK("http://141.218.60.56/~jnz1568/getInfo.php?workbook=14_04.xlsx&amp;sheet=U0&amp;row=5910&amp;col=6&amp;number=3.6&amp;sourceID=14","3.6")</f>
        <v>3.6</v>
      </c>
      <c r="G5910" s="4" t="str">
        <f>HYPERLINK("http://141.218.60.56/~jnz1568/getInfo.php?workbook=14_04.xlsx&amp;sheet=U0&amp;row=5910&amp;col=7&amp;number=0.0148&amp;sourceID=14","0.0148")</f>
        <v>0.0148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HYPERLINK("http://141.218.60.56/~jnz1568/getInfo.php?workbook=14_04.xlsx&amp;sheet=U0&amp;row=5911&amp;col=6&amp;number=3.7&amp;sourceID=14","3.7")</f>
        <v>3.7</v>
      </c>
      <c r="G5911" s="4" t="str">
        <f>HYPERLINK("http://141.218.60.56/~jnz1568/getInfo.php?workbook=14_04.xlsx&amp;sheet=U0&amp;row=5911&amp;col=7&amp;number=0.0148&amp;sourceID=14","0.0148")</f>
        <v>0.0148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HYPERLINK("http://141.218.60.56/~jnz1568/getInfo.php?workbook=14_04.xlsx&amp;sheet=U0&amp;row=5912&amp;col=6&amp;number=3.8&amp;sourceID=14","3.8")</f>
        <v>3.8</v>
      </c>
      <c r="G5912" s="4" t="str">
        <f>HYPERLINK("http://141.218.60.56/~jnz1568/getInfo.php?workbook=14_04.xlsx&amp;sheet=U0&amp;row=5912&amp;col=7&amp;number=0.0148&amp;sourceID=14","0.0148")</f>
        <v>0.0148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HYPERLINK("http://141.218.60.56/~jnz1568/getInfo.php?workbook=14_04.xlsx&amp;sheet=U0&amp;row=5913&amp;col=6&amp;number=3.9&amp;sourceID=14","3.9")</f>
        <v>3.9</v>
      </c>
      <c r="G5913" s="4" t="str">
        <f>HYPERLINK("http://141.218.60.56/~jnz1568/getInfo.php?workbook=14_04.xlsx&amp;sheet=U0&amp;row=5913&amp;col=7&amp;number=0.0148&amp;sourceID=14","0.0148")</f>
        <v>0.0148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HYPERLINK("http://141.218.60.56/~jnz1568/getInfo.php?workbook=14_04.xlsx&amp;sheet=U0&amp;row=5914&amp;col=6&amp;number=4&amp;sourceID=14","4")</f>
        <v>4</v>
      </c>
      <c r="G5914" s="4" t="str">
        <f>HYPERLINK("http://141.218.60.56/~jnz1568/getInfo.php?workbook=14_04.xlsx&amp;sheet=U0&amp;row=5914&amp;col=7&amp;number=0.0148&amp;sourceID=14","0.0148")</f>
        <v>0.0148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HYPERLINK("http://141.218.60.56/~jnz1568/getInfo.php?workbook=14_04.xlsx&amp;sheet=U0&amp;row=5915&amp;col=6&amp;number=4.1&amp;sourceID=14","4.1")</f>
        <v>4.1</v>
      </c>
      <c r="G5915" s="4" t="str">
        <f>HYPERLINK("http://141.218.60.56/~jnz1568/getInfo.php?workbook=14_04.xlsx&amp;sheet=U0&amp;row=5915&amp;col=7&amp;number=0.0148&amp;sourceID=14","0.0148")</f>
        <v>0.0148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HYPERLINK("http://141.218.60.56/~jnz1568/getInfo.php?workbook=14_04.xlsx&amp;sheet=U0&amp;row=5916&amp;col=6&amp;number=4.2&amp;sourceID=14","4.2")</f>
        <v>4.2</v>
      </c>
      <c r="G5916" s="4" t="str">
        <f>HYPERLINK("http://141.218.60.56/~jnz1568/getInfo.php?workbook=14_04.xlsx&amp;sheet=U0&amp;row=5916&amp;col=7&amp;number=0.0148&amp;sourceID=14","0.0148")</f>
        <v>0.0148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HYPERLINK("http://141.218.60.56/~jnz1568/getInfo.php?workbook=14_04.xlsx&amp;sheet=U0&amp;row=5917&amp;col=6&amp;number=4.3&amp;sourceID=14","4.3")</f>
        <v>4.3</v>
      </c>
      <c r="G5917" s="4" t="str">
        <f>HYPERLINK("http://141.218.60.56/~jnz1568/getInfo.php?workbook=14_04.xlsx&amp;sheet=U0&amp;row=5917&amp;col=7&amp;number=0.0148&amp;sourceID=14","0.0148")</f>
        <v>0.0148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HYPERLINK("http://141.218.60.56/~jnz1568/getInfo.php?workbook=14_04.xlsx&amp;sheet=U0&amp;row=5918&amp;col=6&amp;number=4.4&amp;sourceID=14","4.4")</f>
        <v>4.4</v>
      </c>
      <c r="G5918" s="4" t="str">
        <f>HYPERLINK("http://141.218.60.56/~jnz1568/getInfo.php?workbook=14_04.xlsx&amp;sheet=U0&amp;row=5918&amp;col=7&amp;number=0.0148&amp;sourceID=14","0.0148")</f>
        <v>0.0148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HYPERLINK("http://141.218.60.56/~jnz1568/getInfo.php?workbook=14_04.xlsx&amp;sheet=U0&amp;row=5919&amp;col=6&amp;number=4.5&amp;sourceID=14","4.5")</f>
        <v>4.5</v>
      </c>
      <c r="G5919" s="4" t="str">
        <f>HYPERLINK("http://141.218.60.56/~jnz1568/getInfo.php?workbook=14_04.xlsx&amp;sheet=U0&amp;row=5919&amp;col=7&amp;number=0.0148&amp;sourceID=14","0.0148")</f>
        <v>0.0148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HYPERLINK("http://141.218.60.56/~jnz1568/getInfo.php?workbook=14_04.xlsx&amp;sheet=U0&amp;row=5920&amp;col=6&amp;number=4.6&amp;sourceID=14","4.6")</f>
        <v>4.6</v>
      </c>
      <c r="G5920" s="4" t="str">
        <f>HYPERLINK("http://141.218.60.56/~jnz1568/getInfo.php?workbook=14_04.xlsx&amp;sheet=U0&amp;row=5920&amp;col=7&amp;number=0.0148&amp;sourceID=14","0.0148")</f>
        <v>0.0148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HYPERLINK("http://141.218.60.56/~jnz1568/getInfo.php?workbook=14_04.xlsx&amp;sheet=U0&amp;row=5921&amp;col=6&amp;number=4.7&amp;sourceID=14","4.7")</f>
        <v>4.7</v>
      </c>
      <c r="G5921" s="4" t="str">
        <f>HYPERLINK("http://141.218.60.56/~jnz1568/getInfo.php?workbook=14_04.xlsx&amp;sheet=U0&amp;row=5921&amp;col=7&amp;number=0.0148&amp;sourceID=14","0.0148")</f>
        <v>0.0148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HYPERLINK("http://141.218.60.56/~jnz1568/getInfo.php?workbook=14_04.xlsx&amp;sheet=U0&amp;row=5922&amp;col=6&amp;number=4.8&amp;sourceID=14","4.8")</f>
        <v>4.8</v>
      </c>
      <c r="G5922" s="4" t="str">
        <f>HYPERLINK("http://141.218.60.56/~jnz1568/getInfo.php?workbook=14_04.xlsx&amp;sheet=U0&amp;row=5922&amp;col=7&amp;number=0.0148&amp;sourceID=14","0.0148")</f>
        <v>0.0148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HYPERLINK("http://141.218.60.56/~jnz1568/getInfo.php?workbook=14_04.xlsx&amp;sheet=U0&amp;row=5923&amp;col=6&amp;number=4.9&amp;sourceID=14","4.9")</f>
        <v>4.9</v>
      </c>
      <c r="G5923" s="4" t="str">
        <f>HYPERLINK("http://141.218.60.56/~jnz1568/getInfo.php?workbook=14_04.xlsx&amp;sheet=U0&amp;row=5923&amp;col=7&amp;number=0.0148&amp;sourceID=14","0.0148")</f>
        <v>0.0148</v>
      </c>
    </row>
    <row r="5924" spans="1:7">
      <c r="A5924" s="3">
        <v>14</v>
      </c>
      <c r="B5924" s="3">
        <v>4</v>
      </c>
      <c r="C5924" s="3">
        <v>4</v>
      </c>
      <c r="D5924" s="3">
        <v>16</v>
      </c>
      <c r="E5924" s="3">
        <v>1</v>
      </c>
      <c r="F5924" s="4" t="str">
        <f>HYPERLINK("http://141.218.60.56/~jnz1568/getInfo.php?workbook=14_04.xlsx&amp;sheet=U0&amp;row=5924&amp;col=6&amp;number=3&amp;sourceID=14","3")</f>
        <v>3</v>
      </c>
      <c r="G5924" s="4" t="str">
        <f>HYPERLINK("http://141.218.60.56/~jnz1568/getInfo.php?workbook=14_04.xlsx&amp;sheet=U0&amp;row=5924&amp;col=7&amp;number=0.172&amp;sourceID=14","0.172")</f>
        <v>0.172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HYPERLINK("http://141.218.60.56/~jnz1568/getInfo.php?workbook=14_04.xlsx&amp;sheet=U0&amp;row=5925&amp;col=6&amp;number=3.1&amp;sourceID=14","3.1")</f>
        <v>3.1</v>
      </c>
      <c r="G5925" s="4" t="str">
        <f>HYPERLINK("http://141.218.60.56/~jnz1568/getInfo.php?workbook=14_04.xlsx&amp;sheet=U0&amp;row=5925&amp;col=7&amp;number=0.172&amp;sourceID=14","0.172")</f>
        <v>0.172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HYPERLINK("http://141.218.60.56/~jnz1568/getInfo.php?workbook=14_04.xlsx&amp;sheet=U0&amp;row=5926&amp;col=6&amp;number=3.2&amp;sourceID=14","3.2")</f>
        <v>3.2</v>
      </c>
      <c r="G5926" s="4" t="str">
        <f>HYPERLINK("http://141.218.60.56/~jnz1568/getInfo.php?workbook=14_04.xlsx&amp;sheet=U0&amp;row=5926&amp;col=7&amp;number=0.172&amp;sourceID=14","0.172")</f>
        <v>0.172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HYPERLINK("http://141.218.60.56/~jnz1568/getInfo.php?workbook=14_04.xlsx&amp;sheet=U0&amp;row=5927&amp;col=6&amp;number=3.3&amp;sourceID=14","3.3")</f>
        <v>3.3</v>
      </c>
      <c r="G5927" s="4" t="str">
        <f>HYPERLINK("http://141.218.60.56/~jnz1568/getInfo.php?workbook=14_04.xlsx&amp;sheet=U0&amp;row=5927&amp;col=7&amp;number=0.172&amp;sourceID=14","0.172")</f>
        <v>0.172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HYPERLINK("http://141.218.60.56/~jnz1568/getInfo.php?workbook=14_04.xlsx&amp;sheet=U0&amp;row=5928&amp;col=6&amp;number=3.4&amp;sourceID=14","3.4")</f>
        <v>3.4</v>
      </c>
      <c r="G5928" s="4" t="str">
        <f>HYPERLINK("http://141.218.60.56/~jnz1568/getInfo.php?workbook=14_04.xlsx&amp;sheet=U0&amp;row=5928&amp;col=7&amp;number=0.172&amp;sourceID=14","0.172")</f>
        <v>0.172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HYPERLINK("http://141.218.60.56/~jnz1568/getInfo.php?workbook=14_04.xlsx&amp;sheet=U0&amp;row=5929&amp;col=6&amp;number=3.5&amp;sourceID=14","3.5")</f>
        <v>3.5</v>
      </c>
      <c r="G5929" s="4" t="str">
        <f>HYPERLINK("http://141.218.60.56/~jnz1568/getInfo.php?workbook=14_04.xlsx&amp;sheet=U0&amp;row=5929&amp;col=7&amp;number=0.172&amp;sourceID=14","0.172")</f>
        <v>0.172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HYPERLINK("http://141.218.60.56/~jnz1568/getInfo.php?workbook=14_04.xlsx&amp;sheet=U0&amp;row=5930&amp;col=6&amp;number=3.6&amp;sourceID=14","3.6")</f>
        <v>3.6</v>
      </c>
      <c r="G5930" s="4" t="str">
        <f>HYPERLINK("http://141.218.60.56/~jnz1568/getInfo.php?workbook=14_04.xlsx&amp;sheet=U0&amp;row=5930&amp;col=7&amp;number=0.172&amp;sourceID=14","0.172")</f>
        <v>0.172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HYPERLINK("http://141.218.60.56/~jnz1568/getInfo.php?workbook=14_04.xlsx&amp;sheet=U0&amp;row=5931&amp;col=6&amp;number=3.7&amp;sourceID=14","3.7")</f>
        <v>3.7</v>
      </c>
      <c r="G5931" s="4" t="str">
        <f>HYPERLINK("http://141.218.60.56/~jnz1568/getInfo.php?workbook=14_04.xlsx&amp;sheet=U0&amp;row=5931&amp;col=7&amp;number=0.172&amp;sourceID=14","0.172")</f>
        <v>0.172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HYPERLINK("http://141.218.60.56/~jnz1568/getInfo.php?workbook=14_04.xlsx&amp;sheet=U0&amp;row=5932&amp;col=6&amp;number=3.8&amp;sourceID=14","3.8")</f>
        <v>3.8</v>
      </c>
      <c r="G5932" s="4" t="str">
        <f>HYPERLINK("http://141.218.60.56/~jnz1568/getInfo.php?workbook=14_04.xlsx&amp;sheet=U0&amp;row=5932&amp;col=7&amp;number=0.172&amp;sourceID=14","0.172")</f>
        <v>0.172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HYPERLINK("http://141.218.60.56/~jnz1568/getInfo.php?workbook=14_04.xlsx&amp;sheet=U0&amp;row=5933&amp;col=6&amp;number=3.9&amp;sourceID=14","3.9")</f>
        <v>3.9</v>
      </c>
      <c r="G5933" s="4" t="str">
        <f>HYPERLINK("http://141.218.60.56/~jnz1568/getInfo.php?workbook=14_04.xlsx&amp;sheet=U0&amp;row=5933&amp;col=7&amp;number=0.172&amp;sourceID=14","0.172")</f>
        <v>0.172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HYPERLINK("http://141.218.60.56/~jnz1568/getInfo.php?workbook=14_04.xlsx&amp;sheet=U0&amp;row=5934&amp;col=6&amp;number=4&amp;sourceID=14","4")</f>
        <v>4</v>
      </c>
      <c r="G5934" s="4" t="str">
        <f>HYPERLINK("http://141.218.60.56/~jnz1568/getInfo.php?workbook=14_04.xlsx&amp;sheet=U0&amp;row=5934&amp;col=7&amp;number=0.172&amp;sourceID=14","0.172")</f>
        <v>0.172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HYPERLINK("http://141.218.60.56/~jnz1568/getInfo.php?workbook=14_04.xlsx&amp;sheet=U0&amp;row=5935&amp;col=6&amp;number=4.1&amp;sourceID=14","4.1")</f>
        <v>4.1</v>
      </c>
      <c r="G5935" s="4" t="str">
        <f>HYPERLINK("http://141.218.60.56/~jnz1568/getInfo.php?workbook=14_04.xlsx&amp;sheet=U0&amp;row=5935&amp;col=7&amp;number=0.172&amp;sourceID=14","0.172")</f>
        <v>0.172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HYPERLINK("http://141.218.60.56/~jnz1568/getInfo.php?workbook=14_04.xlsx&amp;sheet=U0&amp;row=5936&amp;col=6&amp;number=4.2&amp;sourceID=14","4.2")</f>
        <v>4.2</v>
      </c>
      <c r="G5936" s="4" t="str">
        <f>HYPERLINK("http://141.218.60.56/~jnz1568/getInfo.php?workbook=14_04.xlsx&amp;sheet=U0&amp;row=5936&amp;col=7&amp;number=0.172&amp;sourceID=14","0.172")</f>
        <v>0.172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HYPERLINK("http://141.218.60.56/~jnz1568/getInfo.php?workbook=14_04.xlsx&amp;sheet=U0&amp;row=5937&amp;col=6&amp;number=4.3&amp;sourceID=14","4.3")</f>
        <v>4.3</v>
      </c>
      <c r="G5937" s="4" t="str">
        <f>HYPERLINK("http://141.218.60.56/~jnz1568/getInfo.php?workbook=14_04.xlsx&amp;sheet=U0&amp;row=5937&amp;col=7&amp;number=0.172&amp;sourceID=14","0.172")</f>
        <v>0.172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HYPERLINK("http://141.218.60.56/~jnz1568/getInfo.php?workbook=14_04.xlsx&amp;sheet=U0&amp;row=5938&amp;col=6&amp;number=4.4&amp;sourceID=14","4.4")</f>
        <v>4.4</v>
      </c>
      <c r="G5938" s="4" t="str">
        <f>HYPERLINK("http://141.218.60.56/~jnz1568/getInfo.php?workbook=14_04.xlsx&amp;sheet=U0&amp;row=5938&amp;col=7&amp;number=0.172&amp;sourceID=14","0.172")</f>
        <v>0.172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HYPERLINK("http://141.218.60.56/~jnz1568/getInfo.php?workbook=14_04.xlsx&amp;sheet=U0&amp;row=5939&amp;col=6&amp;number=4.5&amp;sourceID=14","4.5")</f>
        <v>4.5</v>
      </c>
      <c r="G5939" s="4" t="str">
        <f>HYPERLINK("http://141.218.60.56/~jnz1568/getInfo.php?workbook=14_04.xlsx&amp;sheet=U0&amp;row=5939&amp;col=7&amp;number=0.172&amp;sourceID=14","0.172")</f>
        <v>0.172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HYPERLINK("http://141.218.60.56/~jnz1568/getInfo.php?workbook=14_04.xlsx&amp;sheet=U0&amp;row=5940&amp;col=6&amp;number=4.6&amp;sourceID=14","4.6")</f>
        <v>4.6</v>
      </c>
      <c r="G5940" s="4" t="str">
        <f>HYPERLINK("http://141.218.60.56/~jnz1568/getInfo.php?workbook=14_04.xlsx&amp;sheet=U0&amp;row=5940&amp;col=7&amp;number=0.172&amp;sourceID=14","0.172")</f>
        <v>0.172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HYPERLINK("http://141.218.60.56/~jnz1568/getInfo.php?workbook=14_04.xlsx&amp;sheet=U0&amp;row=5941&amp;col=6&amp;number=4.7&amp;sourceID=14","4.7")</f>
        <v>4.7</v>
      </c>
      <c r="G5941" s="4" t="str">
        <f>HYPERLINK("http://141.218.60.56/~jnz1568/getInfo.php?workbook=14_04.xlsx&amp;sheet=U0&amp;row=5941&amp;col=7&amp;number=0.172&amp;sourceID=14","0.172")</f>
        <v>0.172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HYPERLINK("http://141.218.60.56/~jnz1568/getInfo.php?workbook=14_04.xlsx&amp;sheet=U0&amp;row=5942&amp;col=6&amp;number=4.8&amp;sourceID=14","4.8")</f>
        <v>4.8</v>
      </c>
      <c r="G5942" s="4" t="str">
        <f>HYPERLINK("http://141.218.60.56/~jnz1568/getInfo.php?workbook=14_04.xlsx&amp;sheet=U0&amp;row=5942&amp;col=7&amp;number=0.172&amp;sourceID=14","0.172")</f>
        <v>0.172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HYPERLINK("http://141.218.60.56/~jnz1568/getInfo.php?workbook=14_04.xlsx&amp;sheet=U0&amp;row=5943&amp;col=6&amp;number=4.9&amp;sourceID=14","4.9")</f>
        <v>4.9</v>
      </c>
      <c r="G5943" s="4" t="str">
        <f>HYPERLINK("http://141.218.60.56/~jnz1568/getInfo.php?workbook=14_04.xlsx&amp;sheet=U0&amp;row=5943&amp;col=7&amp;number=0.172&amp;sourceID=14","0.172")</f>
        <v>0.172</v>
      </c>
    </row>
    <row r="5944" spans="1:7">
      <c r="A5944" s="3">
        <v>14</v>
      </c>
      <c r="B5944" s="3">
        <v>4</v>
      </c>
      <c r="C5944" s="3">
        <v>4</v>
      </c>
      <c r="D5944" s="3">
        <v>17</v>
      </c>
      <c r="E5944" s="3">
        <v>1</v>
      </c>
      <c r="F5944" s="4" t="str">
        <f>HYPERLINK("http://141.218.60.56/~jnz1568/getInfo.php?workbook=14_04.xlsx&amp;sheet=U0&amp;row=5944&amp;col=6&amp;number=3&amp;sourceID=14","3")</f>
        <v>3</v>
      </c>
      <c r="G5944" s="4" t="str">
        <f>HYPERLINK("http://141.218.60.56/~jnz1568/getInfo.php?workbook=14_04.xlsx&amp;sheet=U0&amp;row=5944&amp;col=7&amp;number=0.0184&amp;sourceID=14","0.0184")</f>
        <v>0.0184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HYPERLINK("http://141.218.60.56/~jnz1568/getInfo.php?workbook=14_04.xlsx&amp;sheet=U0&amp;row=5945&amp;col=6&amp;number=3.1&amp;sourceID=14","3.1")</f>
        <v>3.1</v>
      </c>
      <c r="G5945" s="4" t="str">
        <f>HYPERLINK("http://141.218.60.56/~jnz1568/getInfo.php?workbook=14_04.xlsx&amp;sheet=U0&amp;row=5945&amp;col=7&amp;number=0.0184&amp;sourceID=14","0.0184")</f>
        <v>0.0184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HYPERLINK("http://141.218.60.56/~jnz1568/getInfo.php?workbook=14_04.xlsx&amp;sheet=U0&amp;row=5946&amp;col=6&amp;number=3.2&amp;sourceID=14","3.2")</f>
        <v>3.2</v>
      </c>
      <c r="G5946" s="4" t="str">
        <f>HYPERLINK("http://141.218.60.56/~jnz1568/getInfo.php?workbook=14_04.xlsx&amp;sheet=U0&amp;row=5946&amp;col=7&amp;number=0.0184&amp;sourceID=14","0.0184")</f>
        <v>0.0184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HYPERLINK("http://141.218.60.56/~jnz1568/getInfo.php?workbook=14_04.xlsx&amp;sheet=U0&amp;row=5947&amp;col=6&amp;number=3.3&amp;sourceID=14","3.3")</f>
        <v>3.3</v>
      </c>
      <c r="G5947" s="4" t="str">
        <f>HYPERLINK("http://141.218.60.56/~jnz1568/getInfo.php?workbook=14_04.xlsx&amp;sheet=U0&amp;row=5947&amp;col=7&amp;number=0.0184&amp;sourceID=14","0.0184")</f>
        <v>0.0184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HYPERLINK("http://141.218.60.56/~jnz1568/getInfo.php?workbook=14_04.xlsx&amp;sheet=U0&amp;row=5948&amp;col=6&amp;number=3.4&amp;sourceID=14","3.4")</f>
        <v>3.4</v>
      </c>
      <c r="G5948" s="4" t="str">
        <f>HYPERLINK("http://141.218.60.56/~jnz1568/getInfo.php?workbook=14_04.xlsx&amp;sheet=U0&amp;row=5948&amp;col=7&amp;number=0.0184&amp;sourceID=14","0.0184")</f>
        <v>0.0184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HYPERLINK("http://141.218.60.56/~jnz1568/getInfo.php?workbook=14_04.xlsx&amp;sheet=U0&amp;row=5949&amp;col=6&amp;number=3.5&amp;sourceID=14","3.5")</f>
        <v>3.5</v>
      </c>
      <c r="G5949" s="4" t="str">
        <f>HYPERLINK("http://141.218.60.56/~jnz1568/getInfo.php?workbook=14_04.xlsx&amp;sheet=U0&amp;row=5949&amp;col=7&amp;number=0.0184&amp;sourceID=14","0.0184")</f>
        <v>0.0184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HYPERLINK("http://141.218.60.56/~jnz1568/getInfo.php?workbook=14_04.xlsx&amp;sheet=U0&amp;row=5950&amp;col=6&amp;number=3.6&amp;sourceID=14","3.6")</f>
        <v>3.6</v>
      </c>
      <c r="G5950" s="4" t="str">
        <f>HYPERLINK("http://141.218.60.56/~jnz1568/getInfo.php?workbook=14_04.xlsx&amp;sheet=U0&amp;row=5950&amp;col=7&amp;number=0.0184&amp;sourceID=14","0.0184")</f>
        <v>0.0184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HYPERLINK("http://141.218.60.56/~jnz1568/getInfo.php?workbook=14_04.xlsx&amp;sheet=U0&amp;row=5951&amp;col=6&amp;number=3.7&amp;sourceID=14","3.7")</f>
        <v>3.7</v>
      </c>
      <c r="G5951" s="4" t="str">
        <f>HYPERLINK("http://141.218.60.56/~jnz1568/getInfo.php?workbook=14_04.xlsx&amp;sheet=U0&amp;row=5951&amp;col=7&amp;number=0.0184&amp;sourceID=14","0.0184")</f>
        <v>0.0184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HYPERLINK("http://141.218.60.56/~jnz1568/getInfo.php?workbook=14_04.xlsx&amp;sheet=U0&amp;row=5952&amp;col=6&amp;number=3.8&amp;sourceID=14","3.8")</f>
        <v>3.8</v>
      </c>
      <c r="G5952" s="4" t="str">
        <f>HYPERLINK("http://141.218.60.56/~jnz1568/getInfo.php?workbook=14_04.xlsx&amp;sheet=U0&amp;row=5952&amp;col=7&amp;number=0.0184&amp;sourceID=14","0.0184")</f>
        <v>0.0184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HYPERLINK("http://141.218.60.56/~jnz1568/getInfo.php?workbook=14_04.xlsx&amp;sheet=U0&amp;row=5953&amp;col=6&amp;number=3.9&amp;sourceID=14","3.9")</f>
        <v>3.9</v>
      </c>
      <c r="G5953" s="4" t="str">
        <f>HYPERLINK("http://141.218.60.56/~jnz1568/getInfo.php?workbook=14_04.xlsx&amp;sheet=U0&amp;row=5953&amp;col=7&amp;number=0.0184&amp;sourceID=14","0.0184")</f>
        <v>0.0184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HYPERLINK("http://141.218.60.56/~jnz1568/getInfo.php?workbook=14_04.xlsx&amp;sheet=U0&amp;row=5954&amp;col=6&amp;number=4&amp;sourceID=14","4")</f>
        <v>4</v>
      </c>
      <c r="G5954" s="4" t="str">
        <f>HYPERLINK("http://141.218.60.56/~jnz1568/getInfo.php?workbook=14_04.xlsx&amp;sheet=U0&amp;row=5954&amp;col=7&amp;number=0.0184&amp;sourceID=14","0.0184")</f>
        <v>0.0184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HYPERLINK("http://141.218.60.56/~jnz1568/getInfo.php?workbook=14_04.xlsx&amp;sheet=U0&amp;row=5955&amp;col=6&amp;number=4.1&amp;sourceID=14","4.1")</f>
        <v>4.1</v>
      </c>
      <c r="G5955" s="4" t="str">
        <f>HYPERLINK("http://141.218.60.56/~jnz1568/getInfo.php?workbook=14_04.xlsx&amp;sheet=U0&amp;row=5955&amp;col=7&amp;number=0.0184&amp;sourceID=14","0.0184")</f>
        <v>0.0184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HYPERLINK("http://141.218.60.56/~jnz1568/getInfo.php?workbook=14_04.xlsx&amp;sheet=U0&amp;row=5956&amp;col=6&amp;number=4.2&amp;sourceID=14","4.2")</f>
        <v>4.2</v>
      </c>
      <c r="G5956" s="4" t="str">
        <f>HYPERLINK("http://141.218.60.56/~jnz1568/getInfo.php?workbook=14_04.xlsx&amp;sheet=U0&amp;row=5956&amp;col=7&amp;number=0.0184&amp;sourceID=14","0.0184")</f>
        <v>0.0184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HYPERLINK("http://141.218.60.56/~jnz1568/getInfo.php?workbook=14_04.xlsx&amp;sheet=U0&amp;row=5957&amp;col=6&amp;number=4.3&amp;sourceID=14","4.3")</f>
        <v>4.3</v>
      </c>
      <c r="G5957" s="4" t="str">
        <f>HYPERLINK("http://141.218.60.56/~jnz1568/getInfo.php?workbook=14_04.xlsx&amp;sheet=U0&amp;row=5957&amp;col=7&amp;number=0.0184&amp;sourceID=14","0.0184")</f>
        <v>0.0184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HYPERLINK("http://141.218.60.56/~jnz1568/getInfo.php?workbook=14_04.xlsx&amp;sheet=U0&amp;row=5958&amp;col=6&amp;number=4.4&amp;sourceID=14","4.4")</f>
        <v>4.4</v>
      </c>
      <c r="G5958" s="4" t="str">
        <f>HYPERLINK("http://141.218.60.56/~jnz1568/getInfo.php?workbook=14_04.xlsx&amp;sheet=U0&amp;row=5958&amp;col=7&amp;number=0.0184&amp;sourceID=14","0.0184")</f>
        <v>0.0184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HYPERLINK("http://141.218.60.56/~jnz1568/getInfo.php?workbook=14_04.xlsx&amp;sheet=U0&amp;row=5959&amp;col=6&amp;number=4.5&amp;sourceID=14","4.5")</f>
        <v>4.5</v>
      </c>
      <c r="G5959" s="4" t="str">
        <f>HYPERLINK("http://141.218.60.56/~jnz1568/getInfo.php?workbook=14_04.xlsx&amp;sheet=U0&amp;row=5959&amp;col=7&amp;number=0.0184&amp;sourceID=14","0.0184")</f>
        <v>0.0184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HYPERLINK("http://141.218.60.56/~jnz1568/getInfo.php?workbook=14_04.xlsx&amp;sheet=U0&amp;row=5960&amp;col=6&amp;number=4.6&amp;sourceID=14","4.6")</f>
        <v>4.6</v>
      </c>
      <c r="G5960" s="4" t="str">
        <f>HYPERLINK("http://141.218.60.56/~jnz1568/getInfo.php?workbook=14_04.xlsx&amp;sheet=U0&amp;row=5960&amp;col=7&amp;number=0.0184&amp;sourceID=14","0.0184")</f>
        <v>0.0184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HYPERLINK("http://141.218.60.56/~jnz1568/getInfo.php?workbook=14_04.xlsx&amp;sheet=U0&amp;row=5961&amp;col=6&amp;number=4.7&amp;sourceID=14","4.7")</f>
        <v>4.7</v>
      </c>
      <c r="G5961" s="4" t="str">
        <f>HYPERLINK("http://141.218.60.56/~jnz1568/getInfo.php?workbook=14_04.xlsx&amp;sheet=U0&amp;row=5961&amp;col=7&amp;number=0.0184&amp;sourceID=14","0.0184")</f>
        <v>0.0184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HYPERLINK("http://141.218.60.56/~jnz1568/getInfo.php?workbook=14_04.xlsx&amp;sheet=U0&amp;row=5962&amp;col=6&amp;number=4.8&amp;sourceID=14","4.8")</f>
        <v>4.8</v>
      </c>
      <c r="G5962" s="4" t="str">
        <f>HYPERLINK("http://141.218.60.56/~jnz1568/getInfo.php?workbook=14_04.xlsx&amp;sheet=U0&amp;row=5962&amp;col=7&amp;number=0.0184&amp;sourceID=14","0.0184")</f>
        <v>0.0184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HYPERLINK("http://141.218.60.56/~jnz1568/getInfo.php?workbook=14_04.xlsx&amp;sheet=U0&amp;row=5963&amp;col=6&amp;number=4.9&amp;sourceID=14","4.9")</f>
        <v>4.9</v>
      </c>
      <c r="G5963" s="4" t="str">
        <f>HYPERLINK("http://141.218.60.56/~jnz1568/getInfo.php?workbook=14_04.xlsx&amp;sheet=U0&amp;row=5963&amp;col=7&amp;number=0.0184&amp;sourceID=14","0.0184")</f>
        <v>0.0184</v>
      </c>
    </row>
    <row r="5964" spans="1:7">
      <c r="A5964" s="3">
        <v>14</v>
      </c>
      <c r="B5964" s="3">
        <v>4</v>
      </c>
      <c r="C5964" s="3">
        <v>4</v>
      </c>
      <c r="D5964" s="3">
        <v>18</v>
      </c>
      <c r="E5964" s="3">
        <v>1</v>
      </c>
      <c r="F5964" s="4" t="str">
        <f>HYPERLINK("http://141.218.60.56/~jnz1568/getInfo.php?workbook=14_04.xlsx&amp;sheet=U0&amp;row=5964&amp;col=6&amp;number=3&amp;sourceID=14","3")</f>
        <v>3</v>
      </c>
      <c r="G5964" s="4" t="str">
        <f>HYPERLINK("http://141.218.60.56/~jnz1568/getInfo.php?workbook=14_04.xlsx&amp;sheet=U0&amp;row=5964&amp;col=7&amp;number=0.0774&amp;sourceID=14","0.0774")</f>
        <v>0.0774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HYPERLINK("http://141.218.60.56/~jnz1568/getInfo.php?workbook=14_04.xlsx&amp;sheet=U0&amp;row=5965&amp;col=6&amp;number=3.1&amp;sourceID=14","3.1")</f>
        <v>3.1</v>
      </c>
      <c r="G5965" s="4" t="str">
        <f>HYPERLINK("http://141.218.60.56/~jnz1568/getInfo.php?workbook=14_04.xlsx&amp;sheet=U0&amp;row=5965&amp;col=7&amp;number=0.0774&amp;sourceID=14","0.0774")</f>
        <v>0.0774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HYPERLINK("http://141.218.60.56/~jnz1568/getInfo.php?workbook=14_04.xlsx&amp;sheet=U0&amp;row=5966&amp;col=6&amp;number=3.2&amp;sourceID=14","3.2")</f>
        <v>3.2</v>
      </c>
      <c r="G5966" s="4" t="str">
        <f>HYPERLINK("http://141.218.60.56/~jnz1568/getInfo.php?workbook=14_04.xlsx&amp;sheet=U0&amp;row=5966&amp;col=7&amp;number=0.0774&amp;sourceID=14","0.0774")</f>
        <v>0.0774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HYPERLINK("http://141.218.60.56/~jnz1568/getInfo.php?workbook=14_04.xlsx&amp;sheet=U0&amp;row=5967&amp;col=6&amp;number=3.3&amp;sourceID=14","3.3")</f>
        <v>3.3</v>
      </c>
      <c r="G5967" s="4" t="str">
        <f>HYPERLINK("http://141.218.60.56/~jnz1568/getInfo.php?workbook=14_04.xlsx&amp;sheet=U0&amp;row=5967&amp;col=7&amp;number=0.0774&amp;sourceID=14","0.0774")</f>
        <v>0.0774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HYPERLINK("http://141.218.60.56/~jnz1568/getInfo.php?workbook=14_04.xlsx&amp;sheet=U0&amp;row=5968&amp;col=6&amp;number=3.4&amp;sourceID=14","3.4")</f>
        <v>3.4</v>
      </c>
      <c r="G5968" s="4" t="str">
        <f>HYPERLINK("http://141.218.60.56/~jnz1568/getInfo.php?workbook=14_04.xlsx&amp;sheet=U0&amp;row=5968&amp;col=7&amp;number=0.0774&amp;sourceID=14","0.0774")</f>
        <v>0.0774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HYPERLINK("http://141.218.60.56/~jnz1568/getInfo.php?workbook=14_04.xlsx&amp;sheet=U0&amp;row=5969&amp;col=6&amp;number=3.5&amp;sourceID=14","3.5")</f>
        <v>3.5</v>
      </c>
      <c r="G5969" s="4" t="str">
        <f>HYPERLINK("http://141.218.60.56/~jnz1568/getInfo.php?workbook=14_04.xlsx&amp;sheet=U0&amp;row=5969&amp;col=7&amp;number=0.0774&amp;sourceID=14","0.0774")</f>
        <v>0.0774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HYPERLINK("http://141.218.60.56/~jnz1568/getInfo.php?workbook=14_04.xlsx&amp;sheet=U0&amp;row=5970&amp;col=6&amp;number=3.6&amp;sourceID=14","3.6")</f>
        <v>3.6</v>
      </c>
      <c r="G5970" s="4" t="str">
        <f>HYPERLINK("http://141.218.60.56/~jnz1568/getInfo.php?workbook=14_04.xlsx&amp;sheet=U0&amp;row=5970&amp;col=7&amp;number=0.0774&amp;sourceID=14","0.0774")</f>
        <v>0.0774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HYPERLINK("http://141.218.60.56/~jnz1568/getInfo.php?workbook=14_04.xlsx&amp;sheet=U0&amp;row=5971&amp;col=6&amp;number=3.7&amp;sourceID=14","3.7")</f>
        <v>3.7</v>
      </c>
      <c r="G5971" s="4" t="str">
        <f>HYPERLINK("http://141.218.60.56/~jnz1568/getInfo.php?workbook=14_04.xlsx&amp;sheet=U0&amp;row=5971&amp;col=7&amp;number=0.0774&amp;sourceID=14","0.0774")</f>
        <v>0.0774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HYPERLINK("http://141.218.60.56/~jnz1568/getInfo.php?workbook=14_04.xlsx&amp;sheet=U0&amp;row=5972&amp;col=6&amp;number=3.8&amp;sourceID=14","3.8")</f>
        <v>3.8</v>
      </c>
      <c r="G5972" s="4" t="str">
        <f>HYPERLINK("http://141.218.60.56/~jnz1568/getInfo.php?workbook=14_04.xlsx&amp;sheet=U0&amp;row=5972&amp;col=7&amp;number=0.0774&amp;sourceID=14","0.0774")</f>
        <v>0.0774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HYPERLINK("http://141.218.60.56/~jnz1568/getInfo.php?workbook=14_04.xlsx&amp;sheet=U0&amp;row=5973&amp;col=6&amp;number=3.9&amp;sourceID=14","3.9")</f>
        <v>3.9</v>
      </c>
      <c r="G5973" s="4" t="str">
        <f>HYPERLINK("http://141.218.60.56/~jnz1568/getInfo.php?workbook=14_04.xlsx&amp;sheet=U0&amp;row=5973&amp;col=7&amp;number=0.0775&amp;sourceID=14","0.0775")</f>
        <v>0.0775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HYPERLINK("http://141.218.60.56/~jnz1568/getInfo.php?workbook=14_04.xlsx&amp;sheet=U0&amp;row=5974&amp;col=6&amp;number=4&amp;sourceID=14","4")</f>
        <v>4</v>
      </c>
      <c r="G5974" s="4" t="str">
        <f>HYPERLINK("http://141.218.60.56/~jnz1568/getInfo.php?workbook=14_04.xlsx&amp;sheet=U0&amp;row=5974&amp;col=7&amp;number=0.0775&amp;sourceID=14","0.0775")</f>
        <v>0.0775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HYPERLINK("http://141.218.60.56/~jnz1568/getInfo.php?workbook=14_04.xlsx&amp;sheet=U0&amp;row=5975&amp;col=6&amp;number=4.1&amp;sourceID=14","4.1")</f>
        <v>4.1</v>
      </c>
      <c r="G5975" s="4" t="str">
        <f>HYPERLINK("http://141.218.60.56/~jnz1568/getInfo.php?workbook=14_04.xlsx&amp;sheet=U0&amp;row=5975&amp;col=7&amp;number=0.0775&amp;sourceID=14","0.0775")</f>
        <v>0.0775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HYPERLINK("http://141.218.60.56/~jnz1568/getInfo.php?workbook=14_04.xlsx&amp;sheet=U0&amp;row=5976&amp;col=6&amp;number=4.2&amp;sourceID=14","4.2")</f>
        <v>4.2</v>
      </c>
      <c r="G5976" s="4" t="str">
        <f>HYPERLINK("http://141.218.60.56/~jnz1568/getInfo.php?workbook=14_04.xlsx&amp;sheet=U0&amp;row=5976&amp;col=7&amp;number=0.0776&amp;sourceID=14","0.0776")</f>
        <v>0.0776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HYPERLINK("http://141.218.60.56/~jnz1568/getInfo.php?workbook=14_04.xlsx&amp;sheet=U0&amp;row=5977&amp;col=6&amp;number=4.3&amp;sourceID=14","4.3")</f>
        <v>4.3</v>
      </c>
      <c r="G5977" s="4" t="str">
        <f>HYPERLINK("http://141.218.60.56/~jnz1568/getInfo.php?workbook=14_04.xlsx&amp;sheet=U0&amp;row=5977&amp;col=7&amp;number=0.0776&amp;sourceID=14","0.0776")</f>
        <v>0.0776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HYPERLINK("http://141.218.60.56/~jnz1568/getInfo.php?workbook=14_04.xlsx&amp;sheet=U0&amp;row=5978&amp;col=6&amp;number=4.4&amp;sourceID=14","4.4")</f>
        <v>4.4</v>
      </c>
      <c r="G5978" s="4" t="str">
        <f>HYPERLINK("http://141.218.60.56/~jnz1568/getInfo.php?workbook=14_04.xlsx&amp;sheet=U0&amp;row=5978&amp;col=7&amp;number=0.0777&amp;sourceID=14","0.0777")</f>
        <v>0.0777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HYPERLINK("http://141.218.60.56/~jnz1568/getInfo.php?workbook=14_04.xlsx&amp;sheet=U0&amp;row=5979&amp;col=6&amp;number=4.5&amp;sourceID=14","4.5")</f>
        <v>4.5</v>
      </c>
      <c r="G5979" s="4" t="str">
        <f>HYPERLINK("http://141.218.60.56/~jnz1568/getInfo.php?workbook=14_04.xlsx&amp;sheet=U0&amp;row=5979&amp;col=7&amp;number=0.0778&amp;sourceID=14","0.0778")</f>
        <v>0.0778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HYPERLINK("http://141.218.60.56/~jnz1568/getInfo.php?workbook=14_04.xlsx&amp;sheet=U0&amp;row=5980&amp;col=6&amp;number=4.6&amp;sourceID=14","4.6")</f>
        <v>4.6</v>
      </c>
      <c r="G5980" s="4" t="str">
        <f>HYPERLINK("http://141.218.60.56/~jnz1568/getInfo.php?workbook=14_04.xlsx&amp;sheet=U0&amp;row=5980&amp;col=7&amp;number=0.0779&amp;sourceID=14","0.0779")</f>
        <v>0.0779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HYPERLINK("http://141.218.60.56/~jnz1568/getInfo.php?workbook=14_04.xlsx&amp;sheet=U0&amp;row=5981&amp;col=6&amp;number=4.7&amp;sourceID=14","4.7")</f>
        <v>4.7</v>
      </c>
      <c r="G5981" s="4" t="str">
        <f>HYPERLINK("http://141.218.60.56/~jnz1568/getInfo.php?workbook=14_04.xlsx&amp;sheet=U0&amp;row=5981&amp;col=7&amp;number=0.078&amp;sourceID=14","0.078")</f>
        <v>0.078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HYPERLINK("http://141.218.60.56/~jnz1568/getInfo.php?workbook=14_04.xlsx&amp;sheet=U0&amp;row=5982&amp;col=6&amp;number=4.8&amp;sourceID=14","4.8")</f>
        <v>4.8</v>
      </c>
      <c r="G5982" s="4" t="str">
        <f>HYPERLINK("http://141.218.60.56/~jnz1568/getInfo.php?workbook=14_04.xlsx&amp;sheet=U0&amp;row=5982&amp;col=7&amp;number=0.0782&amp;sourceID=14","0.0782")</f>
        <v>0.0782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HYPERLINK("http://141.218.60.56/~jnz1568/getInfo.php?workbook=14_04.xlsx&amp;sheet=U0&amp;row=5983&amp;col=6&amp;number=4.9&amp;sourceID=14","4.9")</f>
        <v>4.9</v>
      </c>
      <c r="G5983" s="4" t="str">
        <f>HYPERLINK("http://141.218.60.56/~jnz1568/getInfo.php?workbook=14_04.xlsx&amp;sheet=U0&amp;row=5983&amp;col=7&amp;number=0.0784&amp;sourceID=14","0.0784")</f>
        <v>0.0784</v>
      </c>
    </row>
    <row r="5984" spans="1:7">
      <c r="A5984" s="3">
        <v>14</v>
      </c>
      <c r="B5984" s="3">
        <v>4</v>
      </c>
      <c r="C5984" s="3">
        <v>4</v>
      </c>
      <c r="D5984" s="3">
        <v>19</v>
      </c>
      <c r="E5984" s="3">
        <v>1</v>
      </c>
      <c r="F5984" s="4" t="str">
        <f>HYPERLINK("http://141.218.60.56/~jnz1568/getInfo.php?workbook=14_04.xlsx&amp;sheet=U0&amp;row=5984&amp;col=6&amp;number=3&amp;sourceID=14","3")</f>
        <v>3</v>
      </c>
      <c r="G5984" s="4" t="str">
        <f>HYPERLINK("http://141.218.60.56/~jnz1568/getInfo.php?workbook=14_04.xlsx&amp;sheet=U0&amp;row=5984&amp;col=7&amp;number=0.318&amp;sourceID=14","0.318")</f>
        <v>0.318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HYPERLINK("http://141.218.60.56/~jnz1568/getInfo.php?workbook=14_04.xlsx&amp;sheet=U0&amp;row=5985&amp;col=6&amp;number=3.1&amp;sourceID=14","3.1")</f>
        <v>3.1</v>
      </c>
      <c r="G5985" s="4" t="str">
        <f>HYPERLINK("http://141.218.60.56/~jnz1568/getInfo.php?workbook=14_04.xlsx&amp;sheet=U0&amp;row=5985&amp;col=7&amp;number=0.318&amp;sourceID=14","0.318")</f>
        <v>0.318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HYPERLINK("http://141.218.60.56/~jnz1568/getInfo.php?workbook=14_04.xlsx&amp;sheet=U0&amp;row=5986&amp;col=6&amp;number=3.2&amp;sourceID=14","3.2")</f>
        <v>3.2</v>
      </c>
      <c r="G5986" s="4" t="str">
        <f>HYPERLINK("http://141.218.60.56/~jnz1568/getInfo.php?workbook=14_04.xlsx&amp;sheet=U0&amp;row=5986&amp;col=7&amp;number=0.318&amp;sourceID=14","0.318")</f>
        <v>0.318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HYPERLINK("http://141.218.60.56/~jnz1568/getInfo.php?workbook=14_04.xlsx&amp;sheet=U0&amp;row=5987&amp;col=6&amp;number=3.3&amp;sourceID=14","3.3")</f>
        <v>3.3</v>
      </c>
      <c r="G5987" s="4" t="str">
        <f>HYPERLINK("http://141.218.60.56/~jnz1568/getInfo.php?workbook=14_04.xlsx&amp;sheet=U0&amp;row=5987&amp;col=7&amp;number=0.318&amp;sourceID=14","0.318")</f>
        <v>0.318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HYPERLINK("http://141.218.60.56/~jnz1568/getInfo.php?workbook=14_04.xlsx&amp;sheet=U0&amp;row=5988&amp;col=6&amp;number=3.4&amp;sourceID=14","3.4")</f>
        <v>3.4</v>
      </c>
      <c r="G5988" s="4" t="str">
        <f>HYPERLINK("http://141.218.60.56/~jnz1568/getInfo.php?workbook=14_04.xlsx&amp;sheet=U0&amp;row=5988&amp;col=7&amp;number=0.318&amp;sourceID=14","0.318")</f>
        <v>0.318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HYPERLINK("http://141.218.60.56/~jnz1568/getInfo.php?workbook=14_04.xlsx&amp;sheet=U0&amp;row=5989&amp;col=6&amp;number=3.5&amp;sourceID=14","3.5")</f>
        <v>3.5</v>
      </c>
      <c r="G5989" s="4" t="str">
        <f>HYPERLINK("http://141.218.60.56/~jnz1568/getInfo.php?workbook=14_04.xlsx&amp;sheet=U0&amp;row=5989&amp;col=7&amp;number=0.318&amp;sourceID=14","0.318")</f>
        <v>0.318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HYPERLINK("http://141.218.60.56/~jnz1568/getInfo.php?workbook=14_04.xlsx&amp;sheet=U0&amp;row=5990&amp;col=6&amp;number=3.6&amp;sourceID=14","3.6")</f>
        <v>3.6</v>
      </c>
      <c r="G5990" s="4" t="str">
        <f>HYPERLINK("http://141.218.60.56/~jnz1568/getInfo.php?workbook=14_04.xlsx&amp;sheet=U0&amp;row=5990&amp;col=7&amp;number=0.318&amp;sourceID=14","0.318")</f>
        <v>0.318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HYPERLINK("http://141.218.60.56/~jnz1568/getInfo.php?workbook=14_04.xlsx&amp;sheet=U0&amp;row=5991&amp;col=6&amp;number=3.7&amp;sourceID=14","3.7")</f>
        <v>3.7</v>
      </c>
      <c r="G5991" s="4" t="str">
        <f>HYPERLINK("http://141.218.60.56/~jnz1568/getInfo.php?workbook=14_04.xlsx&amp;sheet=U0&amp;row=5991&amp;col=7&amp;number=0.318&amp;sourceID=14","0.318")</f>
        <v>0.318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HYPERLINK("http://141.218.60.56/~jnz1568/getInfo.php?workbook=14_04.xlsx&amp;sheet=U0&amp;row=5992&amp;col=6&amp;number=3.8&amp;sourceID=14","3.8")</f>
        <v>3.8</v>
      </c>
      <c r="G5992" s="4" t="str">
        <f>HYPERLINK("http://141.218.60.56/~jnz1568/getInfo.php?workbook=14_04.xlsx&amp;sheet=U0&amp;row=5992&amp;col=7&amp;number=0.318&amp;sourceID=14","0.318")</f>
        <v>0.318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HYPERLINK("http://141.218.60.56/~jnz1568/getInfo.php?workbook=14_04.xlsx&amp;sheet=U0&amp;row=5993&amp;col=6&amp;number=3.9&amp;sourceID=14","3.9")</f>
        <v>3.9</v>
      </c>
      <c r="G5993" s="4" t="str">
        <f>HYPERLINK("http://141.218.60.56/~jnz1568/getInfo.php?workbook=14_04.xlsx&amp;sheet=U0&amp;row=5993&amp;col=7&amp;number=0.319&amp;sourceID=14","0.319")</f>
        <v>0.319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HYPERLINK("http://141.218.60.56/~jnz1568/getInfo.php?workbook=14_04.xlsx&amp;sheet=U0&amp;row=5994&amp;col=6&amp;number=4&amp;sourceID=14","4")</f>
        <v>4</v>
      </c>
      <c r="G5994" s="4" t="str">
        <f>HYPERLINK("http://141.218.60.56/~jnz1568/getInfo.php?workbook=14_04.xlsx&amp;sheet=U0&amp;row=5994&amp;col=7&amp;number=0.319&amp;sourceID=14","0.319")</f>
        <v>0.319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HYPERLINK("http://141.218.60.56/~jnz1568/getInfo.php?workbook=14_04.xlsx&amp;sheet=U0&amp;row=5995&amp;col=6&amp;number=4.1&amp;sourceID=14","4.1")</f>
        <v>4.1</v>
      </c>
      <c r="G5995" s="4" t="str">
        <f>HYPERLINK("http://141.218.60.56/~jnz1568/getInfo.php?workbook=14_04.xlsx&amp;sheet=U0&amp;row=5995&amp;col=7&amp;number=0.319&amp;sourceID=14","0.319")</f>
        <v>0.319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HYPERLINK("http://141.218.60.56/~jnz1568/getInfo.php?workbook=14_04.xlsx&amp;sheet=U0&amp;row=5996&amp;col=6&amp;number=4.2&amp;sourceID=14","4.2")</f>
        <v>4.2</v>
      </c>
      <c r="G5996" s="4" t="str">
        <f>HYPERLINK("http://141.218.60.56/~jnz1568/getInfo.php?workbook=14_04.xlsx&amp;sheet=U0&amp;row=5996&amp;col=7&amp;number=0.319&amp;sourceID=14","0.319")</f>
        <v>0.319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HYPERLINK("http://141.218.60.56/~jnz1568/getInfo.php?workbook=14_04.xlsx&amp;sheet=U0&amp;row=5997&amp;col=6&amp;number=4.3&amp;sourceID=14","4.3")</f>
        <v>4.3</v>
      </c>
      <c r="G5997" s="4" t="str">
        <f>HYPERLINK("http://141.218.60.56/~jnz1568/getInfo.php?workbook=14_04.xlsx&amp;sheet=U0&amp;row=5997&amp;col=7&amp;number=0.32&amp;sourceID=14","0.32")</f>
        <v>0.32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HYPERLINK("http://141.218.60.56/~jnz1568/getInfo.php?workbook=14_04.xlsx&amp;sheet=U0&amp;row=5998&amp;col=6&amp;number=4.4&amp;sourceID=14","4.4")</f>
        <v>4.4</v>
      </c>
      <c r="G5998" s="4" t="str">
        <f>HYPERLINK("http://141.218.60.56/~jnz1568/getInfo.php?workbook=14_04.xlsx&amp;sheet=U0&amp;row=5998&amp;col=7&amp;number=0.32&amp;sourceID=14","0.32")</f>
        <v>0.32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HYPERLINK("http://141.218.60.56/~jnz1568/getInfo.php?workbook=14_04.xlsx&amp;sheet=U0&amp;row=5999&amp;col=6&amp;number=4.5&amp;sourceID=14","4.5")</f>
        <v>4.5</v>
      </c>
      <c r="G5999" s="4" t="str">
        <f>HYPERLINK("http://141.218.60.56/~jnz1568/getInfo.php?workbook=14_04.xlsx&amp;sheet=U0&amp;row=5999&amp;col=7&amp;number=0.321&amp;sourceID=14","0.321")</f>
        <v>0.321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HYPERLINK("http://141.218.60.56/~jnz1568/getInfo.php?workbook=14_04.xlsx&amp;sheet=U0&amp;row=6000&amp;col=6&amp;number=4.6&amp;sourceID=14","4.6")</f>
        <v>4.6</v>
      </c>
      <c r="G6000" s="4" t="str">
        <f>HYPERLINK("http://141.218.60.56/~jnz1568/getInfo.php?workbook=14_04.xlsx&amp;sheet=U0&amp;row=6000&amp;col=7&amp;number=0.321&amp;sourceID=14","0.321")</f>
        <v>0.321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HYPERLINK("http://141.218.60.56/~jnz1568/getInfo.php?workbook=14_04.xlsx&amp;sheet=U0&amp;row=6001&amp;col=6&amp;number=4.7&amp;sourceID=14","4.7")</f>
        <v>4.7</v>
      </c>
      <c r="G6001" s="4" t="str">
        <f>HYPERLINK("http://141.218.60.56/~jnz1568/getInfo.php?workbook=14_04.xlsx&amp;sheet=U0&amp;row=6001&amp;col=7&amp;number=0.322&amp;sourceID=14","0.322")</f>
        <v>0.322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HYPERLINK("http://141.218.60.56/~jnz1568/getInfo.php?workbook=14_04.xlsx&amp;sheet=U0&amp;row=6002&amp;col=6&amp;number=4.8&amp;sourceID=14","4.8")</f>
        <v>4.8</v>
      </c>
      <c r="G6002" s="4" t="str">
        <f>HYPERLINK("http://141.218.60.56/~jnz1568/getInfo.php?workbook=14_04.xlsx&amp;sheet=U0&amp;row=6002&amp;col=7&amp;number=0.323&amp;sourceID=14","0.323")</f>
        <v>0.323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HYPERLINK("http://141.218.60.56/~jnz1568/getInfo.php?workbook=14_04.xlsx&amp;sheet=U0&amp;row=6003&amp;col=6&amp;number=4.9&amp;sourceID=14","4.9")</f>
        <v>4.9</v>
      </c>
      <c r="G6003" s="4" t="str">
        <f>HYPERLINK("http://141.218.60.56/~jnz1568/getInfo.php?workbook=14_04.xlsx&amp;sheet=U0&amp;row=6003&amp;col=7&amp;number=0.325&amp;sourceID=14","0.325")</f>
        <v>0.325</v>
      </c>
    </row>
    <row r="6004" spans="1:7">
      <c r="A6004" s="3">
        <v>14</v>
      </c>
      <c r="B6004" s="3">
        <v>4</v>
      </c>
      <c r="C6004" s="3">
        <v>4</v>
      </c>
      <c r="D6004" s="3">
        <v>20</v>
      </c>
      <c r="E6004" s="3">
        <v>1</v>
      </c>
      <c r="F6004" s="4" t="str">
        <f>HYPERLINK("http://141.218.60.56/~jnz1568/getInfo.php?workbook=14_04.xlsx&amp;sheet=U0&amp;row=6004&amp;col=6&amp;number=3&amp;sourceID=14","3")</f>
        <v>3</v>
      </c>
      <c r="G6004" s="4" t="str">
        <f>HYPERLINK("http://141.218.60.56/~jnz1568/getInfo.php?workbook=14_04.xlsx&amp;sheet=U0&amp;row=6004&amp;col=7&amp;number=0.0551&amp;sourceID=14","0.0551")</f>
        <v>0.0551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HYPERLINK("http://141.218.60.56/~jnz1568/getInfo.php?workbook=14_04.xlsx&amp;sheet=U0&amp;row=6005&amp;col=6&amp;number=3.1&amp;sourceID=14","3.1")</f>
        <v>3.1</v>
      </c>
      <c r="G6005" s="4" t="str">
        <f>HYPERLINK("http://141.218.60.56/~jnz1568/getInfo.php?workbook=14_04.xlsx&amp;sheet=U0&amp;row=6005&amp;col=7&amp;number=0.0551&amp;sourceID=14","0.0551")</f>
        <v>0.0551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HYPERLINK("http://141.218.60.56/~jnz1568/getInfo.php?workbook=14_04.xlsx&amp;sheet=U0&amp;row=6006&amp;col=6&amp;number=3.2&amp;sourceID=14","3.2")</f>
        <v>3.2</v>
      </c>
      <c r="G6006" s="4" t="str">
        <f>HYPERLINK("http://141.218.60.56/~jnz1568/getInfo.php?workbook=14_04.xlsx&amp;sheet=U0&amp;row=6006&amp;col=7&amp;number=0.0551&amp;sourceID=14","0.0551")</f>
        <v>0.0551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HYPERLINK("http://141.218.60.56/~jnz1568/getInfo.php?workbook=14_04.xlsx&amp;sheet=U0&amp;row=6007&amp;col=6&amp;number=3.3&amp;sourceID=14","3.3")</f>
        <v>3.3</v>
      </c>
      <c r="G6007" s="4" t="str">
        <f>HYPERLINK("http://141.218.60.56/~jnz1568/getInfo.php?workbook=14_04.xlsx&amp;sheet=U0&amp;row=6007&amp;col=7&amp;number=0.0551&amp;sourceID=14","0.0551")</f>
        <v>0.0551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HYPERLINK("http://141.218.60.56/~jnz1568/getInfo.php?workbook=14_04.xlsx&amp;sheet=U0&amp;row=6008&amp;col=6&amp;number=3.4&amp;sourceID=14","3.4")</f>
        <v>3.4</v>
      </c>
      <c r="G6008" s="4" t="str">
        <f>HYPERLINK("http://141.218.60.56/~jnz1568/getInfo.php?workbook=14_04.xlsx&amp;sheet=U0&amp;row=6008&amp;col=7&amp;number=0.0551&amp;sourceID=14","0.0551")</f>
        <v>0.0551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HYPERLINK("http://141.218.60.56/~jnz1568/getInfo.php?workbook=14_04.xlsx&amp;sheet=U0&amp;row=6009&amp;col=6&amp;number=3.5&amp;sourceID=14","3.5")</f>
        <v>3.5</v>
      </c>
      <c r="G6009" s="4" t="str">
        <f>HYPERLINK("http://141.218.60.56/~jnz1568/getInfo.php?workbook=14_04.xlsx&amp;sheet=U0&amp;row=6009&amp;col=7&amp;number=0.055&amp;sourceID=14","0.055")</f>
        <v>0.055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HYPERLINK("http://141.218.60.56/~jnz1568/getInfo.php?workbook=14_04.xlsx&amp;sheet=U0&amp;row=6010&amp;col=6&amp;number=3.6&amp;sourceID=14","3.6")</f>
        <v>3.6</v>
      </c>
      <c r="G6010" s="4" t="str">
        <f>HYPERLINK("http://141.218.60.56/~jnz1568/getInfo.php?workbook=14_04.xlsx&amp;sheet=U0&amp;row=6010&amp;col=7&amp;number=0.055&amp;sourceID=14","0.055")</f>
        <v>0.055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HYPERLINK("http://141.218.60.56/~jnz1568/getInfo.php?workbook=14_04.xlsx&amp;sheet=U0&amp;row=6011&amp;col=6&amp;number=3.7&amp;sourceID=14","3.7")</f>
        <v>3.7</v>
      </c>
      <c r="G6011" s="4" t="str">
        <f>HYPERLINK("http://141.218.60.56/~jnz1568/getInfo.php?workbook=14_04.xlsx&amp;sheet=U0&amp;row=6011&amp;col=7&amp;number=0.055&amp;sourceID=14","0.055")</f>
        <v>0.055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HYPERLINK("http://141.218.60.56/~jnz1568/getInfo.php?workbook=14_04.xlsx&amp;sheet=U0&amp;row=6012&amp;col=6&amp;number=3.8&amp;sourceID=14","3.8")</f>
        <v>3.8</v>
      </c>
      <c r="G6012" s="4" t="str">
        <f>HYPERLINK("http://141.218.60.56/~jnz1568/getInfo.php?workbook=14_04.xlsx&amp;sheet=U0&amp;row=6012&amp;col=7&amp;number=0.0549&amp;sourceID=14","0.0549")</f>
        <v>0.0549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HYPERLINK("http://141.218.60.56/~jnz1568/getInfo.php?workbook=14_04.xlsx&amp;sheet=U0&amp;row=6013&amp;col=6&amp;number=3.9&amp;sourceID=14","3.9")</f>
        <v>3.9</v>
      </c>
      <c r="G6013" s="4" t="str">
        <f>HYPERLINK("http://141.218.60.56/~jnz1568/getInfo.php?workbook=14_04.xlsx&amp;sheet=U0&amp;row=6013&amp;col=7&amp;number=0.0549&amp;sourceID=14","0.0549")</f>
        <v>0.0549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HYPERLINK("http://141.218.60.56/~jnz1568/getInfo.php?workbook=14_04.xlsx&amp;sheet=U0&amp;row=6014&amp;col=6&amp;number=4&amp;sourceID=14","4")</f>
        <v>4</v>
      </c>
      <c r="G6014" s="4" t="str">
        <f>HYPERLINK("http://141.218.60.56/~jnz1568/getInfo.php?workbook=14_04.xlsx&amp;sheet=U0&amp;row=6014&amp;col=7&amp;number=0.0548&amp;sourceID=14","0.0548")</f>
        <v>0.0548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HYPERLINK("http://141.218.60.56/~jnz1568/getInfo.php?workbook=14_04.xlsx&amp;sheet=U0&amp;row=6015&amp;col=6&amp;number=4.1&amp;sourceID=14","4.1")</f>
        <v>4.1</v>
      </c>
      <c r="G6015" s="4" t="str">
        <f>HYPERLINK("http://141.218.60.56/~jnz1568/getInfo.php?workbook=14_04.xlsx&amp;sheet=U0&amp;row=6015&amp;col=7&amp;number=0.0548&amp;sourceID=14","0.0548")</f>
        <v>0.0548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HYPERLINK("http://141.218.60.56/~jnz1568/getInfo.php?workbook=14_04.xlsx&amp;sheet=U0&amp;row=6016&amp;col=6&amp;number=4.2&amp;sourceID=14","4.2")</f>
        <v>4.2</v>
      </c>
      <c r="G6016" s="4" t="str">
        <f>HYPERLINK("http://141.218.60.56/~jnz1568/getInfo.php?workbook=14_04.xlsx&amp;sheet=U0&amp;row=6016&amp;col=7&amp;number=0.0547&amp;sourceID=14","0.0547")</f>
        <v>0.0547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HYPERLINK("http://141.218.60.56/~jnz1568/getInfo.php?workbook=14_04.xlsx&amp;sheet=U0&amp;row=6017&amp;col=6&amp;number=4.3&amp;sourceID=14","4.3")</f>
        <v>4.3</v>
      </c>
      <c r="G6017" s="4" t="str">
        <f>HYPERLINK("http://141.218.60.56/~jnz1568/getInfo.php?workbook=14_04.xlsx&amp;sheet=U0&amp;row=6017&amp;col=7&amp;number=0.0546&amp;sourceID=14","0.0546")</f>
        <v>0.0546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HYPERLINK("http://141.218.60.56/~jnz1568/getInfo.php?workbook=14_04.xlsx&amp;sheet=U0&amp;row=6018&amp;col=6&amp;number=4.4&amp;sourceID=14","4.4")</f>
        <v>4.4</v>
      </c>
      <c r="G6018" s="4" t="str">
        <f>HYPERLINK("http://141.218.60.56/~jnz1568/getInfo.php?workbook=14_04.xlsx&amp;sheet=U0&amp;row=6018&amp;col=7&amp;number=0.0544&amp;sourceID=14","0.0544")</f>
        <v>0.0544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HYPERLINK("http://141.218.60.56/~jnz1568/getInfo.php?workbook=14_04.xlsx&amp;sheet=U0&amp;row=6019&amp;col=6&amp;number=4.5&amp;sourceID=14","4.5")</f>
        <v>4.5</v>
      </c>
      <c r="G6019" s="4" t="str">
        <f>HYPERLINK("http://141.218.60.56/~jnz1568/getInfo.php?workbook=14_04.xlsx&amp;sheet=U0&amp;row=6019&amp;col=7&amp;number=0.0543&amp;sourceID=14","0.0543")</f>
        <v>0.0543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HYPERLINK("http://141.218.60.56/~jnz1568/getInfo.php?workbook=14_04.xlsx&amp;sheet=U0&amp;row=6020&amp;col=6&amp;number=4.6&amp;sourceID=14","4.6")</f>
        <v>4.6</v>
      </c>
      <c r="G6020" s="4" t="str">
        <f>HYPERLINK("http://141.218.60.56/~jnz1568/getInfo.php?workbook=14_04.xlsx&amp;sheet=U0&amp;row=6020&amp;col=7&amp;number=0.054&amp;sourceID=14","0.054")</f>
        <v>0.054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HYPERLINK("http://141.218.60.56/~jnz1568/getInfo.php?workbook=14_04.xlsx&amp;sheet=U0&amp;row=6021&amp;col=6&amp;number=4.7&amp;sourceID=14","4.7")</f>
        <v>4.7</v>
      </c>
      <c r="G6021" s="4" t="str">
        <f>HYPERLINK("http://141.218.60.56/~jnz1568/getInfo.php?workbook=14_04.xlsx&amp;sheet=U0&amp;row=6021&amp;col=7&amp;number=0.0538&amp;sourceID=14","0.0538")</f>
        <v>0.0538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HYPERLINK("http://141.218.60.56/~jnz1568/getInfo.php?workbook=14_04.xlsx&amp;sheet=U0&amp;row=6022&amp;col=6&amp;number=4.8&amp;sourceID=14","4.8")</f>
        <v>4.8</v>
      </c>
      <c r="G6022" s="4" t="str">
        <f>HYPERLINK("http://141.218.60.56/~jnz1568/getInfo.php?workbook=14_04.xlsx&amp;sheet=U0&amp;row=6022&amp;col=7&amp;number=0.0534&amp;sourceID=14","0.0534")</f>
        <v>0.0534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HYPERLINK("http://141.218.60.56/~jnz1568/getInfo.php?workbook=14_04.xlsx&amp;sheet=U0&amp;row=6023&amp;col=6&amp;number=4.9&amp;sourceID=14","4.9")</f>
        <v>4.9</v>
      </c>
      <c r="G6023" s="4" t="str">
        <f>HYPERLINK("http://141.218.60.56/~jnz1568/getInfo.php?workbook=14_04.xlsx&amp;sheet=U0&amp;row=6023&amp;col=7&amp;number=0.053&amp;sourceID=14","0.053")</f>
        <v>0.053</v>
      </c>
    </row>
    <row r="6024" spans="1:7">
      <c r="A6024" s="3">
        <v>14</v>
      </c>
      <c r="B6024" s="3">
        <v>4</v>
      </c>
      <c r="C6024" s="3">
        <v>4</v>
      </c>
      <c r="D6024" s="3">
        <v>21</v>
      </c>
      <c r="E6024" s="3">
        <v>1</v>
      </c>
      <c r="F6024" s="4" t="str">
        <f>HYPERLINK("http://141.218.60.56/~jnz1568/getInfo.php?workbook=14_04.xlsx&amp;sheet=U0&amp;row=6024&amp;col=6&amp;number=3&amp;sourceID=14","3")</f>
        <v>3</v>
      </c>
      <c r="G6024" s="4" t="str">
        <f>HYPERLINK("http://141.218.60.56/~jnz1568/getInfo.php?workbook=14_04.xlsx&amp;sheet=U0&amp;row=6024&amp;col=7&amp;number=0.00014&amp;sourceID=14","0.00014")</f>
        <v>0.00014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HYPERLINK("http://141.218.60.56/~jnz1568/getInfo.php?workbook=14_04.xlsx&amp;sheet=U0&amp;row=6025&amp;col=6&amp;number=3.1&amp;sourceID=14","3.1")</f>
        <v>3.1</v>
      </c>
      <c r="G6025" s="4" t="str">
        <f>HYPERLINK("http://141.218.60.56/~jnz1568/getInfo.php?workbook=14_04.xlsx&amp;sheet=U0&amp;row=6025&amp;col=7&amp;number=0.00014&amp;sourceID=14","0.00014")</f>
        <v>0.00014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HYPERLINK("http://141.218.60.56/~jnz1568/getInfo.php?workbook=14_04.xlsx&amp;sheet=U0&amp;row=6026&amp;col=6&amp;number=3.2&amp;sourceID=14","3.2")</f>
        <v>3.2</v>
      </c>
      <c r="G6026" s="4" t="str">
        <f>HYPERLINK("http://141.218.60.56/~jnz1568/getInfo.php?workbook=14_04.xlsx&amp;sheet=U0&amp;row=6026&amp;col=7&amp;number=0.00014&amp;sourceID=14","0.00014")</f>
        <v>0.00014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HYPERLINK("http://141.218.60.56/~jnz1568/getInfo.php?workbook=14_04.xlsx&amp;sheet=U0&amp;row=6027&amp;col=6&amp;number=3.3&amp;sourceID=14","3.3")</f>
        <v>3.3</v>
      </c>
      <c r="G6027" s="4" t="str">
        <f>HYPERLINK("http://141.218.60.56/~jnz1568/getInfo.php?workbook=14_04.xlsx&amp;sheet=U0&amp;row=6027&amp;col=7&amp;number=0.00014&amp;sourceID=14","0.00014")</f>
        <v>0.00014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HYPERLINK("http://141.218.60.56/~jnz1568/getInfo.php?workbook=14_04.xlsx&amp;sheet=U0&amp;row=6028&amp;col=6&amp;number=3.4&amp;sourceID=14","3.4")</f>
        <v>3.4</v>
      </c>
      <c r="G6028" s="4" t="str">
        <f>HYPERLINK("http://141.218.60.56/~jnz1568/getInfo.php?workbook=14_04.xlsx&amp;sheet=U0&amp;row=6028&amp;col=7&amp;number=0.00014&amp;sourceID=14","0.00014")</f>
        <v>0.00014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HYPERLINK("http://141.218.60.56/~jnz1568/getInfo.php?workbook=14_04.xlsx&amp;sheet=U0&amp;row=6029&amp;col=6&amp;number=3.5&amp;sourceID=14","3.5")</f>
        <v>3.5</v>
      </c>
      <c r="G6029" s="4" t="str">
        <f>HYPERLINK("http://141.218.60.56/~jnz1568/getInfo.php?workbook=14_04.xlsx&amp;sheet=U0&amp;row=6029&amp;col=7&amp;number=0.00014&amp;sourceID=14","0.00014")</f>
        <v>0.00014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HYPERLINK("http://141.218.60.56/~jnz1568/getInfo.php?workbook=14_04.xlsx&amp;sheet=U0&amp;row=6030&amp;col=6&amp;number=3.6&amp;sourceID=14","3.6")</f>
        <v>3.6</v>
      </c>
      <c r="G6030" s="4" t="str">
        <f>HYPERLINK("http://141.218.60.56/~jnz1568/getInfo.php?workbook=14_04.xlsx&amp;sheet=U0&amp;row=6030&amp;col=7&amp;number=0.00014&amp;sourceID=14","0.00014")</f>
        <v>0.00014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HYPERLINK("http://141.218.60.56/~jnz1568/getInfo.php?workbook=14_04.xlsx&amp;sheet=U0&amp;row=6031&amp;col=6&amp;number=3.7&amp;sourceID=14","3.7")</f>
        <v>3.7</v>
      </c>
      <c r="G6031" s="4" t="str">
        <f>HYPERLINK("http://141.218.60.56/~jnz1568/getInfo.php?workbook=14_04.xlsx&amp;sheet=U0&amp;row=6031&amp;col=7&amp;number=0.00014&amp;sourceID=14","0.00014")</f>
        <v>0.00014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HYPERLINK("http://141.218.60.56/~jnz1568/getInfo.php?workbook=14_04.xlsx&amp;sheet=U0&amp;row=6032&amp;col=6&amp;number=3.8&amp;sourceID=14","3.8")</f>
        <v>3.8</v>
      </c>
      <c r="G6032" s="4" t="str">
        <f>HYPERLINK("http://141.218.60.56/~jnz1568/getInfo.php?workbook=14_04.xlsx&amp;sheet=U0&amp;row=6032&amp;col=7&amp;number=0.00014&amp;sourceID=14","0.00014")</f>
        <v>0.00014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HYPERLINK("http://141.218.60.56/~jnz1568/getInfo.php?workbook=14_04.xlsx&amp;sheet=U0&amp;row=6033&amp;col=6&amp;number=3.9&amp;sourceID=14","3.9")</f>
        <v>3.9</v>
      </c>
      <c r="G6033" s="4" t="str">
        <f>HYPERLINK("http://141.218.60.56/~jnz1568/getInfo.php?workbook=14_04.xlsx&amp;sheet=U0&amp;row=6033&amp;col=7&amp;number=0.00014&amp;sourceID=14","0.00014")</f>
        <v>0.00014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HYPERLINK("http://141.218.60.56/~jnz1568/getInfo.php?workbook=14_04.xlsx&amp;sheet=U0&amp;row=6034&amp;col=6&amp;number=4&amp;sourceID=14","4")</f>
        <v>4</v>
      </c>
      <c r="G6034" s="4" t="str">
        <f>HYPERLINK("http://141.218.60.56/~jnz1568/getInfo.php?workbook=14_04.xlsx&amp;sheet=U0&amp;row=6034&amp;col=7&amp;number=0.00014&amp;sourceID=14","0.00014")</f>
        <v>0.00014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HYPERLINK("http://141.218.60.56/~jnz1568/getInfo.php?workbook=14_04.xlsx&amp;sheet=U0&amp;row=6035&amp;col=6&amp;number=4.1&amp;sourceID=14","4.1")</f>
        <v>4.1</v>
      </c>
      <c r="G6035" s="4" t="str">
        <f>HYPERLINK("http://141.218.60.56/~jnz1568/getInfo.php?workbook=14_04.xlsx&amp;sheet=U0&amp;row=6035&amp;col=7&amp;number=0.00014&amp;sourceID=14","0.00014")</f>
        <v>0.00014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HYPERLINK("http://141.218.60.56/~jnz1568/getInfo.php?workbook=14_04.xlsx&amp;sheet=U0&amp;row=6036&amp;col=6&amp;number=4.2&amp;sourceID=14","4.2")</f>
        <v>4.2</v>
      </c>
      <c r="G6036" s="4" t="str">
        <f>HYPERLINK("http://141.218.60.56/~jnz1568/getInfo.php?workbook=14_04.xlsx&amp;sheet=U0&amp;row=6036&amp;col=7&amp;number=0.00014&amp;sourceID=14","0.00014")</f>
        <v>0.00014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HYPERLINK("http://141.218.60.56/~jnz1568/getInfo.php?workbook=14_04.xlsx&amp;sheet=U0&amp;row=6037&amp;col=6&amp;number=4.3&amp;sourceID=14","4.3")</f>
        <v>4.3</v>
      </c>
      <c r="G6037" s="4" t="str">
        <f>HYPERLINK("http://141.218.60.56/~jnz1568/getInfo.php?workbook=14_04.xlsx&amp;sheet=U0&amp;row=6037&amp;col=7&amp;number=0.00014&amp;sourceID=14","0.00014")</f>
        <v>0.00014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HYPERLINK("http://141.218.60.56/~jnz1568/getInfo.php?workbook=14_04.xlsx&amp;sheet=U0&amp;row=6038&amp;col=6&amp;number=4.4&amp;sourceID=14","4.4")</f>
        <v>4.4</v>
      </c>
      <c r="G6038" s="4" t="str">
        <f>HYPERLINK("http://141.218.60.56/~jnz1568/getInfo.php?workbook=14_04.xlsx&amp;sheet=U0&amp;row=6038&amp;col=7&amp;number=0.00014&amp;sourceID=14","0.00014")</f>
        <v>0.00014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HYPERLINK("http://141.218.60.56/~jnz1568/getInfo.php?workbook=14_04.xlsx&amp;sheet=U0&amp;row=6039&amp;col=6&amp;number=4.5&amp;sourceID=14","4.5")</f>
        <v>4.5</v>
      </c>
      <c r="G6039" s="4" t="str">
        <f>HYPERLINK("http://141.218.60.56/~jnz1568/getInfo.php?workbook=14_04.xlsx&amp;sheet=U0&amp;row=6039&amp;col=7&amp;number=0.00014&amp;sourceID=14","0.00014")</f>
        <v>0.00014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HYPERLINK("http://141.218.60.56/~jnz1568/getInfo.php?workbook=14_04.xlsx&amp;sheet=U0&amp;row=6040&amp;col=6&amp;number=4.6&amp;sourceID=14","4.6")</f>
        <v>4.6</v>
      </c>
      <c r="G6040" s="4" t="str">
        <f>HYPERLINK("http://141.218.60.56/~jnz1568/getInfo.php?workbook=14_04.xlsx&amp;sheet=U0&amp;row=6040&amp;col=7&amp;number=0.00014&amp;sourceID=14","0.00014")</f>
        <v>0.00014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HYPERLINK("http://141.218.60.56/~jnz1568/getInfo.php?workbook=14_04.xlsx&amp;sheet=U0&amp;row=6041&amp;col=6&amp;number=4.7&amp;sourceID=14","4.7")</f>
        <v>4.7</v>
      </c>
      <c r="G6041" s="4" t="str">
        <f>HYPERLINK("http://141.218.60.56/~jnz1568/getInfo.php?workbook=14_04.xlsx&amp;sheet=U0&amp;row=6041&amp;col=7&amp;number=0.00014&amp;sourceID=14","0.00014")</f>
        <v>0.00014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HYPERLINK("http://141.218.60.56/~jnz1568/getInfo.php?workbook=14_04.xlsx&amp;sheet=U0&amp;row=6042&amp;col=6&amp;number=4.8&amp;sourceID=14","4.8")</f>
        <v>4.8</v>
      </c>
      <c r="G6042" s="4" t="str">
        <f>HYPERLINK("http://141.218.60.56/~jnz1568/getInfo.php?workbook=14_04.xlsx&amp;sheet=U0&amp;row=6042&amp;col=7&amp;number=0.00014&amp;sourceID=14","0.00014")</f>
        <v>0.00014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HYPERLINK("http://141.218.60.56/~jnz1568/getInfo.php?workbook=14_04.xlsx&amp;sheet=U0&amp;row=6043&amp;col=6&amp;number=4.9&amp;sourceID=14","4.9")</f>
        <v>4.9</v>
      </c>
      <c r="G6043" s="4" t="str">
        <f>HYPERLINK("http://141.218.60.56/~jnz1568/getInfo.php?workbook=14_04.xlsx&amp;sheet=U0&amp;row=6043&amp;col=7&amp;number=0.000141&amp;sourceID=14","0.000141")</f>
        <v>0.000141</v>
      </c>
    </row>
    <row r="6044" spans="1:7">
      <c r="A6044" s="3">
        <v>14</v>
      </c>
      <c r="B6044" s="3">
        <v>4</v>
      </c>
      <c r="C6044" s="3">
        <v>4</v>
      </c>
      <c r="D6044" s="3">
        <v>22</v>
      </c>
      <c r="E6044" s="3">
        <v>1</v>
      </c>
      <c r="F6044" s="4" t="str">
        <f>HYPERLINK("http://141.218.60.56/~jnz1568/getInfo.php?workbook=14_04.xlsx&amp;sheet=U0&amp;row=6044&amp;col=6&amp;number=3&amp;sourceID=14","3")</f>
        <v>3</v>
      </c>
      <c r="G6044" s="4" t="str">
        <f>HYPERLINK("http://141.218.60.56/~jnz1568/getInfo.php?workbook=14_04.xlsx&amp;sheet=U0&amp;row=6044&amp;col=7&amp;number=0.00146&amp;sourceID=14","0.00146")</f>
        <v>0.00146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HYPERLINK("http://141.218.60.56/~jnz1568/getInfo.php?workbook=14_04.xlsx&amp;sheet=U0&amp;row=6045&amp;col=6&amp;number=3.1&amp;sourceID=14","3.1")</f>
        <v>3.1</v>
      </c>
      <c r="G6045" s="4" t="str">
        <f>HYPERLINK("http://141.218.60.56/~jnz1568/getInfo.php?workbook=14_04.xlsx&amp;sheet=U0&amp;row=6045&amp;col=7&amp;number=0.00146&amp;sourceID=14","0.00146")</f>
        <v>0.00146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HYPERLINK("http://141.218.60.56/~jnz1568/getInfo.php?workbook=14_04.xlsx&amp;sheet=U0&amp;row=6046&amp;col=6&amp;number=3.2&amp;sourceID=14","3.2")</f>
        <v>3.2</v>
      </c>
      <c r="G6046" s="4" t="str">
        <f>HYPERLINK("http://141.218.60.56/~jnz1568/getInfo.php?workbook=14_04.xlsx&amp;sheet=U0&amp;row=6046&amp;col=7&amp;number=0.00146&amp;sourceID=14","0.00146")</f>
        <v>0.00146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HYPERLINK("http://141.218.60.56/~jnz1568/getInfo.php?workbook=14_04.xlsx&amp;sheet=U0&amp;row=6047&amp;col=6&amp;number=3.3&amp;sourceID=14","3.3")</f>
        <v>3.3</v>
      </c>
      <c r="G6047" s="4" t="str">
        <f>HYPERLINK("http://141.218.60.56/~jnz1568/getInfo.php?workbook=14_04.xlsx&amp;sheet=U0&amp;row=6047&amp;col=7&amp;number=0.00146&amp;sourceID=14","0.00146")</f>
        <v>0.00146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HYPERLINK("http://141.218.60.56/~jnz1568/getInfo.php?workbook=14_04.xlsx&amp;sheet=U0&amp;row=6048&amp;col=6&amp;number=3.4&amp;sourceID=14","3.4")</f>
        <v>3.4</v>
      </c>
      <c r="G6048" s="4" t="str">
        <f>HYPERLINK("http://141.218.60.56/~jnz1568/getInfo.php?workbook=14_04.xlsx&amp;sheet=U0&amp;row=6048&amp;col=7&amp;number=0.00146&amp;sourceID=14","0.00146")</f>
        <v>0.00146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HYPERLINK("http://141.218.60.56/~jnz1568/getInfo.php?workbook=14_04.xlsx&amp;sheet=U0&amp;row=6049&amp;col=6&amp;number=3.5&amp;sourceID=14","3.5")</f>
        <v>3.5</v>
      </c>
      <c r="G6049" s="4" t="str">
        <f>HYPERLINK("http://141.218.60.56/~jnz1568/getInfo.php?workbook=14_04.xlsx&amp;sheet=U0&amp;row=6049&amp;col=7&amp;number=0.00146&amp;sourceID=14","0.00146")</f>
        <v>0.00146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HYPERLINK("http://141.218.60.56/~jnz1568/getInfo.php?workbook=14_04.xlsx&amp;sheet=U0&amp;row=6050&amp;col=6&amp;number=3.6&amp;sourceID=14","3.6")</f>
        <v>3.6</v>
      </c>
      <c r="G6050" s="4" t="str">
        <f>HYPERLINK("http://141.218.60.56/~jnz1568/getInfo.php?workbook=14_04.xlsx&amp;sheet=U0&amp;row=6050&amp;col=7&amp;number=0.00146&amp;sourceID=14","0.00146")</f>
        <v>0.00146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HYPERLINK("http://141.218.60.56/~jnz1568/getInfo.php?workbook=14_04.xlsx&amp;sheet=U0&amp;row=6051&amp;col=6&amp;number=3.7&amp;sourceID=14","3.7")</f>
        <v>3.7</v>
      </c>
      <c r="G6051" s="4" t="str">
        <f>HYPERLINK("http://141.218.60.56/~jnz1568/getInfo.php?workbook=14_04.xlsx&amp;sheet=U0&amp;row=6051&amp;col=7&amp;number=0.00146&amp;sourceID=14","0.00146")</f>
        <v>0.00146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HYPERLINK("http://141.218.60.56/~jnz1568/getInfo.php?workbook=14_04.xlsx&amp;sheet=U0&amp;row=6052&amp;col=6&amp;number=3.8&amp;sourceID=14","3.8")</f>
        <v>3.8</v>
      </c>
      <c r="G6052" s="4" t="str">
        <f>HYPERLINK("http://141.218.60.56/~jnz1568/getInfo.php?workbook=14_04.xlsx&amp;sheet=U0&amp;row=6052&amp;col=7&amp;number=0.00146&amp;sourceID=14","0.00146")</f>
        <v>0.00146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HYPERLINK("http://141.218.60.56/~jnz1568/getInfo.php?workbook=14_04.xlsx&amp;sheet=U0&amp;row=6053&amp;col=6&amp;number=3.9&amp;sourceID=14","3.9")</f>
        <v>3.9</v>
      </c>
      <c r="G6053" s="4" t="str">
        <f>HYPERLINK("http://141.218.60.56/~jnz1568/getInfo.php?workbook=14_04.xlsx&amp;sheet=U0&amp;row=6053&amp;col=7&amp;number=0.00146&amp;sourceID=14","0.00146")</f>
        <v>0.00146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HYPERLINK("http://141.218.60.56/~jnz1568/getInfo.php?workbook=14_04.xlsx&amp;sheet=U0&amp;row=6054&amp;col=6&amp;number=4&amp;sourceID=14","4")</f>
        <v>4</v>
      </c>
      <c r="G6054" s="4" t="str">
        <f>HYPERLINK("http://141.218.60.56/~jnz1568/getInfo.php?workbook=14_04.xlsx&amp;sheet=U0&amp;row=6054&amp;col=7&amp;number=0.00146&amp;sourceID=14","0.00146")</f>
        <v>0.00146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HYPERLINK("http://141.218.60.56/~jnz1568/getInfo.php?workbook=14_04.xlsx&amp;sheet=U0&amp;row=6055&amp;col=6&amp;number=4.1&amp;sourceID=14","4.1")</f>
        <v>4.1</v>
      </c>
      <c r="G6055" s="4" t="str">
        <f>HYPERLINK("http://141.218.60.56/~jnz1568/getInfo.php?workbook=14_04.xlsx&amp;sheet=U0&amp;row=6055&amp;col=7&amp;number=0.00146&amp;sourceID=14","0.00146")</f>
        <v>0.00146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HYPERLINK("http://141.218.60.56/~jnz1568/getInfo.php?workbook=14_04.xlsx&amp;sheet=U0&amp;row=6056&amp;col=6&amp;number=4.2&amp;sourceID=14","4.2")</f>
        <v>4.2</v>
      </c>
      <c r="G6056" s="4" t="str">
        <f>HYPERLINK("http://141.218.60.56/~jnz1568/getInfo.php?workbook=14_04.xlsx&amp;sheet=U0&amp;row=6056&amp;col=7&amp;number=0.00146&amp;sourceID=14","0.00146")</f>
        <v>0.00146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HYPERLINK("http://141.218.60.56/~jnz1568/getInfo.php?workbook=14_04.xlsx&amp;sheet=U0&amp;row=6057&amp;col=6&amp;number=4.3&amp;sourceID=14","4.3")</f>
        <v>4.3</v>
      </c>
      <c r="G6057" s="4" t="str">
        <f>HYPERLINK("http://141.218.60.56/~jnz1568/getInfo.php?workbook=14_04.xlsx&amp;sheet=U0&amp;row=6057&amp;col=7&amp;number=0.00146&amp;sourceID=14","0.00146")</f>
        <v>0.00146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HYPERLINK("http://141.218.60.56/~jnz1568/getInfo.php?workbook=14_04.xlsx&amp;sheet=U0&amp;row=6058&amp;col=6&amp;number=4.4&amp;sourceID=14","4.4")</f>
        <v>4.4</v>
      </c>
      <c r="G6058" s="4" t="str">
        <f>HYPERLINK("http://141.218.60.56/~jnz1568/getInfo.php?workbook=14_04.xlsx&amp;sheet=U0&amp;row=6058&amp;col=7&amp;number=0.00146&amp;sourceID=14","0.00146")</f>
        <v>0.00146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HYPERLINK("http://141.218.60.56/~jnz1568/getInfo.php?workbook=14_04.xlsx&amp;sheet=U0&amp;row=6059&amp;col=6&amp;number=4.5&amp;sourceID=14","4.5")</f>
        <v>4.5</v>
      </c>
      <c r="G6059" s="4" t="str">
        <f>HYPERLINK("http://141.218.60.56/~jnz1568/getInfo.php?workbook=14_04.xlsx&amp;sheet=U0&amp;row=6059&amp;col=7&amp;number=0.00146&amp;sourceID=14","0.00146")</f>
        <v>0.00146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HYPERLINK("http://141.218.60.56/~jnz1568/getInfo.php?workbook=14_04.xlsx&amp;sheet=U0&amp;row=6060&amp;col=6&amp;number=4.6&amp;sourceID=14","4.6")</f>
        <v>4.6</v>
      </c>
      <c r="G6060" s="4" t="str">
        <f>HYPERLINK("http://141.218.60.56/~jnz1568/getInfo.php?workbook=14_04.xlsx&amp;sheet=U0&amp;row=6060&amp;col=7&amp;number=0.00146&amp;sourceID=14","0.00146")</f>
        <v>0.00146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HYPERLINK("http://141.218.60.56/~jnz1568/getInfo.php?workbook=14_04.xlsx&amp;sheet=U0&amp;row=6061&amp;col=6&amp;number=4.7&amp;sourceID=14","4.7")</f>
        <v>4.7</v>
      </c>
      <c r="G6061" s="4" t="str">
        <f>HYPERLINK("http://141.218.60.56/~jnz1568/getInfo.php?workbook=14_04.xlsx&amp;sheet=U0&amp;row=6061&amp;col=7&amp;number=0.00146&amp;sourceID=14","0.00146")</f>
        <v>0.00146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HYPERLINK("http://141.218.60.56/~jnz1568/getInfo.php?workbook=14_04.xlsx&amp;sheet=U0&amp;row=6062&amp;col=6&amp;number=4.8&amp;sourceID=14","4.8")</f>
        <v>4.8</v>
      </c>
      <c r="G6062" s="4" t="str">
        <f>HYPERLINK("http://141.218.60.56/~jnz1568/getInfo.php?workbook=14_04.xlsx&amp;sheet=U0&amp;row=6062&amp;col=7&amp;number=0.00145&amp;sourceID=14","0.00145")</f>
        <v>0.00145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HYPERLINK("http://141.218.60.56/~jnz1568/getInfo.php?workbook=14_04.xlsx&amp;sheet=U0&amp;row=6063&amp;col=6&amp;number=4.9&amp;sourceID=14","4.9")</f>
        <v>4.9</v>
      </c>
      <c r="G6063" s="4" t="str">
        <f>HYPERLINK("http://141.218.60.56/~jnz1568/getInfo.php?workbook=14_04.xlsx&amp;sheet=U0&amp;row=6063&amp;col=7&amp;number=0.00145&amp;sourceID=14","0.00145")</f>
        <v>0.00145</v>
      </c>
    </row>
    <row r="6064" spans="1:7">
      <c r="A6064" s="3">
        <v>14</v>
      </c>
      <c r="B6064" s="3">
        <v>4</v>
      </c>
      <c r="C6064" s="3">
        <v>4</v>
      </c>
      <c r="D6064" s="3">
        <v>23</v>
      </c>
      <c r="E6064" s="3">
        <v>1</v>
      </c>
      <c r="F6064" s="4" t="str">
        <f>HYPERLINK("http://141.218.60.56/~jnz1568/getInfo.php?workbook=14_04.xlsx&amp;sheet=U0&amp;row=6064&amp;col=6&amp;number=3&amp;sourceID=14","3")</f>
        <v>3</v>
      </c>
      <c r="G6064" s="4" t="str">
        <f>HYPERLINK("http://141.218.60.56/~jnz1568/getInfo.php?workbook=14_04.xlsx&amp;sheet=U0&amp;row=6064&amp;col=7&amp;number=0.106&amp;sourceID=14","0.106")</f>
        <v>0.106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HYPERLINK("http://141.218.60.56/~jnz1568/getInfo.php?workbook=14_04.xlsx&amp;sheet=U0&amp;row=6065&amp;col=6&amp;number=3.1&amp;sourceID=14","3.1")</f>
        <v>3.1</v>
      </c>
      <c r="G6065" s="4" t="str">
        <f>HYPERLINK("http://141.218.60.56/~jnz1568/getInfo.php?workbook=14_04.xlsx&amp;sheet=U0&amp;row=6065&amp;col=7&amp;number=0.106&amp;sourceID=14","0.106")</f>
        <v>0.106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HYPERLINK("http://141.218.60.56/~jnz1568/getInfo.php?workbook=14_04.xlsx&amp;sheet=U0&amp;row=6066&amp;col=6&amp;number=3.2&amp;sourceID=14","3.2")</f>
        <v>3.2</v>
      </c>
      <c r="G6066" s="4" t="str">
        <f>HYPERLINK("http://141.218.60.56/~jnz1568/getInfo.php?workbook=14_04.xlsx&amp;sheet=U0&amp;row=6066&amp;col=7&amp;number=0.106&amp;sourceID=14","0.106")</f>
        <v>0.106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HYPERLINK("http://141.218.60.56/~jnz1568/getInfo.php?workbook=14_04.xlsx&amp;sheet=U0&amp;row=6067&amp;col=6&amp;number=3.3&amp;sourceID=14","3.3")</f>
        <v>3.3</v>
      </c>
      <c r="G6067" s="4" t="str">
        <f>HYPERLINK("http://141.218.60.56/~jnz1568/getInfo.php?workbook=14_04.xlsx&amp;sheet=U0&amp;row=6067&amp;col=7&amp;number=0.106&amp;sourceID=14","0.106")</f>
        <v>0.106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HYPERLINK("http://141.218.60.56/~jnz1568/getInfo.php?workbook=14_04.xlsx&amp;sheet=U0&amp;row=6068&amp;col=6&amp;number=3.4&amp;sourceID=14","3.4")</f>
        <v>3.4</v>
      </c>
      <c r="G6068" s="4" t="str">
        <f>HYPERLINK("http://141.218.60.56/~jnz1568/getInfo.php?workbook=14_04.xlsx&amp;sheet=U0&amp;row=6068&amp;col=7&amp;number=0.106&amp;sourceID=14","0.106")</f>
        <v>0.106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HYPERLINK("http://141.218.60.56/~jnz1568/getInfo.php?workbook=14_04.xlsx&amp;sheet=U0&amp;row=6069&amp;col=6&amp;number=3.5&amp;sourceID=14","3.5")</f>
        <v>3.5</v>
      </c>
      <c r="G6069" s="4" t="str">
        <f>HYPERLINK("http://141.218.60.56/~jnz1568/getInfo.php?workbook=14_04.xlsx&amp;sheet=U0&amp;row=6069&amp;col=7&amp;number=0.106&amp;sourceID=14","0.106")</f>
        <v>0.106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HYPERLINK("http://141.218.60.56/~jnz1568/getInfo.php?workbook=14_04.xlsx&amp;sheet=U0&amp;row=6070&amp;col=6&amp;number=3.6&amp;sourceID=14","3.6")</f>
        <v>3.6</v>
      </c>
      <c r="G6070" s="4" t="str">
        <f>HYPERLINK("http://141.218.60.56/~jnz1568/getInfo.php?workbook=14_04.xlsx&amp;sheet=U0&amp;row=6070&amp;col=7&amp;number=0.106&amp;sourceID=14","0.106")</f>
        <v>0.106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HYPERLINK("http://141.218.60.56/~jnz1568/getInfo.php?workbook=14_04.xlsx&amp;sheet=U0&amp;row=6071&amp;col=6&amp;number=3.7&amp;sourceID=14","3.7")</f>
        <v>3.7</v>
      </c>
      <c r="G6071" s="4" t="str">
        <f>HYPERLINK("http://141.218.60.56/~jnz1568/getInfo.php?workbook=14_04.xlsx&amp;sheet=U0&amp;row=6071&amp;col=7&amp;number=0.106&amp;sourceID=14","0.106")</f>
        <v>0.106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HYPERLINK("http://141.218.60.56/~jnz1568/getInfo.php?workbook=14_04.xlsx&amp;sheet=U0&amp;row=6072&amp;col=6&amp;number=3.8&amp;sourceID=14","3.8")</f>
        <v>3.8</v>
      </c>
      <c r="G6072" s="4" t="str">
        <f>HYPERLINK("http://141.218.60.56/~jnz1568/getInfo.php?workbook=14_04.xlsx&amp;sheet=U0&amp;row=6072&amp;col=7&amp;number=0.106&amp;sourceID=14","0.106")</f>
        <v>0.106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HYPERLINK("http://141.218.60.56/~jnz1568/getInfo.php?workbook=14_04.xlsx&amp;sheet=U0&amp;row=6073&amp;col=6&amp;number=3.9&amp;sourceID=14","3.9")</f>
        <v>3.9</v>
      </c>
      <c r="G6073" s="4" t="str">
        <f>HYPERLINK("http://141.218.60.56/~jnz1568/getInfo.php?workbook=14_04.xlsx&amp;sheet=U0&amp;row=6073&amp;col=7&amp;number=0.106&amp;sourceID=14","0.106")</f>
        <v>0.106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HYPERLINK("http://141.218.60.56/~jnz1568/getInfo.php?workbook=14_04.xlsx&amp;sheet=U0&amp;row=6074&amp;col=6&amp;number=4&amp;sourceID=14","4")</f>
        <v>4</v>
      </c>
      <c r="G6074" s="4" t="str">
        <f>HYPERLINK("http://141.218.60.56/~jnz1568/getInfo.php?workbook=14_04.xlsx&amp;sheet=U0&amp;row=6074&amp;col=7&amp;number=0.106&amp;sourceID=14","0.106")</f>
        <v>0.106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HYPERLINK("http://141.218.60.56/~jnz1568/getInfo.php?workbook=14_04.xlsx&amp;sheet=U0&amp;row=6075&amp;col=6&amp;number=4.1&amp;sourceID=14","4.1")</f>
        <v>4.1</v>
      </c>
      <c r="G6075" s="4" t="str">
        <f>HYPERLINK("http://141.218.60.56/~jnz1568/getInfo.php?workbook=14_04.xlsx&amp;sheet=U0&amp;row=6075&amp;col=7&amp;number=0.106&amp;sourceID=14","0.106")</f>
        <v>0.106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HYPERLINK("http://141.218.60.56/~jnz1568/getInfo.php?workbook=14_04.xlsx&amp;sheet=U0&amp;row=6076&amp;col=6&amp;number=4.2&amp;sourceID=14","4.2")</f>
        <v>4.2</v>
      </c>
      <c r="G6076" s="4" t="str">
        <f>HYPERLINK("http://141.218.60.56/~jnz1568/getInfo.php?workbook=14_04.xlsx&amp;sheet=U0&amp;row=6076&amp;col=7&amp;number=0.106&amp;sourceID=14","0.106")</f>
        <v>0.106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HYPERLINK("http://141.218.60.56/~jnz1568/getInfo.php?workbook=14_04.xlsx&amp;sheet=U0&amp;row=6077&amp;col=6&amp;number=4.3&amp;sourceID=14","4.3")</f>
        <v>4.3</v>
      </c>
      <c r="G6077" s="4" t="str">
        <f>HYPERLINK("http://141.218.60.56/~jnz1568/getInfo.php?workbook=14_04.xlsx&amp;sheet=U0&amp;row=6077&amp;col=7&amp;number=0.106&amp;sourceID=14","0.106")</f>
        <v>0.106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HYPERLINK("http://141.218.60.56/~jnz1568/getInfo.php?workbook=14_04.xlsx&amp;sheet=U0&amp;row=6078&amp;col=6&amp;number=4.4&amp;sourceID=14","4.4")</f>
        <v>4.4</v>
      </c>
      <c r="G6078" s="4" t="str">
        <f>HYPERLINK("http://141.218.60.56/~jnz1568/getInfo.php?workbook=14_04.xlsx&amp;sheet=U0&amp;row=6078&amp;col=7&amp;number=0.106&amp;sourceID=14","0.106")</f>
        <v>0.106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HYPERLINK("http://141.218.60.56/~jnz1568/getInfo.php?workbook=14_04.xlsx&amp;sheet=U0&amp;row=6079&amp;col=6&amp;number=4.5&amp;sourceID=14","4.5")</f>
        <v>4.5</v>
      </c>
      <c r="G6079" s="4" t="str">
        <f>HYPERLINK("http://141.218.60.56/~jnz1568/getInfo.php?workbook=14_04.xlsx&amp;sheet=U0&amp;row=6079&amp;col=7&amp;number=0.106&amp;sourceID=14","0.106")</f>
        <v>0.106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HYPERLINK("http://141.218.60.56/~jnz1568/getInfo.php?workbook=14_04.xlsx&amp;sheet=U0&amp;row=6080&amp;col=6&amp;number=4.6&amp;sourceID=14","4.6")</f>
        <v>4.6</v>
      </c>
      <c r="G6080" s="4" t="str">
        <f>HYPERLINK("http://141.218.60.56/~jnz1568/getInfo.php?workbook=14_04.xlsx&amp;sheet=U0&amp;row=6080&amp;col=7&amp;number=0.106&amp;sourceID=14","0.106")</f>
        <v>0.106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HYPERLINK("http://141.218.60.56/~jnz1568/getInfo.php?workbook=14_04.xlsx&amp;sheet=U0&amp;row=6081&amp;col=6&amp;number=4.7&amp;sourceID=14","4.7")</f>
        <v>4.7</v>
      </c>
      <c r="G6081" s="4" t="str">
        <f>HYPERLINK("http://141.218.60.56/~jnz1568/getInfo.php?workbook=14_04.xlsx&amp;sheet=U0&amp;row=6081&amp;col=7&amp;number=0.106&amp;sourceID=14","0.106")</f>
        <v>0.106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HYPERLINK("http://141.218.60.56/~jnz1568/getInfo.php?workbook=14_04.xlsx&amp;sheet=U0&amp;row=6082&amp;col=6&amp;number=4.8&amp;sourceID=14","4.8")</f>
        <v>4.8</v>
      </c>
      <c r="G6082" s="4" t="str">
        <f>HYPERLINK("http://141.218.60.56/~jnz1568/getInfo.php?workbook=14_04.xlsx&amp;sheet=U0&amp;row=6082&amp;col=7&amp;number=0.106&amp;sourceID=14","0.106")</f>
        <v>0.106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HYPERLINK("http://141.218.60.56/~jnz1568/getInfo.php?workbook=14_04.xlsx&amp;sheet=U0&amp;row=6083&amp;col=6&amp;number=4.9&amp;sourceID=14","4.9")</f>
        <v>4.9</v>
      </c>
      <c r="G6083" s="4" t="str">
        <f>HYPERLINK("http://141.218.60.56/~jnz1568/getInfo.php?workbook=14_04.xlsx&amp;sheet=U0&amp;row=6083&amp;col=7&amp;number=0.106&amp;sourceID=14","0.106")</f>
        <v>0.106</v>
      </c>
    </row>
    <row r="6084" spans="1:7">
      <c r="A6084" s="3">
        <v>14</v>
      </c>
      <c r="B6084" s="3">
        <v>4</v>
      </c>
      <c r="C6084" s="3">
        <v>4</v>
      </c>
      <c r="D6084" s="3">
        <v>24</v>
      </c>
      <c r="E6084" s="3">
        <v>1</v>
      </c>
      <c r="F6084" s="4" t="str">
        <f>HYPERLINK("http://141.218.60.56/~jnz1568/getInfo.php?workbook=14_04.xlsx&amp;sheet=U0&amp;row=6084&amp;col=6&amp;number=3&amp;sourceID=14","3")</f>
        <v>3</v>
      </c>
      <c r="G6084" s="4" t="str">
        <f>HYPERLINK("http://141.218.60.56/~jnz1568/getInfo.php?workbook=14_04.xlsx&amp;sheet=U0&amp;row=6084&amp;col=7&amp;number=0.00312&amp;sourceID=14","0.00312")</f>
        <v>0.00312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HYPERLINK("http://141.218.60.56/~jnz1568/getInfo.php?workbook=14_04.xlsx&amp;sheet=U0&amp;row=6085&amp;col=6&amp;number=3.1&amp;sourceID=14","3.1")</f>
        <v>3.1</v>
      </c>
      <c r="G6085" s="4" t="str">
        <f>HYPERLINK("http://141.218.60.56/~jnz1568/getInfo.php?workbook=14_04.xlsx&amp;sheet=U0&amp;row=6085&amp;col=7&amp;number=0.00312&amp;sourceID=14","0.00312")</f>
        <v>0.00312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HYPERLINK("http://141.218.60.56/~jnz1568/getInfo.php?workbook=14_04.xlsx&amp;sheet=U0&amp;row=6086&amp;col=6&amp;number=3.2&amp;sourceID=14","3.2")</f>
        <v>3.2</v>
      </c>
      <c r="G6086" s="4" t="str">
        <f>HYPERLINK("http://141.218.60.56/~jnz1568/getInfo.php?workbook=14_04.xlsx&amp;sheet=U0&amp;row=6086&amp;col=7&amp;number=0.00312&amp;sourceID=14","0.00312")</f>
        <v>0.00312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HYPERLINK("http://141.218.60.56/~jnz1568/getInfo.php?workbook=14_04.xlsx&amp;sheet=U0&amp;row=6087&amp;col=6&amp;number=3.3&amp;sourceID=14","3.3")</f>
        <v>3.3</v>
      </c>
      <c r="G6087" s="4" t="str">
        <f>HYPERLINK("http://141.218.60.56/~jnz1568/getInfo.php?workbook=14_04.xlsx&amp;sheet=U0&amp;row=6087&amp;col=7&amp;number=0.00311&amp;sourceID=14","0.00311")</f>
        <v>0.00311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HYPERLINK("http://141.218.60.56/~jnz1568/getInfo.php?workbook=14_04.xlsx&amp;sheet=U0&amp;row=6088&amp;col=6&amp;number=3.4&amp;sourceID=14","3.4")</f>
        <v>3.4</v>
      </c>
      <c r="G6088" s="4" t="str">
        <f>HYPERLINK("http://141.218.60.56/~jnz1568/getInfo.php?workbook=14_04.xlsx&amp;sheet=U0&amp;row=6088&amp;col=7&amp;number=0.00311&amp;sourceID=14","0.00311")</f>
        <v>0.00311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HYPERLINK("http://141.218.60.56/~jnz1568/getInfo.php?workbook=14_04.xlsx&amp;sheet=U0&amp;row=6089&amp;col=6&amp;number=3.5&amp;sourceID=14","3.5")</f>
        <v>3.5</v>
      </c>
      <c r="G6089" s="4" t="str">
        <f>HYPERLINK("http://141.218.60.56/~jnz1568/getInfo.php?workbook=14_04.xlsx&amp;sheet=U0&amp;row=6089&amp;col=7&amp;number=0.00311&amp;sourceID=14","0.00311")</f>
        <v>0.00311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HYPERLINK("http://141.218.60.56/~jnz1568/getInfo.php?workbook=14_04.xlsx&amp;sheet=U0&amp;row=6090&amp;col=6&amp;number=3.6&amp;sourceID=14","3.6")</f>
        <v>3.6</v>
      </c>
      <c r="G6090" s="4" t="str">
        <f>HYPERLINK("http://141.218.60.56/~jnz1568/getInfo.php?workbook=14_04.xlsx&amp;sheet=U0&amp;row=6090&amp;col=7&amp;number=0.00311&amp;sourceID=14","0.00311")</f>
        <v>0.00311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HYPERLINK("http://141.218.60.56/~jnz1568/getInfo.php?workbook=14_04.xlsx&amp;sheet=U0&amp;row=6091&amp;col=6&amp;number=3.7&amp;sourceID=14","3.7")</f>
        <v>3.7</v>
      </c>
      <c r="G6091" s="4" t="str">
        <f>HYPERLINK("http://141.218.60.56/~jnz1568/getInfo.php?workbook=14_04.xlsx&amp;sheet=U0&amp;row=6091&amp;col=7&amp;number=0.00311&amp;sourceID=14","0.00311")</f>
        <v>0.00311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HYPERLINK("http://141.218.60.56/~jnz1568/getInfo.php?workbook=14_04.xlsx&amp;sheet=U0&amp;row=6092&amp;col=6&amp;number=3.8&amp;sourceID=14","3.8")</f>
        <v>3.8</v>
      </c>
      <c r="G6092" s="4" t="str">
        <f>HYPERLINK("http://141.218.60.56/~jnz1568/getInfo.php?workbook=14_04.xlsx&amp;sheet=U0&amp;row=6092&amp;col=7&amp;number=0.00311&amp;sourceID=14","0.00311")</f>
        <v>0.00311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HYPERLINK("http://141.218.60.56/~jnz1568/getInfo.php?workbook=14_04.xlsx&amp;sheet=U0&amp;row=6093&amp;col=6&amp;number=3.9&amp;sourceID=14","3.9")</f>
        <v>3.9</v>
      </c>
      <c r="G6093" s="4" t="str">
        <f>HYPERLINK("http://141.218.60.56/~jnz1568/getInfo.php?workbook=14_04.xlsx&amp;sheet=U0&amp;row=6093&amp;col=7&amp;number=0.00311&amp;sourceID=14","0.00311")</f>
        <v>0.00311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HYPERLINK("http://141.218.60.56/~jnz1568/getInfo.php?workbook=14_04.xlsx&amp;sheet=U0&amp;row=6094&amp;col=6&amp;number=4&amp;sourceID=14","4")</f>
        <v>4</v>
      </c>
      <c r="G6094" s="4" t="str">
        <f>HYPERLINK("http://141.218.60.56/~jnz1568/getInfo.php?workbook=14_04.xlsx&amp;sheet=U0&amp;row=6094&amp;col=7&amp;number=0.00311&amp;sourceID=14","0.00311")</f>
        <v>0.00311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HYPERLINK("http://141.218.60.56/~jnz1568/getInfo.php?workbook=14_04.xlsx&amp;sheet=U0&amp;row=6095&amp;col=6&amp;number=4.1&amp;sourceID=14","4.1")</f>
        <v>4.1</v>
      </c>
      <c r="G6095" s="4" t="str">
        <f>HYPERLINK("http://141.218.60.56/~jnz1568/getInfo.php?workbook=14_04.xlsx&amp;sheet=U0&amp;row=6095&amp;col=7&amp;number=0.00311&amp;sourceID=14","0.00311")</f>
        <v>0.00311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HYPERLINK("http://141.218.60.56/~jnz1568/getInfo.php?workbook=14_04.xlsx&amp;sheet=U0&amp;row=6096&amp;col=6&amp;number=4.2&amp;sourceID=14","4.2")</f>
        <v>4.2</v>
      </c>
      <c r="G6096" s="4" t="str">
        <f>HYPERLINK("http://141.218.60.56/~jnz1568/getInfo.php?workbook=14_04.xlsx&amp;sheet=U0&amp;row=6096&amp;col=7&amp;number=0.00311&amp;sourceID=14","0.00311")</f>
        <v>0.00311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HYPERLINK("http://141.218.60.56/~jnz1568/getInfo.php?workbook=14_04.xlsx&amp;sheet=U0&amp;row=6097&amp;col=6&amp;number=4.3&amp;sourceID=14","4.3")</f>
        <v>4.3</v>
      </c>
      <c r="G6097" s="4" t="str">
        <f>HYPERLINK("http://141.218.60.56/~jnz1568/getInfo.php?workbook=14_04.xlsx&amp;sheet=U0&amp;row=6097&amp;col=7&amp;number=0.00311&amp;sourceID=14","0.00311")</f>
        <v>0.00311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HYPERLINK("http://141.218.60.56/~jnz1568/getInfo.php?workbook=14_04.xlsx&amp;sheet=U0&amp;row=6098&amp;col=6&amp;number=4.4&amp;sourceID=14","4.4")</f>
        <v>4.4</v>
      </c>
      <c r="G6098" s="4" t="str">
        <f>HYPERLINK("http://141.218.60.56/~jnz1568/getInfo.php?workbook=14_04.xlsx&amp;sheet=U0&amp;row=6098&amp;col=7&amp;number=0.0031&amp;sourceID=14","0.0031")</f>
        <v>0.0031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HYPERLINK("http://141.218.60.56/~jnz1568/getInfo.php?workbook=14_04.xlsx&amp;sheet=U0&amp;row=6099&amp;col=6&amp;number=4.5&amp;sourceID=14","4.5")</f>
        <v>4.5</v>
      </c>
      <c r="G6099" s="4" t="str">
        <f>HYPERLINK("http://141.218.60.56/~jnz1568/getInfo.php?workbook=14_04.xlsx&amp;sheet=U0&amp;row=6099&amp;col=7&amp;number=0.0031&amp;sourceID=14","0.0031")</f>
        <v>0.0031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HYPERLINK("http://141.218.60.56/~jnz1568/getInfo.php?workbook=14_04.xlsx&amp;sheet=U0&amp;row=6100&amp;col=6&amp;number=4.6&amp;sourceID=14","4.6")</f>
        <v>4.6</v>
      </c>
      <c r="G6100" s="4" t="str">
        <f>HYPERLINK("http://141.218.60.56/~jnz1568/getInfo.php?workbook=14_04.xlsx&amp;sheet=U0&amp;row=6100&amp;col=7&amp;number=0.0031&amp;sourceID=14","0.0031")</f>
        <v>0.0031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HYPERLINK("http://141.218.60.56/~jnz1568/getInfo.php?workbook=14_04.xlsx&amp;sheet=U0&amp;row=6101&amp;col=6&amp;number=4.7&amp;sourceID=14","4.7")</f>
        <v>4.7</v>
      </c>
      <c r="G6101" s="4" t="str">
        <f>HYPERLINK("http://141.218.60.56/~jnz1568/getInfo.php?workbook=14_04.xlsx&amp;sheet=U0&amp;row=6101&amp;col=7&amp;number=0.00309&amp;sourceID=14","0.00309")</f>
        <v>0.00309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HYPERLINK("http://141.218.60.56/~jnz1568/getInfo.php?workbook=14_04.xlsx&amp;sheet=U0&amp;row=6102&amp;col=6&amp;number=4.8&amp;sourceID=14","4.8")</f>
        <v>4.8</v>
      </c>
      <c r="G6102" s="4" t="str">
        <f>HYPERLINK("http://141.218.60.56/~jnz1568/getInfo.php?workbook=14_04.xlsx&amp;sheet=U0&amp;row=6102&amp;col=7&amp;number=0.00308&amp;sourceID=14","0.00308")</f>
        <v>0.00308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HYPERLINK("http://141.218.60.56/~jnz1568/getInfo.php?workbook=14_04.xlsx&amp;sheet=U0&amp;row=6103&amp;col=6&amp;number=4.9&amp;sourceID=14","4.9")</f>
        <v>4.9</v>
      </c>
      <c r="G6103" s="4" t="str">
        <f>HYPERLINK("http://141.218.60.56/~jnz1568/getInfo.php?workbook=14_04.xlsx&amp;sheet=U0&amp;row=6103&amp;col=7&amp;number=0.00308&amp;sourceID=14","0.00308")</f>
        <v>0.00308</v>
      </c>
    </row>
    <row r="6104" spans="1:7">
      <c r="A6104" s="3">
        <v>14</v>
      </c>
      <c r="B6104" s="3">
        <v>4</v>
      </c>
      <c r="C6104" s="3">
        <v>4</v>
      </c>
      <c r="D6104" s="3">
        <v>25</v>
      </c>
      <c r="E6104" s="3">
        <v>1</v>
      </c>
      <c r="F6104" s="4" t="str">
        <f>HYPERLINK("http://141.218.60.56/~jnz1568/getInfo.php?workbook=14_04.xlsx&amp;sheet=U0&amp;row=6104&amp;col=6&amp;number=3&amp;sourceID=14","3")</f>
        <v>3</v>
      </c>
      <c r="G6104" s="4" t="str">
        <f>HYPERLINK("http://141.218.60.56/~jnz1568/getInfo.php?workbook=14_04.xlsx&amp;sheet=U0&amp;row=6104&amp;col=7&amp;number=0.00143&amp;sourceID=14","0.00143")</f>
        <v>0.00143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HYPERLINK("http://141.218.60.56/~jnz1568/getInfo.php?workbook=14_04.xlsx&amp;sheet=U0&amp;row=6105&amp;col=6&amp;number=3.1&amp;sourceID=14","3.1")</f>
        <v>3.1</v>
      </c>
      <c r="G6105" s="4" t="str">
        <f>HYPERLINK("http://141.218.60.56/~jnz1568/getInfo.php?workbook=14_04.xlsx&amp;sheet=U0&amp;row=6105&amp;col=7&amp;number=0.00143&amp;sourceID=14","0.00143")</f>
        <v>0.00143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HYPERLINK("http://141.218.60.56/~jnz1568/getInfo.php?workbook=14_04.xlsx&amp;sheet=U0&amp;row=6106&amp;col=6&amp;number=3.2&amp;sourceID=14","3.2")</f>
        <v>3.2</v>
      </c>
      <c r="G6106" s="4" t="str">
        <f>HYPERLINK("http://141.218.60.56/~jnz1568/getInfo.php?workbook=14_04.xlsx&amp;sheet=U0&amp;row=6106&amp;col=7&amp;number=0.00143&amp;sourceID=14","0.00143")</f>
        <v>0.00143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HYPERLINK("http://141.218.60.56/~jnz1568/getInfo.php?workbook=14_04.xlsx&amp;sheet=U0&amp;row=6107&amp;col=6&amp;number=3.3&amp;sourceID=14","3.3")</f>
        <v>3.3</v>
      </c>
      <c r="G6107" s="4" t="str">
        <f>HYPERLINK("http://141.218.60.56/~jnz1568/getInfo.php?workbook=14_04.xlsx&amp;sheet=U0&amp;row=6107&amp;col=7&amp;number=0.00143&amp;sourceID=14","0.00143")</f>
        <v>0.00143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HYPERLINK("http://141.218.60.56/~jnz1568/getInfo.php?workbook=14_04.xlsx&amp;sheet=U0&amp;row=6108&amp;col=6&amp;number=3.4&amp;sourceID=14","3.4")</f>
        <v>3.4</v>
      </c>
      <c r="G6108" s="4" t="str">
        <f>HYPERLINK("http://141.218.60.56/~jnz1568/getInfo.php?workbook=14_04.xlsx&amp;sheet=U0&amp;row=6108&amp;col=7&amp;number=0.00143&amp;sourceID=14","0.00143")</f>
        <v>0.00143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HYPERLINK("http://141.218.60.56/~jnz1568/getInfo.php?workbook=14_04.xlsx&amp;sheet=U0&amp;row=6109&amp;col=6&amp;number=3.5&amp;sourceID=14","3.5")</f>
        <v>3.5</v>
      </c>
      <c r="G6109" s="4" t="str">
        <f>HYPERLINK("http://141.218.60.56/~jnz1568/getInfo.php?workbook=14_04.xlsx&amp;sheet=U0&amp;row=6109&amp;col=7&amp;number=0.00143&amp;sourceID=14","0.00143")</f>
        <v>0.00143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HYPERLINK("http://141.218.60.56/~jnz1568/getInfo.php?workbook=14_04.xlsx&amp;sheet=U0&amp;row=6110&amp;col=6&amp;number=3.6&amp;sourceID=14","3.6")</f>
        <v>3.6</v>
      </c>
      <c r="G6110" s="4" t="str">
        <f>HYPERLINK("http://141.218.60.56/~jnz1568/getInfo.php?workbook=14_04.xlsx&amp;sheet=U0&amp;row=6110&amp;col=7&amp;number=0.00143&amp;sourceID=14","0.00143")</f>
        <v>0.00143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HYPERLINK("http://141.218.60.56/~jnz1568/getInfo.php?workbook=14_04.xlsx&amp;sheet=U0&amp;row=6111&amp;col=6&amp;number=3.7&amp;sourceID=14","3.7")</f>
        <v>3.7</v>
      </c>
      <c r="G6111" s="4" t="str">
        <f>HYPERLINK("http://141.218.60.56/~jnz1568/getInfo.php?workbook=14_04.xlsx&amp;sheet=U0&amp;row=6111&amp;col=7&amp;number=0.00143&amp;sourceID=14","0.00143")</f>
        <v>0.00143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HYPERLINK("http://141.218.60.56/~jnz1568/getInfo.php?workbook=14_04.xlsx&amp;sheet=U0&amp;row=6112&amp;col=6&amp;number=3.8&amp;sourceID=14","3.8")</f>
        <v>3.8</v>
      </c>
      <c r="G6112" s="4" t="str">
        <f>HYPERLINK("http://141.218.60.56/~jnz1568/getInfo.php?workbook=14_04.xlsx&amp;sheet=U0&amp;row=6112&amp;col=7&amp;number=0.00143&amp;sourceID=14","0.00143")</f>
        <v>0.00143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HYPERLINK("http://141.218.60.56/~jnz1568/getInfo.php?workbook=14_04.xlsx&amp;sheet=U0&amp;row=6113&amp;col=6&amp;number=3.9&amp;sourceID=14","3.9")</f>
        <v>3.9</v>
      </c>
      <c r="G6113" s="4" t="str">
        <f>HYPERLINK("http://141.218.60.56/~jnz1568/getInfo.php?workbook=14_04.xlsx&amp;sheet=U0&amp;row=6113&amp;col=7&amp;number=0.00143&amp;sourceID=14","0.00143")</f>
        <v>0.00143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HYPERLINK("http://141.218.60.56/~jnz1568/getInfo.php?workbook=14_04.xlsx&amp;sheet=U0&amp;row=6114&amp;col=6&amp;number=4&amp;sourceID=14","4")</f>
        <v>4</v>
      </c>
      <c r="G6114" s="4" t="str">
        <f>HYPERLINK("http://141.218.60.56/~jnz1568/getInfo.php?workbook=14_04.xlsx&amp;sheet=U0&amp;row=6114&amp;col=7&amp;number=0.00143&amp;sourceID=14","0.00143")</f>
        <v>0.00143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HYPERLINK("http://141.218.60.56/~jnz1568/getInfo.php?workbook=14_04.xlsx&amp;sheet=U0&amp;row=6115&amp;col=6&amp;number=4.1&amp;sourceID=14","4.1")</f>
        <v>4.1</v>
      </c>
      <c r="G6115" s="4" t="str">
        <f>HYPERLINK("http://141.218.60.56/~jnz1568/getInfo.php?workbook=14_04.xlsx&amp;sheet=U0&amp;row=6115&amp;col=7&amp;number=0.00143&amp;sourceID=14","0.00143")</f>
        <v>0.00143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HYPERLINK("http://141.218.60.56/~jnz1568/getInfo.php?workbook=14_04.xlsx&amp;sheet=U0&amp;row=6116&amp;col=6&amp;number=4.2&amp;sourceID=14","4.2")</f>
        <v>4.2</v>
      </c>
      <c r="G6116" s="4" t="str">
        <f>HYPERLINK("http://141.218.60.56/~jnz1568/getInfo.php?workbook=14_04.xlsx&amp;sheet=U0&amp;row=6116&amp;col=7&amp;number=0.00143&amp;sourceID=14","0.00143")</f>
        <v>0.00143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HYPERLINK("http://141.218.60.56/~jnz1568/getInfo.php?workbook=14_04.xlsx&amp;sheet=U0&amp;row=6117&amp;col=6&amp;number=4.3&amp;sourceID=14","4.3")</f>
        <v>4.3</v>
      </c>
      <c r="G6117" s="4" t="str">
        <f>HYPERLINK("http://141.218.60.56/~jnz1568/getInfo.php?workbook=14_04.xlsx&amp;sheet=U0&amp;row=6117&amp;col=7&amp;number=0.00143&amp;sourceID=14","0.00143")</f>
        <v>0.00143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HYPERLINK("http://141.218.60.56/~jnz1568/getInfo.php?workbook=14_04.xlsx&amp;sheet=U0&amp;row=6118&amp;col=6&amp;number=4.4&amp;sourceID=14","4.4")</f>
        <v>4.4</v>
      </c>
      <c r="G6118" s="4" t="str">
        <f>HYPERLINK("http://141.218.60.56/~jnz1568/getInfo.php?workbook=14_04.xlsx&amp;sheet=U0&amp;row=6118&amp;col=7&amp;number=0.00143&amp;sourceID=14","0.00143")</f>
        <v>0.00143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HYPERLINK("http://141.218.60.56/~jnz1568/getInfo.php?workbook=14_04.xlsx&amp;sheet=U0&amp;row=6119&amp;col=6&amp;number=4.5&amp;sourceID=14","4.5")</f>
        <v>4.5</v>
      </c>
      <c r="G6119" s="4" t="str">
        <f>HYPERLINK("http://141.218.60.56/~jnz1568/getInfo.php?workbook=14_04.xlsx&amp;sheet=U0&amp;row=6119&amp;col=7&amp;number=0.00143&amp;sourceID=14","0.00143")</f>
        <v>0.00143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HYPERLINK("http://141.218.60.56/~jnz1568/getInfo.php?workbook=14_04.xlsx&amp;sheet=U0&amp;row=6120&amp;col=6&amp;number=4.6&amp;sourceID=14","4.6")</f>
        <v>4.6</v>
      </c>
      <c r="G6120" s="4" t="str">
        <f>HYPERLINK("http://141.218.60.56/~jnz1568/getInfo.php?workbook=14_04.xlsx&amp;sheet=U0&amp;row=6120&amp;col=7&amp;number=0.00142&amp;sourceID=14","0.00142")</f>
        <v>0.00142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HYPERLINK("http://141.218.60.56/~jnz1568/getInfo.php?workbook=14_04.xlsx&amp;sheet=U0&amp;row=6121&amp;col=6&amp;number=4.7&amp;sourceID=14","4.7")</f>
        <v>4.7</v>
      </c>
      <c r="G6121" s="4" t="str">
        <f>HYPERLINK("http://141.218.60.56/~jnz1568/getInfo.php?workbook=14_04.xlsx&amp;sheet=U0&amp;row=6121&amp;col=7&amp;number=0.00142&amp;sourceID=14","0.00142")</f>
        <v>0.00142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HYPERLINK("http://141.218.60.56/~jnz1568/getInfo.php?workbook=14_04.xlsx&amp;sheet=U0&amp;row=6122&amp;col=6&amp;number=4.8&amp;sourceID=14","4.8")</f>
        <v>4.8</v>
      </c>
      <c r="G6122" s="4" t="str">
        <f>HYPERLINK("http://141.218.60.56/~jnz1568/getInfo.php?workbook=14_04.xlsx&amp;sheet=U0&amp;row=6122&amp;col=7&amp;number=0.00142&amp;sourceID=14","0.00142")</f>
        <v>0.00142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HYPERLINK("http://141.218.60.56/~jnz1568/getInfo.php?workbook=14_04.xlsx&amp;sheet=U0&amp;row=6123&amp;col=6&amp;number=4.9&amp;sourceID=14","4.9")</f>
        <v>4.9</v>
      </c>
      <c r="G6123" s="4" t="str">
        <f>HYPERLINK("http://141.218.60.56/~jnz1568/getInfo.php?workbook=14_04.xlsx&amp;sheet=U0&amp;row=6123&amp;col=7&amp;number=0.00141&amp;sourceID=14","0.00141")</f>
        <v>0.00141</v>
      </c>
    </row>
    <row r="6124" spans="1:7">
      <c r="A6124" s="3">
        <v>14</v>
      </c>
      <c r="B6124" s="3">
        <v>4</v>
      </c>
      <c r="C6124" s="3">
        <v>4</v>
      </c>
      <c r="D6124" s="3">
        <v>26</v>
      </c>
      <c r="E6124" s="3">
        <v>1</v>
      </c>
      <c r="F6124" s="4" t="str">
        <f>HYPERLINK("http://141.218.60.56/~jnz1568/getInfo.php?workbook=14_04.xlsx&amp;sheet=U0&amp;row=6124&amp;col=6&amp;number=3&amp;sourceID=14","3")</f>
        <v>3</v>
      </c>
      <c r="G6124" s="4" t="str">
        <f>HYPERLINK("http://141.218.60.56/~jnz1568/getInfo.php?workbook=14_04.xlsx&amp;sheet=U0&amp;row=6124&amp;col=7&amp;number=0.00151&amp;sourceID=14","0.00151")</f>
        <v>0.00151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HYPERLINK("http://141.218.60.56/~jnz1568/getInfo.php?workbook=14_04.xlsx&amp;sheet=U0&amp;row=6125&amp;col=6&amp;number=3.1&amp;sourceID=14","3.1")</f>
        <v>3.1</v>
      </c>
      <c r="G6125" s="4" t="str">
        <f>HYPERLINK("http://141.218.60.56/~jnz1568/getInfo.php?workbook=14_04.xlsx&amp;sheet=U0&amp;row=6125&amp;col=7&amp;number=0.00151&amp;sourceID=14","0.00151")</f>
        <v>0.00151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HYPERLINK("http://141.218.60.56/~jnz1568/getInfo.php?workbook=14_04.xlsx&amp;sheet=U0&amp;row=6126&amp;col=6&amp;number=3.2&amp;sourceID=14","3.2")</f>
        <v>3.2</v>
      </c>
      <c r="G6126" s="4" t="str">
        <f>HYPERLINK("http://141.218.60.56/~jnz1568/getInfo.php?workbook=14_04.xlsx&amp;sheet=U0&amp;row=6126&amp;col=7&amp;number=0.00151&amp;sourceID=14","0.00151")</f>
        <v>0.00151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HYPERLINK("http://141.218.60.56/~jnz1568/getInfo.php?workbook=14_04.xlsx&amp;sheet=U0&amp;row=6127&amp;col=6&amp;number=3.3&amp;sourceID=14","3.3")</f>
        <v>3.3</v>
      </c>
      <c r="G6127" s="4" t="str">
        <f>HYPERLINK("http://141.218.60.56/~jnz1568/getInfo.php?workbook=14_04.xlsx&amp;sheet=U0&amp;row=6127&amp;col=7&amp;number=0.00151&amp;sourceID=14","0.00151")</f>
        <v>0.00151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HYPERLINK("http://141.218.60.56/~jnz1568/getInfo.php?workbook=14_04.xlsx&amp;sheet=U0&amp;row=6128&amp;col=6&amp;number=3.4&amp;sourceID=14","3.4")</f>
        <v>3.4</v>
      </c>
      <c r="G6128" s="4" t="str">
        <f>HYPERLINK("http://141.218.60.56/~jnz1568/getInfo.php?workbook=14_04.xlsx&amp;sheet=U0&amp;row=6128&amp;col=7&amp;number=0.00151&amp;sourceID=14","0.00151")</f>
        <v>0.00151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HYPERLINK("http://141.218.60.56/~jnz1568/getInfo.php?workbook=14_04.xlsx&amp;sheet=U0&amp;row=6129&amp;col=6&amp;number=3.5&amp;sourceID=14","3.5")</f>
        <v>3.5</v>
      </c>
      <c r="G6129" s="4" t="str">
        <f>HYPERLINK("http://141.218.60.56/~jnz1568/getInfo.php?workbook=14_04.xlsx&amp;sheet=U0&amp;row=6129&amp;col=7&amp;number=0.00151&amp;sourceID=14","0.00151")</f>
        <v>0.00151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HYPERLINK("http://141.218.60.56/~jnz1568/getInfo.php?workbook=14_04.xlsx&amp;sheet=U0&amp;row=6130&amp;col=6&amp;number=3.6&amp;sourceID=14","3.6")</f>
        <v>3.6</v>
      </c>
      <c r="G6130" s="4" t="str">
        <f>HYPERLINK("http://141.218.60.56/~jnz1568/getInfo.php?workbook=14_04.xlsx&amp;sheet=U0&amp;row=6130&amp;col=7&amp;number=0.00151&amp;sourceID=14","0.00151")</f>
        <v>0.00151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HYPERLINK("http://141.218.60.56/~jnz1568/getInfo.php?workbook=14_04.xlsx&amp;sheet=U0&amp;row=6131&amp;col=6&amp;number=3.7&amp;sourceID=14","3.7")</f>
        <v>3.7</v>
      </c>
      <c r="G6131" s="4" t="str">
        <f>HYPERLINK("http://141.218.60.56/~jnz1568/getInfo.php?workbook=14_04.xlsx&amp;sheet=U0&amp;row=6131&amp;col=7&amp;number=0.00151&amp;sourceID=14","0.00151")</f>
        <v>0.00151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HYPERLINK("http://141.218.60.56/~jnz1568/getInfo.php?workbook=14_04.xlsx&amp;sheet=U0&amp;row=6132&amp;col=6&amp;number=3.8&amp;sourceID=14","3.8")</f>
        <v>3.8</v>
      </c>
      <c r="G6132" s="4" t="str">
        <f>HYPERLINK("http://141.218.60.56/~jnz1568/getInfo.php?workbook=14_04.xlsx&amp;sheet=U0&amp;row=6132&amp;col=7&amp;number=0.00151&amp;sourceID=14","0.00151")</f>
        <v>0.00151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HYPERLINK("http://141.218.60.56/~jnz1568/getInfo.php?workbook=14_04.xlsx&amp;sheet=U0&amp;row=6133&amp;col=6&amp;number=3.9&amp;sourceID=14","3.9")</f>
        <v>3.9</v>
      </c>
      <c r="G6133" s="4" t="str">
        <f>HYPERLINK("http://141.218.60.56/~jnz1568/getInfo.php?workbook=14_04.xlsx&amp;sheet=U0&amp;row=6133&amp;col=7&amp;number=0.00151&amp;sourceID=14","0.00151")</f>
        <v>0.00151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HYPERLINK("http://141.218.60.56/~jnz1568/getInfo.php?workbook=14_04.xlsx&amp;sheet=U0&amp;row=6134&amp;col=6&amp;number=4&amp;sourceID=14","4")</f>
        <v>4</v>
      </c>
      <c r="G6134" s="4" t="str">
        <f>HYPERLINK("http://141.218.60.56/~jnz1568/getInfo.php?workbook=14_04.xlsx&amp;sheet=U0&amp;row=6134&amp;col=7&amp;number=0.00151&amp;sourceID=14","0.00151")</f>
        <v>0.00151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HYPERLINK("http://141.218.60.56/~jnz1568/getInfo.php?workbook=14_04.xlsx&amp;sheet=U0&amp;row=6135&amp;col=6&amp;number=4.1&amp;sourceID=14","4.1")</f>
        <v>4.1</v>
      </c>
      <c r="G6135" s="4" t="str">
        <f>HYPERLINK("http://141.218.60.56/~jnz1568/getInfo.php?workbook=14_04.xlsx&amp;sheet=U0&amp;row=6135&amp;col=7&amp;number=0.00151&amp;sourceID=14","0.00151")</f>
        <v>0.00151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HYPERLINK("http://141.218.60.56/~jnz1568/getInfo.php?workbook=14_04.xlsx&amp;sheet=U0&amp;row=6136&amp;col=6&amp;number=4.2&amp;sourceID=14","4.2")</f>
        <v>4.2</v>
      </c>
      <c r="G6136" s="4" t="str">
        <f>HYPERLINK("http://141.218.60.56/~jnz1568/getInfo.php?workbook=14_04.xlsx&amp;sheet=U0&amp;row=6136&amp;col=7&amp;number=0.00151&amp;sourceID=14","0.00151")</f>
        <v>0.00151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HYPERLINK("http://141.218.60.56/~jnz1568/getInfo.php?workbook=14_04.xlsx&amp;sheet=U0&amp;row=6137&amp;col=6&amp;number=4.3&amp;sourceID=14","4.3")</f>
        <v>4.3</v>
      </c>
      <c r="G6137" s="4" t="str">
        <f>HYPERLINK("http://141.218.60.56/~jnz1568/getInfo.php?workbook=14_04.xlsx&amp;sheet=U0&amp;row=6137&amp;col=7&amp;number=0.0015&amp;sourceID=14","0.0015")</f>
        <v>0.0015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HYPERLINK("http://141.218.60.56/~jnz1568/getInfo.php?workbook=14_04.xlsx&amp;sheet=U0&amp;row=6138&amp;col=6&amp;number=4.4&amp;sourceID=14","4.4")</f>
        <v>4.4</v>
      </c>
      <c r="G6138" s="4" t="str">
        <f>HYPERLINK("http://141.218.60.56/~jnz1568/getInfo.php?workbook=14_04.xlsx&amp;sheet=U0&amp;row=6138&amp;col=7&amp;number=0.0015&amp;sourceID=14","0.0015")</f>
        <v>0.0015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HYPERLINK("http://141.218.60.56/~jnz1568/getInfo.php?workbook=14_04.xlsx&amp;sheet=U0&amp;row=6139&amp;col=6&amp;number=4.5&amp;sourceID=14","4.5")</f>
        <v>4.5</v>
      </c>
      <c r="G6139" s="4" t="str">
        <f>HYPERLINK("http://141.218.60.56/~jnz1568/getInfo.php?workbook=14_04.xlsx&amp;sheet=U0&amp;row=6139&amp;col=7&amp;number=0.0015&amp;sourceID=14","0.0015")</f>
        <v>0.0015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HYPERLINK("http://141.218.60.56/~jnz1568/getInfo.php?workbook=14_04.xlsx&amp;sheet=U0&amp;row=6140&amp;col=6&amp;number=4.6&amp;sourceID=14","4.6")</f>
        <v>4.6</v>
      </c>
      <c r="G6140" s="4" t="str">
        <f>HYPERLINK("http://141.218.60.56/~jnz1568/getInfo.php?workbook=14_04.xlsx&amp;sheet=U0&amp;row=6140&amp;col=7&amp;number=0.0015&amp;sourceID=14","0.0015")</f>
        <v>0.0015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HYPERLINK("http://141.218.60.56/~jnz1568/getInfo.php?workbook=14_04.xlsx&amp;sheet=U0&amp;row=6141&amp;col=6&amp;number=4.7&amp;sourceID=14","4.7")</f>
        <v>4.7</v>
      </c>
      <c r="G6141" s="4" t="str">
        <f>HYPERLINK("http://141.218.60.56/~jnz1568/getInfo.php?workbook=14_04.xlsx&amp;sheet=U0&amp;row=6141&amp;col=7&amp;number=0.0015&amp;sourceID=14","0.0015")</f>
        <v>0.0015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HYPERLINK("http://141.218.60.56/~jnz1568/getInfo.php?workbook=14_04.xlsx&amp;sheet=U0&amp;row=6142&amp;col=6&amp;number=4.8&amp;sourceID=14","4.8")</f>
        <v>4.8</v>
      </c>
      <c r="G6142" s="4" t="str">
        <f>HYPERLINK("http://141.218.60.56/~jnz1568/getInfo.php?workbook=14_04.xlsx&amp;sheet=U0&amp;row=6142&amp;col=7&amp;number=0.0015&amp;sourceID=14","0.0015")</f>
        <v>0.0015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HYPERLINK("http://141.218.60.56/~jnz1568/getInfo.php?workbook=14_04.xlsx&amp;sheet=U0&amp;row=6143&amp;col=6&amp;number=4.9&amp;sourceID=14","4.9")</f>
        <v>4.9</v>
      </c>
      <c r="G6143" s="4" t="str">
        <f>HYPERLINK("http://141.218.60.56/~jnz1568/getInfo.php?workbook=14_04.xlsx&amp;sheet=U0&amp;row=6143&amp;col=7&amp;number=0.0015&amp;sourceID=14","0.0015")</f>
        <v>0.0015</v>
      </c>
    </row>
    <row r="6144" spans="1:7">
      <c r="A6144" s="3">
        <v>14</v>
      </c>
      <c r="B6144" s="3">
        <v>4</v>
      </c>
      <c r="C6144" s="3">
        <v>4</v>
      </c>
      <c r="D6144" s="3">
        <v>27</v>
      </c>
      <c r="E6144" s="3">
        <v>1</v>
      </c>
      <c r="F6144" s="4" t="str">
        <f>HYPERLINK("http://141.218.60.56/~jnz1568/getInfo.php?workbook=14_04.xlsx&amp;sheet=U0&amp;row=6144&amp;col=6&amp;number=3&amp;sourceID=14","3")</f>
        <v>3</v>
      </c>
      <c r="G6144" s="4" t="str">
        <f>HYPERLINK("http://141.218.60.56/~jnz1568/getInfo.php?workbook=14_04.xlsx&amp;sheet=U0&amp;row=6144&amp;col=7&amp;number=0.00246&amp;sourceID=14","0.00246")</f>
        <v>0.00246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HYPERLINK("http://141.218.60.56/~jnz1568/getInfo.php?workbook=14_04.xlsx&amp;sheet=U0&amp;row=6145&amp;col=6&amp;number=3.1&amp;sourceID=14","3.1")</f>
        <v>3.1</v>
      </c>
      <c r="G6145" s="4" t="str">
        <f>HYPERLINK("http://141.218.60.56/~jnz1568/getInfo.php?workbook=14_04.xlsx&amp;sheet=U0&amp;row=6145&amp;col=7&amp;number=0.00246&amp;sourceID=14","0.00246")</f>
        <v>0.00246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HYPERLINK("http://141.218.60.56/~jnz1568/getInfo.php?workbook=14_04.xlsx&amp;sheet=U0&amp;row=6146&amp;col=6&amp;number=3.2&amp;sourceID=14","3.2")</f>
        <v>3.2</v>
      </c>
      <c r="G6146" s="4" t="str">
        <f>HYPERLINK("http://141.218.60.56/~jnz1568/getInfo.php?workbook=14_04.xlsx&amp;sheet=U0&amp;row=6146&amp;col=7&amp;number=0.00246&amp;sourceID=14","0.00246")</f>
        <v>0.00246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HYPERLINK("http://141.218.60.56/~jnz1568/getInfo.php?workbook=14_04.xlsx&amp;sheet=U0&amp;row=6147&amp;col=6&amp;number=3.3&amp;sourceID=14","3.3")</f>
        <v>3.3</v>
      </c>
      <c r="G6147" s="4" t="str">
        <f>HYPERLINK("http://141.218.60.56/~jnz1568/getInfo.php?workbook=14_04.xlsx&amp;sheet=U0&amp;row=6147&amp;col=7&amp;number=0.00246&amp;sourceID=14","0.00246")</f>
        <v>0.00246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HYPERLINK("http://141.218.60.56/~jnz1568/getInfo.php?workbook=14_04.xlsx&amp;sheet=U0&amp;row=6148&amp;col=6&amp;number=3.4&amp;sourceID=14","3.4")</f>
        <v>3.4</v>
      </c>
      <c r="G6148" s="4" t="str">
        <f>HYPERLINK("http://141.218.60.56/~jnz1568/getInfo.php?workbook=14_04.xlsx&amp;sheet=U0&amp;row=6148&amp;col=7&amp;number=0.00246&amp;sourceID=14","0.00246")</f>
        <v>0.00246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HYPERLINK("http://141.218.60.56/~jnz1568/getInfo.php?workbook=14_04.xlsx&amp;sheet=U0&amp;row=6149&amp;col=6&amp;number=3.5&amp;sourceID=14","3.5")</f>
        <v>3.5</v>
      </c>
      <c r="G6149" s="4" t="str">
        <f>HYPERLINK("http://141.218.60.56/~jnz1568/getInfo.php?workbook=14_04.xlsx&amp;sheet=U0&amp;row=6149&amp;col=7&amp;number=0.00246&amp;sourceID=14","0.00246")</f>
        <v>0.00246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HYPERLINK("http://141.218.60.56/~jnz1568/getInfo.php?workbook=14_04.xlsx&amp;sheet=U0&amp;row=6150&amp;col=6&amp;number=3.6&amp;sourceID=14","3.6")</f>
        <v>3.6</v>
      </c>
      <c r="G6150" s="4" t="str">
        <f>HYPERLINK("http://141.218.60.56/~jnz1568/getInfo.php?workbook=14_04.xlsx&amp;sheet=U0&amp;row=6150&amp;col=7&amp;number=0.00246&amp;sourceID=14","0.00246")</f>
        <v>0.00246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HYPERLINK("http://141.218.60.56/~jnz1568/getInfo.php?workbook=14_04.xlsx&amp;sheet=U0&amp;row=6151&amp;col=6&amp;number=3.7&amp;sourceID=14","3.7")</f>
        <v>3.7</v>
      </c>
      <c r="G6151" s="4" t="str">
        <f>HYPERLINK("http://141.218.60.56/~jnz1568/getInfo.php?workbook=14_04.xlsx&amp;sheet=U0&amp;row=6151&amp;col=7&amp;number=0.00246&amp;sourceID=14","0.00246")</f>
        <v>0.00246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HYPERLINK("http://141.218.60.56/~jnz1568/getInfo.php?workbook=14_04.xlsx&amp;sheet=U0&amp;row=6152&amp;col=6&amp;number=3.8&amp;sourceID=14","3.8")</f>
        <v>3.8</v>
      </c>
      <c r="G6152" s="4" t="str">
        <f>HYPERLINK("http://141.218.60.56/~jnz1568/getInfo.php?workbook=14_04.xlsx&amp;sheet=U0&amp;row=6152&amp;col=7&amp;number=0.00246&amp;sourceID=14","0.00246")</f>
        <v>0.00246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HYPERLINK("http://141.218.60.56/~jnz1568/getInfo.php?workbook=14_04.xlsx&amp;sheet=U0&amp;row=6153&amp;col=6&amp;number=3.9&amp;sourceID=14","3.9")</f>
        <v>3.9</v>
      </c>
      <c r="G6153" s="4" t="str">
        <f>HYPERLINK("http://141.218.60.56/~jnz1568/getInfo.php?workbook=14_04.xlsx&amp;sheet=U0&amp;row=6153&amp;col=7&amp;number=0.00246&amp;sourceID=14","0.00246")</f>
        <v>0.00246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HYPERLINK("http://141.218.60.56/~jnz1568/getInfo.php?workbook=14_04.xlsx&amp;sheet=U0&amp;row=6154&amp;col=6&amp;number=4&amp;sourceID=14","4")</f>
        <v>4</v>
      </c>
      <c r="G6154" s="4" t="str">
        <f>HYPERLINK("http://141.218.60.56/~jnz1568/getInfo.php?workbook=14_04.xlsx&amp;sheet=U0&amp;row=6154&amp;col=7&amp;number=0.00246&amp;sourceID=14","0.00246")</f>
        <v>0.00246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HYPERLINK("http://141.218.60.56/~jnz1568/getInfo.php?workbook=14_04.xlsx&amp;sheet=U0&amp;row=6155&amp;col=6&amp;number=4.1&amp;sourceID=14","4.1")</f>
        <v>4.1</v>
      </c>
      <c r="G6155" s="4" t="str">
        <f>HYPERLINK("http://141.218.60.56/~jnz1568/getInfo.php?workbook=14_04.xlsx&amp;sheet=U0&amp;row=6155&amp;col=7&amp;number=0.00247&amp;sourceID=14","0.00247")</f>
        <v>0.00247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HYPERLINK("http://141.218.60.56/~jnz1568/getInfo.php?workbook=14_04.xlsx&amp;sheet=U0&amp;row=6156&amp;col=6&amp;number=4.2&amp;sourceID=14","4.2")</f>
        <v>4.2</v>
      </c>
      <c r="G6156" s="4" t="str">
        <f>HYPERLINK("http://141.218.60.56/~jnz1568/getInfo.php?workbook=14_04.xlsx&amp;sheet=U0&amp;row=6156&amp;col=7&amp;number=0.00247&amp;sourceID=14","0.00247")</f>
        <v>0.00247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HYPERLINK("http://141.218.60.56/~jnz1568/getInfo.php?workbook=14_04.xlsx&amp;sheet=U0&amp;row=6157&amp;col=6&amp;number=4.3&amp;sourceID=14","4.3")</f>
        <v>4.3</v>
      </c>
      <c r="G6157" s="4" t="str">
        <f>HYPERLINK("http://141.218.60.56/~jnz1568/getInfo.php?workbook=14_04.xlsx&amp;sheet=U0&amp;row=6157&amp;col=7&amp;number=0.00247&amp;sourceID=14","0.00247")</f>
        <v>0.00247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HYPERLINK("http://141.218.60.56/~jnz1568/getInfo.php?workbook=14_04.xlsx&amp;sheet=U0&amp;row=6158&amp;col=6&amp;number=4.4&amp;sourceID=14","4.4")</f>
        <v>4.4</v>
      </c>
      <c r="G6158" s="4" t="str">
        <f>HYPERLINK("http://141.218.60.56/~jnz1568/getInfo.php?workbook=14_04.xlsx&amp;sheet=U0&amp;row=6158&amp;col=7&amp;number=0.00248&amp;sourceID=14","0.00248")</f>
        <v>0.00248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HYPERLINK("http://141.218.60.56/~jnz1568/getInfo.php?workbook=14_04.xlsx&amp;sheet=U0&amp;row=6159&amp;col=6&amp;number=4.5&amp;sourceID=14","4.5")</f>
        <v>4.5</v>
      </c>
      <c r="G6159" s="4" t="str">
        <f>HYPERLINK("http://141.218.60.56/~jnz1568/getInfo.php?workbook=14_04.xlsx&amp;sheet=U0&amp;row=6159&amp;col=7&amp;number=0.00248&amp;sourceID=14","0.00248")</f>
        <v>0.00248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HYPERLINK("http://141.218.60.56/~jnz1568/getInfo.php?workbook=14_04.xlsx&amp;sheet=U0&amp;row=6160&amp;col=6&amp;number=4.6&amp;sourceID=14","4.6")</f>
        <v>4.6</v>
      </c>
      <c r="G6160" s="4" t="str">
        <f>HYPERLINK("http://141.218.60.56/~jnz1568/getInfo.php?workbook=14_04.xlsx&amp;sheet=U0&amp;row=6160&amp;col=7&amp;number=0.00249&amp;sourceID=14","0.00249")</f>
        <v>0.00249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HYPERLINK("http://141.218.60.56/~jnz1568/getInfo.php?workbook=14_04.xlsx&amp;sheet=U0&amp;row=6161&amp;col=6&amp;number=4.7&amp;sourceID=14","4.7")</f>
        <v>4.7</v>
      </c>
      <c r="G6161" s="4" t="str">
        <f>HYPERLINK("http://141.218.60.56/~jnz1568/getInfo.php?workbook=14_04.xlsx&amp;sheet=U0&amp;row=6161&amp;col=7&amp;number=0.0025&amp;sourceID=14","0.0025")</f>
        <v>0.0025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HYPERLINK("http://141.218.60.56/~jnz1568/getInfo.php?workbook=14_04.xlsx&amp;sheet=U0&amp;row=6162&amp;col=6&amp;number=4.8&amp;sourceID=14","4.8")</f>
        <v>4.8</v>
      </c>
      <c r="G6162" s="4" t="str">
        <f>HYPERLINK("http://141.218.60.56/~jnz1568/getInfo.php?workbook=14_04.xlsx&amp;sheet=U0&amp;row=6162&amp;col=7&amp;number=0.00251&amp;sourceID=14","0.00251")</f>
        <v>0.00251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HYPERLINK("http://141.218.60.56/~jnz1568/getInfo.php?workbook=14_04.xlsx&amp;sheet=U0&amp;row=6163&amp;col=6&amp;number=4.9&amp;sourceID=14","4.9")</f>
        <v>4.9</v>
      </c>
      <c r="G6163" s="4" t="str">
        <f>HYPERLINK("http://141.218.60.56/~jnz1568/getInfo.php?workbook=14_04.xlsx&amp;sheet=U0&amp;row=6163&amp;col=7&amp;number=0.00252&amp;sourceID=14","0.00252")</f>
        <v>0.00252</v>
      </c>
    </row>
    <row r="6164" spans="1:7">
      <c r="A6164" s="3">
        <v>14</v>
      </c>
      <c r="B6164" s="3">
        <v>4</v>
      </c>
      <c r="C6164" s="3">
        <v>4</v>
      </c>
      <c r="D6164" s="3">
        <v>28</v>
      </c>
      <c r="E6164" s="3">
        <v>1</v>
      </c>
      <c r="F6164" s="4" t="str">
        <f>HYPERLINK("http://141.218.60.56/~jnz1568/getInfo.php?workbook=14_04.xlsx&amp;sheet=U0&amp;row=6164&amp;col=6&amp;number=3&amp;sourceID=14","3")</f>
        <v>3</v>
      </c>
      <c r="G6164" s="4" t="str">
        <f>HYPERLINK("http://141.218.60.56/~jnz1568/getInfo.php?workbook=14_04.xlsx&amp;sheet=U0&amp;row=6164&amp;col=7&amp;number=0.00694&amp;sourceID=14","0.00694")</f>
        <v>0.00694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HYPERLINK("http://141.218.60.56/~jnz1568/getInfo.php?workbook=14_04.xlsx&amp;sheet=U0&amp;row=6165&amp;col=6&amp;number=3.1&amp;sourceID=14","3.1")</f>
        <v>3.1</v>
      </c>
      <c r="G6165" s="4" t="str">
        <f>HYPERLINK("http://141.218.60.56/~jnz1568/getInfo.php?workbook=14_04.xlsx&amp;sheet=U0&amp;row=6165&amp;col=7&amp;number=0.00695&amp;sourceID=14","0.00695")</f>
        <v>0.00695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HYPERLINK("http://141.218.60.56/~jnz1568/getInfo.php?workbook=14_04.xlsx&amp;sheet=U0&amp;row=6166&amp;col=6&amp;number=3.2&amp;sourceID=14","3.2")</f>
        <v>3.2</v>
      </c>
      <c r="G6166" s="4" t="str">
        <f>HYPERLINK("http://141.218.60.56/~jnz1568/getInfo.php?workbook=14_04.xlsx&amp;sheet=U0&amp;row=6166&amp;col=7&amp;number=0.00695&amp;sourceID=14","0.00695")</f>
        <v>0.00695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HYPERLINK("http://141.218.60.56/~jnz1568/getInfo.php?workbook=14_04.xlsx&amp;sheet=U0&amp;row=6167&amp;col=6&amp;number=3.3&amp;sourceID=14","3.3")</f>
        <v>3.3</v>
      </c>
      <c r="G6167" s="4" t="str">
        <f>HYPERLINK("http://141.218.60.56/~jnz1568/getInfo.php?workbook=14_04.xlsx&amp;sheet=U0&amp;row=6167&amp;col=7&amp;number=0.00695&amp;sourceID=14","0.00695")</f>
        <v>0.00695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HYPERLINK("http://141.218.60.56/~jnz1568/getInfo.php?workbook=14_04.xlsx&amp;sheet=U0&amp;row=6168&amp;col=6&amp;number=3.4&amp;sourceID=14","3.4")</f>
        <v>3.4</v>
      </c>
      <c r="G6168" s="4" t="str">
        <f>HYPERLINK("http://141.218.60.56/~jnz1568/getInfo.php?workbook=14_04.xlsx&amp;sheet=U0&amp;row=6168&amp;col=7&amp;number=0.00696&amp;sourceID=14","0.00696")</f>
        <v>0.00696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HYPERLINK("http://141.218.60.56/~jnz1568/getInfo.php?workbook=14_04.xlsx&amp;sheet=U0&amp;row=6169&amp;col=6&amp;number=3.5&amp;sourceID=14","3.5")</f>
        <v>3.5</v>
      </c>
      <c r="G6169" s="4" t="str">
        <f>HYPERLINK("http://141.218.60.56/~jnz1568/getInfo.php?workbook=14_04.xlsx&amp;sheet=U0&amp;row=6169&amp;col=7&amp;number=0.00696&amp;sourceID=14","0.00696")</f>
        <v>0.00696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HYPERLINK("http://141.218.60.56/~jnz1568/getInfo.php?workbook=14_04.xlsx&amp;sheet=U0&amp;row=6170&amp;col=6&amp;number=3.6&amp;sourceID=14","3.6")</f>
        <v>3.6</v>
      </c>
      <c r="G6170" s="4" t="str">
        <f>HYPERLINK("http://141.218.60.56/~jnz1568/getInfo.php?workbook=14_04.xlsx&amp;sheet=U0&amp;row=6170&amp;col=7&amp;number=0.00697&amp;sourceID=14","0.00697")</f>
        <v>0.00697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HYPERLINK("http://141.218.60.56/~jnz1568/getInfo.php?workbook=14_04.xlsx&amp;sheet=U0&amp;row=6171&amp;col=6&amp;number=3.7&amp;sourceID=14","3.7")</f>
        <v>3.7</v>
      </c>
      <c r="G6171" s="4" t="str">
        <f>HYPERLINK("http://141.218.60.56/~jnz1568/getInfo.php?workbook=14_04.xlsx&amp;sheet=U0&amp;row=6171&amp;col=7&amp;number=0.00697&amp;sourceID=14","0.00697")</f>
        <v>0.00697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HYPERLINK("http://141.218.60.56/~jnz1568/getInfo.php?workbook=14_04.xlsx&amp;sheet=U0&amp;row=6172&amp;col=6&amp;number=3.8&amp;sourceID=14","3.8")</f>
        <v>3.8</v>
      </c>
      <c r="G6172" s="4" t="str">
        <f>HYPERLINK("http://141.218.60.56/~jnz1568/getInfo.php?workbook=14_04.xlsx&amp;sheet=U0&amp;row=6172&amp;col=7&amp;number=0.00698&amp;sourceID=14","0.00698")</f>
        <v>0.00698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HYPERLINK("http://141.218.60.56/~jnz1568/getInfo.php?workbook=14_04.xlsx&amp;sheet=U0&amp;row=6173&amp;col=6&amp;number=3.9&amp;sourceID=14","3.9")</f>
        <v>3.9</v>
      </c>
      <c r="G6173" s="4" t="str">
        <f>HYPERLINK("http://141.218.60.56/~jnz1568/getInfo.php?workbook=14_04.xlsx&amp;sheet=U0&amp;row=6173&amp;col=7&amp;number=0.00699&amp;sourceID=14","0.00699")</f>
        <v>0.00699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HYPERLINK("http://141.218.60.56/~jnz1568/getInfo.php?workbook=14_04.xlsx&amp;sheet=U0&amp;row=6174&amp;col=6&amp;number=4&amp;sourceID=14","4")</f>
        <v>4</v>
      </c>
      <c r="G6174" s="4" t="str">
        <f>HYPERLINK("http://141.218.60.56/~jnz1568/getInfo.php?workbook=14_04.xlsx&amp;sheet=U0&amp;row=6174&amp;col=7&amp;number=0.00701&amp;sourceID=14","0.00701")</f>
        <v>0.00701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HYPERLINK("http://141.218.60.56/~jnz1568/getInfo.php?workbook=14_04.xlsx&amp;sheet=U0&amp;row=6175&amp;col=6&amp;number=4.1&amp;sourceID=14","4.1")</f>
        <v>4.1</v>
      </c>
      <c r="G6175" s="4" t="str">
        <f>HYPERLINK("http://141.218.60.56/~jnz1568/getInfo.php?workbook=14_04.xlsx&amp;sheet=U0&amp;row=6175&amp;col=7&amp;number=0.00703&amp;sourceID=14","0.00703")</f>
        <v>0.00703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HYPERLINK("http://141.218.60.56/~jnz1568/getInfo.php?workbook=14_04.xlsx&amp;sheet=U0&amp;row=6176&amp;col=6&amp;number=4.2&amp;sourceID=14","4.2")</f>
        <v>4.2</v>
      </c>
      <c r="G6176" s="4" t="str">
        <f>HYPERLINK("http://141.218.60.56/~jnz1568/getInfo.php?workbook=14_04.xlsx&amp;sheet=U0&amp;row=6176&amp;col=7&amp;number=0.00705&amp;sourceID=14","0.00705")</f>
        <v>0.00705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HYPERLINK("http://141.218.60.56/~jnz1568/getInfo.php?workbook=14_04.xlsx&amp;sheet=U0&amp;row=6177&amp;col=6&amp;number=4.3&amp;sourceID=14","4.3")</f>
        <v>4.3</v>
      </c>
      <c r="G6177" s="4" t="str">
        <f>HYPERLINK("http://141.218.60.56/~jnz1568/getInfo.php?workbook=14_04.xlsx&amp;sheet=U0&amp;row=6177&amp;col=7&amp;number=0.00708&amp;sourceID=14","0.00708")</f>
        <v>0.00708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HYPERLINK("http://141.218.60.56/~jnz1568/getInfo.php?workbook=14_04.xlsx&amp;sheet=U0&amp;row=6178&amp;col=6&amp;number=4.4&amp;sourceID=14","4.4")</f>
        <v>4.4</v>
      </c>
      <c r="G6178" s="4" t="str">
        <f>HYPERLINK("http://141.218.60.56/~jnz1568/getInfo.php?workbook=14_04.xlsx&amp;sheet=U0&amp;row=6178&amp;col=7&amp;number=0.00712&amp;sourceID=14","0.00712")</f>
        <v>0.00712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HYPERLINK("http://141.218.60.56/~jnz1568/getInfo.php?workbook=14_04.xlsx&amp;sheet=U0&amp;row=6179&amp;col=6&amp;number=4.5&amp;sourceID=14","4.5")</f>
        <v>4.5</v>
      </c>
      <c r="G6179" s="4" t="str">
        <f>HYPERLINK("http://141.218.60.56/~jnz1568/getInfo.php?workbook=14_04.xlsx&amp;sheet=U0&amp;row=6179&amp;col=7&amp;number=0.00717&amp;sourceID=14","0.00717")</f>
        <v>0.00717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HYPERLINK("http://141.218.60.56/~jnz1568/getInfo.php?workbook=14_04.xlsx&amp;sheet=U0&amp;row=6180&amp;col=6&amp;number=4.6&amp;sourceID=14","4.6")</f>
        <v>4.6</v>
      </c>
      <c r="G6180" s="4" t="str">
        <f>HYPERLINK("http://141.218.60.56/~jnz1568/getInfo.php?workbook=14_04.xlsx&amp;sheet=U0&amp;row=6180&amp;col=7&amp;number=0.00722&amp;sourceID=14","0.00722")</f>
        <v>0.00722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HYPERLINK("http://141.218.60.56/~jnz1568/getInfo.php?workbook=14_04.xlsx&amp;sheet=U0&amp;row=6181&amp;col=6&amp;number=4.7&amp;sourceID=14","4.7")</f>
        <v>4.7</v>
      </c>
      <c r="G6181" s="4" t="str">
        <f>HYPERLINK("http://141.218.60.56/~jnz1568/getInfo.php?workbook=14_04.xlsx&amp;sheet=U0&amp;row=6181&amp;col=7&amp;number=0.0073&amp;sourceID=14","0.0073")</f>
        <v>0.0073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HYPERLINK("http://141.218.60.56/~jnz1568/getInfo.php?workbook=14_04.xlsx&amp;sheet=U0&amp;row=6182&amp;col=6&amp;number=4.8&amp;sourceID=14","4.8")</f>
        <v>4.8</v>
      </c>
      <c r="G6182" s="4" t="str">
        <f>HYPERLINK("http://141.218.60.56/~jnz1568/getInfo.php?workbook=14_04.xlsx&amp;sheet=U0&amp;row=6182&amp;col=7&amp;number=0.00739&amp;sourceID=14","0.00739")</f>
        <v>0.00739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HYPERLINK("http://141.218.60.56/~jnz1568/getInfo.php?workbook=14_04.xlsx&amp;sheet=U0&amp;row=6183&amp;col=6&amp;number=4.9&amp;sourceID=14","4.9")</f>
        <v>4.9</v>
      </c>
      <c r="G6183" s="4" t="str">
        <f>HYPERLINK("http://141.218.60.56/~jnz1568/getInfo.php?workbook=14_04.xlsx&amp;sheet=U0&amp;row=6183&amp;col=7&amp;number=0.00751&amp;sourceID=14","0.00751")</f>
        <v>0.00751</v>
      </c>
    </row>
    <row r="6184" spans="1:7">
      <c r="A6184" s="3">
        <v>14</v>
      </c>
      <c r="B6184" s="3">
        <v>4</v>
      </c>
      <c r="C6184" s="3">
        <v>4</v>
      </c>
      <c r="D6184" s="3">
        <v>29</v>
      </c>
      <c r="E6184" s="3">
        <v>1</v>
      </c>
      <c r="F6184" s="4" t="str">
        <f>HYPERLINK("http://141.218.60.56/~jnz1568/getInfo.php?workbook=14_04.xlsx&amp;sheet=U0&amp;row=6184&amp;col=6&amp;number=3&amp;sourceID=14","3")</f>
        <v>3</v>
      </c>
      <c r="G6184" s="4" t="str">
        <f>HYPERLINK("http://141.218.60.56/~jnz1568/getInfo.php?workbook=14_04.xlsx&amp;sheet=U0&amp;row=6184&amp;col=7&amp;number=0.00417&amp;sourceID=14","0.00417")</f>
        <v>0.00417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HYPERLINK("http://141.218.60.56/~jnz1568/getInfo.php?workbook=14_04.xlsx&amp;sheet=U0&amp;row=6185&amp;col=6&amp;number=3.1&amp;sourceID=14","3.1")</f>
        <v>3.1</v>
      </c>
      <c r="G6185" s="4" t="str">
        <f>HYPERLINK("http://141.218.60.56/~jnz1568/getInfo.php?workbook=14_04.xlsx&amp;sheet=U0&amp;row=6185&amp;col=7&amp;number=0.00417&amp;sourceID=14","0.00417")</f>
        <v>0.00417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HYPERLINK("http://141.218.60.56/~jnz1568/getInfo.php?workbook=14_04.xlsx&amp;sheet=U0&amp;row=6186&amp;col=6&amp;number=3.2&amp;sourceID=14","3.2")</f>
        <v>3.2</v>
      </c>
      <c r="G6186" s="4" t="str">
        <f>HYPERLINK("http://141.218.60.56/~jnz1568/getInfo.php?workbook=14_04.xlsx&amp;sheet=U0&amp;row=6186&amp;col=7&amp;number=0.00417&amp;sourceID=14","0.00417")</f>
        <v>0.00417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HYPERLINK("http://141.218.60.56/~jnz1568/getInfo.php?workbook=14_04.xlsx&amp;sheet=U0&amp;row=6187&amp;col=6&amp;number=3.3&amp;sourceID=14","3.3")</f>
        <v>3.3</v>
      </c>
      <c r="G6187" s="4" t="str">
        <f>HYPERLINK("http://141.218.60.56/~jnz1568/getInfo.php?workbook=14_04.xlsx&amp;sheet=U0&amp;row=6187&amp;col=7&amp;number=0.00417&amp;sourceID=14","0.00417")</f>
        <v>0.00417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HYPERLINK("http://141.218.60.56/~jnz1568/getInfo.php?workbook=14_04.xlsx&amp;sheet=U0&amp;row=6188&amp;col=6&amp;number=3.4&amp;sourceID=14","3.4")</f>
        <v>3.4</v>
      </c>
      <c r="G6188" s="4" t="str">
        <f>HYPERLINK("http://141.218.60.56/~jnz1568/getInfo.php?workbook=14_04.xlsx&amp;sheet=U0&amp;row=6188&amp;col=7&amp;number=0.00417&amp;sourceID=14","0.00417")</f>
        <v>0.00417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HYPERLINK("http://141.218.60.56/~jnz1568/getInfo.php?workbook=14_04.xlsx&amp;sheet=U0&amp;row=6189&amp;col=6&amp;number=3.5&amp;sourceID=14","3.5")</f>
        <v>3.5</v>
      </c>
      <c r="G6189" s="4" t="str">
        <f>HYPERLINK("http://141.218.60.56/~jnz1568/getInfo.php?workbook=14_04.xlsx&amp;sheet=U0&amp;row=6189&amp;col=7&amp;number=0.00418&amp;sourceID=14","0.00418")</f>
        <v>0.00418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HYPERLINK("http://141.218.60.56/~jnz1568/getInfo.php?workbook=14_04.xlsx&amp;sheet=U0&amp;row=6190&amp;col=6&amp;number=3.6&amp;sourceID=14","3.6")</f>
        <v>3.6</v>
      </c>
      <c r="G6190" s="4" t="str">
        <f>HYPERLINK("http://141.218.60.56/~jnz1568/getInfo.php?workbook=14_04.xlsx&amp;sheet=U0&amp;row=6190&amp;col=7&amp;number=0.00418&amp;sourceID=14","0.00418")</f>
        <v>0.00418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HYPERLINK("http://141.218.60.56/~jnz1568/getInfo.php?workbook=14_04.xlsx&amp;sheet=U0&amp;row=6191&amp;col=6&amp;number=3.7&amp;sourceID=14","3.7")</f>
        <v>3.7</v>
      </c>
      <c r="G6191" s="4" t="str">
        <f>HYPERLINK("http://141.218.60.56/~jnz1568/getInfo.php?workbook=14_04.xlsx&amp;sheet=U0&amp;row=6191&amp;col=7&amp;number=0.00418&amp;sourceID=14","0.00418")</f>
        <v>0.00418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HYPERLINK("http://141.218.60.56/~jnz1568/getInfo.php?workbook=14_04.xlsx&amp;sheet=U0&amp;row=6192&amp;col=6&amp;number=3.8&amp;sourceID=14","3.8")</f>
        <v>3.8</v>
      </c>
      <c r="G6192" s="4" t="str">
        <f>HYPERLINK("http://141.218.60.56/~jnz1568/getInfo.php?workbook=14_04.xlsx&amp;sheet=U0&amp;row=6192&amp;col=7&amp;number=0.00418&amp;sourceID=14","0.00418")</f>
        <v>0.00418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HYPERLINK("http://141.218.60.56/~jnz1568/getInfo.php?workbook=14_04.xlsx&amp;sheet=U0&amp;row=6193&amp;col=6&amp;number=3.9&amp;sourceID=14","3.9")</f>
        <v>3.9</v>
      </c>
      <c r="G6193" s="4" t="str">
        <f>HYPERLINK("http://141.218.60.56/~jnz1568/getInfo.php?workbook=14_04.xlsx&amp;sheet=U0&amp;row=6193&amp;col=7&amp;number=0.00419&amp;sourceID=14","0.00419")</f>
        <v>0.00419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HYPERLINK("http://141.218.60.56/~jnz1568/getInfo.php?workbook=14_04.xlsx&amp;sheet=U0&amp;row=6194&amp;col=6&amp;number=4&amp;sourceID=14","4")</f>
        <v>4</v>
      </c>
      <c r="G6194" s="4" t="str">
        <f>HYPERLINK("http://141.218.60.56/~jnz1568/getInfo.php?workbook=14_04.xlsx&amp;sheet=U0&amp;row=6194&amp;col=7&amp;number=0.00419&amp;sourceID=14","0.00419")</f>
        <v>0.00419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HYPERLINK("http://141.218.60.56/~jnz1568/getInfo.php?workbook=14_04.xlsx&amp;sheet=U0&amp;row=6195&amp;col=6&amp;number=4.1&amp;sourceID=14","4.1")</f>
        <v>4.1</v>
      </c>
      <c r="G6195" s="4" t="str">
        <f>HYPERLINK("http://141.218.60.56/~jnz1568/getInfo.php?workbook=14_04.xlsx&amp;sheet=U0&amp;row=6195&amp;col=7&amp;number=0.00419&amp;sourceID=14","0.00419")</f>
        <v>0.00419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HYPERLINK("http://141.218.60.56/~jnz1568/getInfo.php?workbook=14_04.xlsx&amp;sheet=U0&amp;row=6196&amp;col=6&amp;number=4.2&amp;sourceID=14","4.2")</f>
        <v>4.2</v>
      </c>
      <c r="G6196" s="4" t="str">
        <f>HYPERLINK("http://141.218.60.56/~jnz1568/getInfo.php?workbook=14_04.xlsx&amp;sheet=U0&amp;row=6196&amp;col=7&amp;number=0.0042&amp;sourceID=14","0.0042")</f>
        <v>0.0042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HYPERLINK("http://141.218.60.56/~jnz1568/getInfo.php?workbook=14_04.xlsx&amp;sheet=U0&amp;row=6197&amp;col=6&amp;number=4.3&amp;sourceID=14","4.3")</f>
        <v>4.3</v>
      </c>
      <c r="G6197" s="4" t="str">
        <f>HYPERLINK("http://141.218.60.56/~jnz1568/getInfo.php?workbook=14_04.xlsx&amp;sheet=U0&amp;row=6197&amp;col=7&amp;number=0.00421&amp;sourceID=14","0.00421")</f>
        <v>0.00421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HYPERLINK("http://141.218.60.56/~jnz1568/getInfo.php?workbook=14_04.xlsx&amp;sheet=U0&amp;row=6198&amp;col=6&amp;number=4.4&amp;sourceID=14","4.4")</f>
        <v>4.4</v>
      </c>
      <c r="G6198" s="4" t="str">
        <f>HYPERLINK("http://141.218.60.56/~jnz1568/getInfo.php?workbook=14_04.xlsx&amp;sheet=U0&amp;row=6198&amp;col=7&amp;number=0.00422&amp;sourceID=14","0.00422")</f>
        <v>0.00422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HYPERLINK("http://141.218.60.56/~jnz1568/getInfo.php?workbook=14_04.xlsx&amp;sheet=U0&amp;row=6199&amp;col=6&amp;number=4.5&amp;sourceID=14","4.5")</f>
        <v>4.5</v>
      </c>
      <c r="G6199" s="4" t="str">
        <f>HYPERLINK("http://141.218.60.56/~jnz1568/getInfo.php?workbook=14_04.xlsx&amp;sheet=U0&amp;row=6199&amp;col=7&amp;number=0.00423&amp;sourceID=14","0.00423")</f>
        <v>0.00423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HYPERLINK("http://141.218.60.56/~jnz1568/getInfo.php?workbook=14_04.xlsx&amp;sheet=U0&amp;row=6200&amp;col=6&amp;number=4.6&amp;sourceID=14","4.6")</f>
        <v>4.6</v>
      </c>
      <c r="G6200" s="4" t="str">
        <f>HYPERLINK("http://141.218.60.56/~jnz1568/getInfo.php?workbook=14_04.xlsx&amp;sheet=U0&amp;row=6200&amp;col=7&amp;number=0.00425&amp;sourceID=14","0.00425")</f>
        <v>0.00425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HYPERLINK("http://141.218.60.56/~jnz1568/getInfo.php?workbook=14_04.xlsx&amp;sheet=U0&amp;row=6201&amp;col=6&amp;number=4.7&amp;sourceID=14","4.7")</f>
        <v>4.7</v>
      </c>
      <c r="G6201" s="4" t="str">
        <f>HYPERLINK("http://141.218.60.56/~jnz1568/getInfo.php?workbook=14_04.xlsx&amp;sheet=U0&amp;row=6201&amp;col=7&amp;number=0.00427&amp;sourceID=14","0.00427")</f>
        <v>0.00427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HYPERLINK("http://141.218.60.56/~jnz1568/getInfo.php?workbook=14_04.xlsx&amp;sheet=U0&amp;row=6202&amp;col=6&amp;number=4.8&amp;sourceID=14","4.8")</f>
        <v>4.8</v>
      </c>
      <c r="G6202" s="4" t="str">
        <f>HYPERLINK("http://141.218.60.56/~jnz1568/getInfo.php?workbook=14_04.xlsx&amp;sheet=U0&amp;row=6202&amp;col=7&amp;number=0.00429&amp;sourceID=14","0.00429")</f>
        <v>0.00429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HYPERLINK("http://141.218.60.56/~jnz1568/getInfo.php?workbook=14_04.xlsx&amp;sheet=U0&amp;row=6203&amp;col=6&amp;number=4.9&amp;sourceID=14","4.9")</f>
        <v>4.9</v>
      </c>
      <c r="G6203" s="4" t="str">
        <f>HYPERLINK("http://141.218.60.56/~jnz1568/getInfo.php?workbook=14_04.xlsx&amp;sheet=U0&amp;row=6203&amp;col=7&amp;number=0.00432&amp;sourceID=14","0.00432")</f>
        <v>0.00432</v>
      </c>
    </row>
    <row r="6204" spans="1:7">
      <c r="A6204" s="3">
        <v>14</v>
      </c>
      <c r="B6204" s="3">
        <v>4</v>
      </c>
      <c r="C6204" s="3">
        <v>4</v>
      </c>
      <c r="D6204" s="3">
        <v>30</v>
      </c>
      <c r="E6204" s="3">
        <v>1</v>
      </c>
      <c r="F6204" s="4" t="str">
        <f>HYPERLINK("http://141.218.60.56/~jnz1568/getInfo.php?workbook=14_04.xlsx&amp;sheet=U0&amp;row=6204&amp;col=6&amp;number=3&amp;sourceID=14","3")</f>
        <v>3</v>
      </c>
      <c r="G6204" s="4" t="str">
        <f>HYPERLINK("http://141.218.60.56/~jnz1568/getInfo.php?workbook=14_04.xlsx&amp;sheet=U0&amp;row=6204&amp;col=7&amp;number=0.000404&amp;sourceID=14","0.000404")</f>
        <v>0.000404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HYPERLINK("http://141.218.60.56/~jnz1568/getInfo.php?workbook=14_04.xlsx&amp;sheet=U0&amp;row=6205&amp;col=6&amp;number=3.1&amp;sourceID=14","3.1")</f>
        <v>3.1</v>
      </c>
      <c r="G6205" s="4" t="str">
        <f>HYPERLINK("http://141.218.60.56/~jnz1568/getInfo.php?workbook=14_04.xlsx&amp;sheet=U0&amp;row=6205&amp;col=7&amp;number=0.000404&amp;sourceID=14","0.000404")</f>
        <v>0.000404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HYPERLINK("http://141.218.60.56/~jnz1568/getInfo.php?workbook=14_04.xlsx&amp;sheet=U0&amp;row=6206&amp;col=6&amp;number=3.2&amp;sourceID=14","3.2")</f>
        <v>3.2</v>
      </c>
      <c r="G6206" s="4" t="str">
        <f>HYPERLINK("http://141.218.60.56/~jnz1568/getInfo.php?workbook=14_04.xlsx&amp;sheet=U0&amp;row=6206&amp;col=7&amp;number=0.000404&amp;sourceID=14","0.000404")</f>
        <v>0.000404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HYPERLINK("http://141.218.60.56/~jnz1568/getInfo.php?workbook=14_04.xlsx&amp;sheet=U0&amp;row=6207&amp;col=6&amp;number=3.3&amp;sourceID=14","3.3")</f>
        <v>3.3</v>
      </c>
      <c r="G6207" s="4" t="str">
        <f>HYPERLINK("http://141.218.60.56/~jnz1568/getInfo.php?workbook=14_04.xlsx&amp;sheet=U0&amp;row=6207&amp;col=7&amp;number=0.000403&amp;sourceID=14","0.000403")</f>
        <v>0.000403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HYPERLINK("http://141.218.60.56/~jnz1568/getInfo.php?workbook=14_04.xlsx&amp;sheet=U0&amp;row=6208&amp;col=6&amp;number=3.4&amp;sourceID=14","3.4")</f>
        <v>3.4</v>
      </c>
      <c r="G6208" s="4" t="str">
        <f>HYPERLINK("http://141.218.60.56/~jnz1568/getInfo.php?workbook=14_04.xlsx&amp;sheet=U0&amp;row=6208&amp;col=7&amp;number=0.000403&amp;sourceID=14","0.000403")</f>
        <v>0.000403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HYPERLINK("http://141.218.60.56/~jnz1568/getInfo.php?workbook=14_04.xlsx&amp;sheet=U0&amp;row=6209&amp;col=6&amp;number=3.5&amp;sourceID=14","3.5")</f>
        <v>3.5</v>
      </c>
      <c r="G6209" s="4" t="str">
        <f>HYPERLINK("http://141.218.60.56/~jnz1568/getInfo.php?workbook=14_04.xlsx&amp;sheet=U0&amp;row=6209&amp;col=7&amp;number=0.000403&amp;sourceID=14","0.000403")</f>
        <v>0.000403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HYPERLINK("http://141.218.60.56/~jnz1568/getInfo.php?workbook=14_04.xlsx&amp;sheet=U0&amp;row=6210&amp;col=6&amp;number=3.6&amp;sourceID=14","3.6")</f>
        <v>3.6</v>
      </c>
      <c r="G6210" s="4" t="str">
        <f>HYPERLINK("http://141.218.60.56/~jnz1568/getInfo.php?workbook=14_04.xlsx&amp;sheet=U0&amp;row=6210&amp;col=7&amp;number=0.000403&amp;sourceID=14","0.000403")</f>
        <v>0.000403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HYPERLINK("http://141.218.60.56/~jnz1568/getInfo.php?workbook=14_04.xlsx&amp;sheet=U0&amp;row=6211&amp;col=6&amp;number=3.7&amp;sourceID=14","3.7")</f>
        <v>3.7</v>
      </c>
      <c r="G6211" s="4" t="str">
        <f>HYPERLINK("http://141.218.60.56/~jnz1568/getInfo.php?workbook=14_04.xlsx&amp;sheet=U0&amp;row=6211&amp;col=7&amp;number=0.000403&amp;sourceID=14","0.000403")</f>
        <v>0.000403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HYPERLINK("http://141.218.60.56/~jnz1568/getInfo.php?workbook=14_04.xlsx&amp;sheet=U0&amp;row=6212&amp;col=6&amp;number=3.8&amp;sourceID=14","3.8")</f>
        <v>3.8</v>
      </c>
      <c r="G6212" s="4" t="str">
        <f>HYPERLINK("http://141.218.60.56/~jnz1568/getInfo.php?workbook=14_04.xlsx&amp;sheet=U0&amp;row=6212&amp;col=7&amp;number=0.000403&amp;sourceID=14","0.000403")</f>
        <v>0.000403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HYPERLINK("http://141.218.60.56/~jnz1568/getInfo.php?workbook=14_04.xlsx&amp;sheet=U0&amp;row=6213&amp;col=6&amp;number=3.9&amp;sourceID=14","3.9")</f>
        <v>3.9</v>
      </c>
      <c r="G6213" s="4" t="str">
        <f>HYPERLINK("http://141.218.60.56/~jnz1568/getInfo.php?workbook=14_04.xlsx&amp;sheet=U0&amp;row=6213&amp;col=7&amp;number=0.000403&amp;sourceID=14","0.000403")</f>
        <v>0.000403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HYPERLINK("http://141.218.60.56/~jnz1568/getInfo.php?workbook=14_04.xlsx&amp;sheet=U0&amp;row=6214&amp;col=6&amp;number=4&amp;sourceID=14","4")</f>
        <v>4</v>
      </c>
      <c r="G6214" s="4" t="str">
        <f>HYPERLINK("http://141.218.60.56/~jnz1568/getInfo.php?workbook=14_04.xlsx&amp;sheet=U0&amp;row=6214&amp;col=7&amp;number=0.000403&amp;sourceID=14","0.000403")</f>
        <v>0.000403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HYPERLINK("http://141.218.60.56/~jnz1568/getInfo.php?workbook=14_04.xlsx&amp;sheet=U0&amp;row=6215&amp;col=6&amp;number=4.1&amp;sourceID=14","4.1")</f>
        <v>4.1</v>
      </c>
      <c r="G6215" s="4" t="str">
        <f>HYPERLINK("http://141.218.60.56/~jnz1568/getInfo.php?workbook=14_04.xlsx&amp;sheet=U0&amp;row=6215&amp;col=7&amp;number=0.000403&amp;sourceID=14","0.000403")</f>
        <v>0.000403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HYPERLINK("http://141.218.60.56/~jnz1568/getInfo.php?workbook=14_04.xlsx&amp;sheet=U0&amp;row=6216&amp;col=6&amp;number=4.2&amp;sourceID=14","4.2")</f>
        <v>4.2</v>
      </c>
      <c r="G6216" s="4" t="str">
        <f>HYPERLINK("http://141.218.60.56/~jnz1568/getInfo.php?workbook=14_04.xlsx&amp;sheet=U0&amp;row=6216&amp;col=7&amp;number=0.000403&amp;sourceID=14","0.000403")</f>
        <v>0.000403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HYPERLINK("http://141.218.60.56/~jnz1568/getInfo.php?workbook=14_04.xlsx&amp;sheet=U0&amp;row=6217&amp;col=6&amp;number=4.3&amp;sourceID=14","4.3")</f>
        <v>4.3</v>
      </c>
      <c r="G6217" s="4" t="str">
        <f>HYPERLINK("http://141.218.60.56/~jnz1568/getInfo.php?workbook=14_04.xlsx&amp;sheet=U0&amp;row=6217&amp;col=7&amp;number=0.000402&amp;sourceID=14","0.000402")</f>
        <v>0.000402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HYPERLINK("http://141.218.60.56/~jnz1568/getInfo.php?workbook=14_04.xlsx&amp;sheet=U0&amp;row=6218&amp;col=6&amp;number=4.4&amp;sourceID=14","4.4")</f>
        <v>4.4</v>
      </c>
      <c r="G6218" s="4" t="str">
        <f>HYPERLINK("http://141.218.60.56/~jnz1568/getInfo.php?workbook=14_04.xlsx&amp;sheet=U0&amp;row=6218&amp;col=7&amp;number=0.000402&amp;sourceID=14","0.000402")</f>
        <v>0.000402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HYPERLINK("http://141.218.60.56/~jnz1568/getInfo.php?workbook=14_04.xlsx&amp;sheet=U0&amp;row=6219&amp;col=6&amp;number=4.5&amp;sourceID=14","4.5")</f>
        <v>4.5</v>
      </c>
      <c r="G6219" s="4" t="str">
        <f>HYPERLINK("http://141.218.60.56/~jnz1568/getInfo.php?workbook=14_04.xlsx&amp;sheet=U0&amp;row=6219&amp;col=7&amp;number=0.000402&amp;sourceID=14","0.000402")</f>
        <v>0.000402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HYPERLINK("http://141.218.60.56/~jnz1568/getInfo.php?workbook=14_04.xlsx&amp;sheet=U0&amp;row=6220&amp;col=6&amp;number=4.6&amp;sourceID=14","4.6")</f>
        <v>4.6</v>
      </c>
      <c r="G6220" s="4" t="str">
        <f>HYPERLINK("http://141.218.60.56/~jnz1568/getInfo.php?workbook=14_04.xlsx&amp;sheet=U0&amp;row=6220&amp;col=7&amp;number=0.000401&amp;sourceID=14","0.000401")</f>
        <v>0.000401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HYPERLINK("http://141.218.60.56/~jnz1568/getInfo.php?workbook=14_04.xlsx&amp;sheet=U0&amp;row=6221&amp;col=6&amp;number=4.7&amp;sourceID=14","4.7")</f>
        <v>4.7</v>
      </c>
      <c r="G6221" s="4" t="str">
        <f>HYPERLINK("http://141.218.60.56/~jnz1568/getInfo.php?workbook=14_04.xlsx&amp;sheet=U0&amp;row=6221&amp;col=7&amp;number=0.0004&amp;sourceID=14","0.0004")</f>
        <v>0.0004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HYPERLINK("http://141.218.60.56/~jnz1568/getInfo.php?workbook=14_04.xlsx&amp;sheet=U0&amp;row=6222&amp;col=6&amp;number=4.8&amp;sourceID=14","4.8")</f>
        <v>4.8</v>
      </c>
      <c r="G6222" s="4" t="str">
        <f>HYPERLINK("http://141.218.60.56/~jnz1568/getInfo.php?workbook=14_04.xlsx&amp;sheet=U0&amp;row=6222&amp;col=7&amp;number=0.0004&amp;sourceID=14","0.0004")</f>
        <v>0.0004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HYPERLINK("http://141.218.60.56/~jnz1568/getInfo.php?workbook=14_04.xlsx&amp;sheet=U0&amp;row=6223&amp;col=6&amp;number=4.9&amp;sourceID=14","4.9")</f>
        <v>4.9</v>
      </c>
      <c r="G6223" s="4" t="str">
        <f>HYPERLINK("http://141.218.60.56/~jnz1568/getInfo.php?workbook=14_04.xlsx&amp;sheet=U0&amp;row=6223&amp;col=7&amp;number=0.000399&amp;sourceID=14","0.000399")</f>
        <v>0.000399</v>
      </c>
    </row>
    <row r="6224" spans="1:7">
      <c r="A6224" s="3">
        <v>14</v>
      </c>
      <c r="B6224" s="3">
        <v>4</v>
      </c>
      <c r="C6224" s="3">
        <v>4</v>
      </c>
      <c r="D6224" s="3">
        <v>31</v>
      </c>
      <c r="E6224" s="3">
        <v>1</v>
      </c>
      <c r="F6224" s="4" t="str">
        <f>HYPERLINK("http://141.218.60.56/~jnz1568/getInfo.php?workbook=14_04.xlsx&amp;sheet=U0&amp;row=6224&amp;col=6&amp;number=3&amp;sourceID=14","3")</f>
        <v>3</v>
      </c>
      <c r="G6224" s="4" t="str">
        <f>HYPERLINK("http://141.218.60.56/~jnz1568/getInfo.php?workbook=14_04.xlsx&amp;sheet=U0&amp;row=6224&amp;col=7&amp;number=0.00471&amp;sourceID=14","0.00471")</f>
        <v>0.00471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HYPERLINK("http://141.218.60.56/~jnz1568/getInfo.php?workbook=14_04.xlsx&amp;sheet=U0&amp;row=6225&amp;col=6&amp;number=3.1&amp;sourceID=14","3.1")</f>
        <v>3.1</v>
      </c>
      <c r="G6225" s="4" t="str">
        <f>HYPERLINK("http://141.218.60.56/~jnz1568/getInfo.php?workbook=14_04.xlsx&amp;sheet=U0&amp;row=6225&amp;col=7&amp;number=0.00471&amp;sourceID=14","0.00471")</f>
        <v>0.00471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HYPERLINK("http://141.218.60.56/~jnz1568/getInfo.php?workbook=14_04.xlsx&amp;sheet=U0&amp;row=6226&amp;col=6&amp;number=3.2&amp;sourceID=14","3.2")</f>
        <v>3.2</v>
      </c>
      <c r="G6226" s="4" t="str">
        <f>HYPERLINK("http://141.218.60.56/~jnz1568/getInfo.php?workbook=14_04.xlsx&amp;sheet=U0&amp;row=6226&amp;col=7&amp;number=0.00471&amp;sourceID=14","0.00471")</f>
        <v>0.00471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HYPERLINK("http://141.218.60.56/~jnz1568/getInfo.php?workbook=14_04.xlsx&amp;sheet=U0&amp;row=6227&amp;col=6&amp;number=3.3&amp;sourceID=14","3.3")</f>
        <v>3.3</v>
      </c>
      <c r="G6227" s="4" t="str">
        <f>HYPERLINK("http://141.218.60.56/~jnz1568/getInfo.php?workbook=14_04.xlsx&amp;sheet=U0&amp;row=6227&amp;col=7&amp;number=0.00471&amp;sourceID=14","0.00471")</f>
        <v>0.00471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HYPERLINK("http://141.218.60.56/~jnz1568/getInfo.php?workbook=14_04.xlsx&amp;sheet=U0&amp;row=6228&amp;col=6&amp;number=3.4&amp;sourceID=14","3.4")</f>
        <v>3.4</v>
      </c>
      <c r="G6228" s="4" t="str">
        <f>HYPERLINK("http://141.218.60.56/~jnz1568/getInfo.php?workbook=14_04.xlsx&amp;sheet=U0&amp;row=6228&amp;col=7&amp;number=0.00471&amp;sourceID=14","0.00471")</f>
        <v>0.00471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HYPERLINK("http://141.218.60.56/~jnz1568/getInfo.php?workbook=14_04.xlsx&amp;sheet=U0&amp;row=6229&amp;col=6&amp;number=3.5&amp;sourceID=14","3.5")</f>
        <v>3.5</v>
      </c>
      <c r="G6229" s="4" t="str">
        <f>HYPERLINK("http://141.218.60.56/~jnz1568/getInfo.php?workbook=14_04.xlsx&amp;sheet=U0&amp;row=6229&amp;col=7&amp;number=0.00471&amp;sourceID=14","0.00471")</f>
        <v>0.00471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HYPERLINK("http://141.218.60.56/~jnz1568/getInfo.php?workbook=14_04.xlsx&amp;sheet=U0&amp;row=6230&amp;col=6&amp;number=3.6&amp;sourceID=14","3.6")</f>
        <v>3.6</v>
      </c>
      <c r="G6230" s="4" t="str">
        <f>HYPERLINK("http://141.218.60.56/~jnz1568/getInfo.php?workbook=14_04.xlsx&amp;sheet=U0&amp;row=6230&amp;col=7&amp;number=0.00471&amp;sourceID=14","0.00471")</f>
        <v>0.00471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HYPERLINK("http://141.218.60.56/~jnz1568/getInfo.php?workbook=14_04.xlsx&amp;sheet=U0&amp;row=6231&amp;col=6&amp;number=3.7&amp;sourceID=14","3.7")</f>
        <v>3.7</v>
      </c>
      <c r="G6231" s="4" t="str">
        <f>HYPERLINK("http://141.218.60.56/~jnz1568/getInfo.php?workbook=14_04.xlsx&amp;sheet=U0&amp;row=6231&amp;col=7&amp;number=0.00472&amp;sourceID=14","0.00472")</f>
        <v>0.00472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HYPERLINK("http://141.218.60.56/~jnz1568/getInfo.php?workbook=14_04.xlsx&amp;sheet=U0&amp;row=6232&amp;col=6&amp;number=3.8&amp;sourceID=14","3.8")</f>
        <v>3.8</v>
      </c>
      <c r="G6232" s="4" t="str">
        <f>HYPERLINK("http://141.218.60.56/~jnz1568/getInfo.php?workbook=14_04.xlsx&amp;sheet=U0&amp;row=6232&amp;col=7&amp;number=0.00472&amp;sourceID=14","0.00472")</f>
        <v>0.00472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HYPERLINK("http://141.218.60.56/~jnz1568/getInfo.php?workbook=14_04.xlsx&amp;sheet=U0&amp;row=6233&amp;col=6&amp;number=3.9&amp;sourceID=14","3.9")</f>
        <v>3.9</v>
      </c>
      <c r="G6233" s="4" t="str">
        <f>HYPERLINK("http://141.218.60.56/~jnz1568/getInfo.php?workbook=14_04.xlsx&amp;sheet=U0&amp;row=6233&amp;col=7&amp;number=0.00473&amp;sourceID=14","0.00473")</f>
        <v>0.00473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HYPERLINK("http://141.218.60.56/~jnz1568/getInfo.php?workbook=14_04.xlsx&amp;sheet=U0&amp;row=6234&amp;col=6&amp;number=4&amp;sourceID=14","4")</f>
        <v>4</v>
      </c>
      <c r="G6234" s="4" t="str">
        <f>HYPERLINK("http://141.218.60.56/~jnz1568/getInfo.php?workbook=14_04.xlsx&amp;sheet=U0&amp;row=6234&amp;col=7&amp;number=0.00473&amp;sourceID=14","0.00473")</f>
        <v>0.00473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HYPERLINK("http://141.218.60.56/~jnz1568/getInfo.php?workbook=14_04.xlsx&amp;sheet=U0&amp;row=6235&amp;col=6&amp;number=4.1&amp;sourceID=14","4.1")</f>
        <v>4.1</v>
      </c>
      <c r="G6235" s="4" t="str">
        <f>HYPERLINK("http://141.218.60.56/~jnz1568/getInfo.php?workbook=14_04.xlsx&amp;sheet=U0&amp;row=6235&amp;col=7&amp;number=0.00474&amp;sourceID=14","0.00474")</f>
        <v>0.00474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HYPERLINK("http://141.218.60.56/~jnz1568/getInfo.php?workbook=14_04.xlsx&amp;sheet=U0&amp;row=6236&amp;col=6&amp;number=4.2&amp;sourceID=14","4.2")</f>
        <v>4.2</v>
      </c>
      <c r="G6236" s="4" t="str">
        <f>HYPERLINK("http://141.218.60.56/~jnz1568/getInfo.php?workbook=14_04.xlsx&amp;sheet=U0&amp;row=6236&amp;col=7&amp;number=0.00475&amp;sourceID=14","0.00475")</f>
        <v>0.00475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HYPERLINK("http://141.218.60.56/~jnz1568/getInfo.php?workbook=14_04.xlsx&amp;sheet=U0&amp;row=6237&amp;col=6&amp;number=4.3&amp;sourceID=14","4.3")</f>
        <v>4.3</v>
      </c>
      <c r="G6237" s="4" t="str">
        <f>HYPERLINK("http://141.218.60.56/~jnz1568/getInfo.php?workbook=14_04.xlsx&amp;sheet=U0&amp;row=6237&amp;col=7&amp;number=0.00477&amp;sourceID=14","0.00477")</f>
        <v>0.00477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HYPERLINK("http://141.218.60.56/~jnz1568/getInfo.php?workbook=14_04.xlsx&amp;sheet=U0&amp;row=6238&amp;col=6&amp;number=4.4&amp;sourceID=14","4.4")</f>
        <v>4.4</v>
      </c>
      <c r="G6238" s="4" t="str">
        <f>HYPERLINK("http://141.218.60.56/~jnz1568/getInfo.php?workbook=14_04.xlsx&amp;sheet=U0&amp;row=6238&amp;col=7&amp;number=0.00478&amp;sourceID=14","0.00478")</f>
        <v>0.00478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HYPERLINK("http://141.218.60.56/~jnz1568/getInfo.php?workbook=14_04.xlsx&amp;sheet=U0&amp;row=6239&amp;col=6&amp;number=4.5&amp;sourceID=14","4.5")</f>
        <v>4.5</v>
      </c>
      <c r="G6239" s="4" t="str">
        <f>HYPERLINK("http://141.218.60.56/~jnz1568/getInfo.php?workbook=14_04.xlsx&amp;sheet=U0&amp;row=6239&amp;col=7&amp;number=0.0048&amp;sourceID=14","0.0048")</f>
        <v>0.0048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HYPERLINK("http://141.218.60.56/~jnz1568/getInfo.php?workbook=14_04.xlsx&amp;sheet=U0&amp;row=6240&amp;col=6&amp;number=4.6&amp;sourceID=14","4.6")</f>
        <v>4.6</v>
      </c>
      <c r="G6240" s="4" t="str">
        <f>HYPERLINK("http://141.218.60.56/~jnz1568/getInfo.php?workbook=14_04.xlsx&amp;sheet=U0&amp;row=6240&amp;col=7&amp;number=0.00483&amp;sourceID=14","0.00483")</f>
        <v>0.00483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HYPERLINK("http://141.218.60.56/~jnz1568/getInfo.php?workbook=14_04.xlsx&amp;sheet=U0&amp;row=6241&amp;col=6&amp;number=4.7&amp;sourceID=14","4.7")</f>
        <v>4.7</v>
      </c>
      <c r="G6241" s="4" t="str">
        <f>HYPERLINK("http://141.218.60.56/~jnz1568/getInfo.php?workbook=14_04.xlsx&amp;sheet=U0&amp;row=6241&amp;col=7&amp;number=0.00486&amp;sourceID=14","0.00486")</f>
        <v>0.00486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HYPERLINK("http://141.218.60.56/~jnz1568/getInfo.php?workbook=14_04.xlsx&amp;sheet=U0&amp;row=6242&amp;col=6&amp;number=4.8&amp;sourceID=14","4.8")</f>
        <v>4.8</v>
      </c>
      <c r="G6242" s="4" t="str">
        <f>HYPERLINK("http://141.218.60.56/~jnz1568/getInfo.php?workbook=14_04.xlsx&amp;sheet=U0&amp;row=6242&amp;col=7&amp;number=0.0049&amp;sourceID=14","0.0049")</f>
        <v>0.0049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HYPERLINK("http://141.218.60.56/~jnz1568/getInfo.php?workbook=14_04.xlsx&amp;sheet=U0&amp;row=6243&amp;col=6&amp;number=4.9&amp;sourceID=14","4.9")</f>
        <v>4.9</v>
      </c>
      <c r="G6243" s="4" t="str">
        <f>HYPERLINK("http://141.218.60.56/~jnz1568/getInfo.php?workbook=14_04.xlsx&amp;sheet=U0&amp;row=6243&amp;col=7&amp;number=0.00496&amp;sourceID=14","0.00496")</f>
        <v>0.00496</v>
      </c>
    </row>
    <row r="6244" spans="1:7">
      <c r="A6244" s="3">
        <v>14</v>
      </c>
      <c r="B6244" s="3">
        <v>4</v>
      </c>
      <c r="C6244" s="3">
        <v>4</v>
      </c>
      <c r="D6244" s="3">
        <v>32</v>
      </c>
      <c r="E6244" s="3">
        <v>1</v>
      </c>
      <c r="F6244" s="4" t="str">
        <f>HYPERLINK("http://141.218.60.56/~jnz1568/getInfo.php?workbook=14_04.xlsx&amp;sheet=U0&amp;row=6244&amp;col=6&amp;number=3&amp;sourceID=14","3")</f>
        <v>3</v>
      </c>
      <c r="G6244" s="4" t="str">
        <f>HYPERLINK("http://141.218.60.56/~jnz1568/getInfo.php?workbook=14_04.xlsx&amp;sheet=U0&amp;row=6244&amp;col=7&amp;number=0.00957&amp;sourceID=14","0.00957")</f>
        <v>0.00957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HYPERLINK("http://141.218.60.56/~jnz1568/getInfo.php?workbook=14_04.xlsx&amp;sheet=U0&amp;row=6245&amp;col=6&amp;number=3.1&amp;sourceID=14","3.1")</f>
        <v>3.1</v>
      </c>
      <c r="G6245" s="4" t="str">
        <f>HYPERLINK("http://141.218.60.56/~jnz1568/getInfo.php?workbook=14_04.xlsx&amp;sheet=U0&amp;row=6245&amp;col=7&amp;number=0.00958&amp;sourceID=14","0.00958")</f>
        <v>0.00958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HYPERLINK("http://141.218.60.56/~jnz1568/getInfo.php?workbook=14_04.xlsx&amp;sheet=U0&amp;row=6246&amp;col=6&amp;number=3.2&amp;sourceID=14","3.2")</f>
        <v>3.2</v>
      </c>
      <c r="G6246" s="4" t="str">
        <f>HYPERLINK("http://141.218.60.56/~jnz1568/getInfo.php?workbook=14_04.xlsx&amp;sheet=U0&amp;row=6246&amp;col=7&amp;number=0.00958&amp;sourceID=14","0.00958")</f>
        <v>0.00958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HYPERLINK("http://141.218.60.56/~jnz1568/getInfo.php?workbook=14_04.xlsx&amp;sheet=U0&amp;row=6247&amp;col=6&amp;number=3.3&amp;sourceID=14","3.3")</f>
        <v>3.3</v>
      </c>
      <c r="G6247" s="4" t="str">
        <f>HYPERLINK("http://141.218.60.56/~jnz1568/getInfo.php?workbook=14_04.xlsx&amp;sheet=U0&amp;row=6247&amp;col=7&amp;number=0.00958&amp;sourceID=14","0.00958")</f>
        <v>0.00958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HYPERLINK("http://141.218.60.56/~jnz1568/getInfo.php?workbook=14_04.xlsx&amp;sheet=U0&amp;row=6248&amp;col=6&amp;number=3.4&amp;sourceID=14","3.4")</f>
        <v>3.4</v>
      </c>
      <c r="G6248" s="4" t="str">
        <f>HYPERLINK("http://141.218.60.56/~jnz1568/getInfo.php?workbook=14_04.xlsx&amp;sheet=U0&amp;row=6248&amp;col=7&amp;number=0.00958&amp;sourceID=14","0.00958")</f>
        <v>0.00958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HYPERLINK("http://141.218.60.56/~jnz1568/getInfo.php?workbook=14_04.xlsx&amp;sheet=U0&amp;row=6249&amp;col=6&amp;number=3.5&amp;sourceID=14","3.5")</f>
        <v>3.5</v>
      </c>
      <c r="G6249" s="4" t="str">
        <f>HYPERLINK("http://141.218.60.56/~jnz1568/getInfo.php?workbook=14_04.xlsx&amp;sheet=U0&amp;row=6249&amp;col=7&amp;number=0.00959&amp;sourceID=14","0.00959")</f>
        <v>0.00959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HYPERLINK("http://141.218.60.56/~jnz1568/getInfo.php?workbook=14_04.xlsx&amp;sheet=U0&amp;row=6250&amp;col=6&amp;number=3.6&amp;sourceID=14","3.6")</f>
        <v>3.6</v>
      </c>
      <c r="G6250" s="4" t="str">
        <f>HYPERLINK("http://141.218.60.56/~jnz1568/getInfo.php?workbook=14_04.xlsx&amp;sheet=U0&amp;row=6250&amp;col=7&amp;number=0.00959&amp;sourceID=14","0.00959")</f>
        <v>0.00959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HYPERLINK("http://141.218.60.56/~jnz1568/getInfo.php?workbook=14_04.xlsx&amp;sheet=U0&amp;row=6251&amp;col=6&amp;number=3.7&amp;sourceID=14","3.7")</f>
        <v>3.7</v>
      </c>
      <c r="G6251" s="4" t="str">
        <f>HYPERLINK("http://141.218.60.56/~jnz1568/getInfo.php?workbook=14_04.xlsx&amp;sheet=U0&amp;row=6251&amp;col=7&amp;number=0.0096&amp;sourceID=14","0.0096")</f>
        <v>0.0096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HYPERLINK("http://141.218.60.56/~jnz1568/getInfo.php?workbook=14_04.xlsx&amp;sheet=U0&amp;row=6252&amp;col=6&amp;number=3.8&amp;sourceID=14","3.8")</f>
        <v>3.8</v>
      </c>
      <c r="G6252" s="4" t="str">
        <f>HYPERLINK("http://141.218.60.56/~jnz1568/getInfo.php?workbook=14_04.xlsx&amp;sheet=U0&amp;row=6252&amp;col=7&amp;number=0.00961&amp;sourceID=14","0.00961")</f>
        <v>0.00961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HYPERLINK("http://141.218.60.56/~jnz1568/getInfo.php?workbook=14_04.xlsx&amp;sheet=U0&amp;row=6253&amp;col=6&amp;number=3.9&amp;sourceID=14","3.9")</f>
        <v>3.9</v>
      </c>
      <c r="G6253" s="4" t="str">
        <f>HYPERLINK("http://141.218.60.56/~jnz1568/getInfo.php?workbook=14_04.xlsx&amp;sheet=U0&amp;row=6253&amp;col=7&amp;number=0.00962&amp;sourceID=14","0.00962")</f>
        <v>0.00962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HYPERLINK("http://141.218.60.56/~jnz1568/getInfo.php?workbook=14_04.xlsx&amp;sheet=U0&amp;row=6254&amp;col=6&amp;number=4&amp;sourceID=14","4")</f>
        <v>4</v>
      </c>
      <c r="G6254" s="4" t="str">
        <f>HYPERLINK("http://141.218.60.56/~jnz1568/getInfo.php?workbook=14_04.xlsx&amp;sheet=U0&amp;row=6254&amp;col=7&amp;number=0.00963&amp;sourceID=14","0.00963")</f>
        <v>0.00963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HYPERLINK("http://141.218.60.56/~jnz1568/getInfo.php?workbook=14_04.xlsx&amp;sheet=U0&amp;row=6255&amp;col=6&amp;number=4.1&amp;sourceID=14","4.1")</f>
        <v>4.1</v>
      </c>
      <c r="G6255" s="4" t="str">
        <f>HYPERLINK("http://141.218.60.56/~jnz1568/getInfo.php?workbook=14_04.xlsx&amp;sheet=U0&amp;row=6255&amp;col=7&amp;number=0.00965&amp;sourceID=14","0.00965")</f>
        <v>0.00965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HYPERLINK("http://141.218.60.56/~jnz1568/getInfo.php?workbook=14_04.xlsx&amp;sheet=U0&amp;row=6256&amp;col=6&amp;number=4.2&amp;sourceID=14","4.2")</f>
        <v>4.2</v>
      </c>
      <c r="G6256" s="4" t="str">
        <f>HYPERLINK("http://141.218.60.56/~jnz1568/getInfo.php?workbook=14_04.xlsx&amp;sheet=U0&amp;row=6256&amp;col=7&amp;number=0.00967&amp;sourceID=14","0.00967")</f>
        <v>0.00967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HYPERLINK("http://141.218.60.56/~jnz1568/getInfo.php?workbook=14_04.xlsx&amp;sheet=U0&amp;row=6257&amp;col=6&amp;number=4.3&amp;sourceID=14","4.3")</f>
        <v>4.3</v>
      </c>
      <c r="G6257" s="4" t="str">
        <f>HYPERLINK("http://141.218.60.56/~jnz1568/getInfo.php?workbook=14_04.xlsx&amp;sheet=U0&amp;row=6257&amp;col=7&amp;number=0.0097&amp;sourceID=14","0.0097")</f>
        <v>0.0097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HYPERLINK("http://141.218.60.56/~jnz1568/getInfo.php?workbook=14_04.xlsx&amp;sheet=U0&amp;row=6258&amp;col=6&amp;number=4.4&amp;sourceID=14","4.4")</f>
        <v>4.4</v>
      </c>
      <c r="G6258" s="4" t="str">
        <f>HYPERLINK("http://141.218.60.56/~jnz1568/getInfo.php?workbook=14_04.xlsx&amp;sheet=U0&amp;row=6258&amp;col=7&amp;number=0.00974&amp;sourceID=14","0.00974")</f>
        <v>0.00974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HYPERLINK("http://141.218.60.56/~jnz1568/getInfo.php?workbook=14_04.xlsx&amp;sheet=U0&amp;row=6259&amp;col=6&amp;number=4.5&amp;sourceID=14","4.5")</f>
        <v>4.5</v>
      </c>
      <c r="G6259" s="4" t="str">
        <f>HYPERLINK("http://141.218.60.56/~jnz1568/getInfo.php?workbook=14_04.xlsx&amp;sheet=U0&amp;row=6259&amp;col=7&amp;number=0.00978&amp;sourceID=14","0.00978")</f>
        <v>0.00978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HYPERLINK("http://141.218.60.56/~jnz1568/getInfo.php?workbook=14_04.xlsx&amp;sheet=U0&amp;row=6260&amp;col=6&amp;number=4.6&amp;sourceID=14","4.6")</f>
        <v>4.6</v>
      </c>
      <c r="G6260" s="4" t="str">
        <f>HYPERLINK("http://141.218.60.56/~jnz1568/getInfo.php?workbook=14_04.xlsx&amp;sheet=U0&amp;row=6260&amp;col=7&amp;number=0.00983&amp;sourceID=14","0.00983")</f>
        <v>0.00983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HYPERLINK("http://141.218.60.56/~jnz1568/getInfo.php?workbook=14_04.xlsx&amp;sheet=U0&amp;row=6261&amp;col=6&amp;number=4.7&amp;sourceID=14","4.7")</f>
        <v>4.7</v>
      </c>
      <c r="G6261" s="4" t="str">
        <f>HYPERLINK("http://141.218.60.56/~jnz1568/getInfo.php?workbook=14_04.xlsx&amp;sheet=U0&amp;row=6261&amp;col=7&amp;number=0.0099&amp;sourceID=14","0.0099")</f>
        <v>0.0099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HYPERLINK("http://141.218.60.56/~jnz1568/getInfo.php?workbook=14_04.xlsx&amp;sheet=U0&amp;row=6262&amp;col=6&amp;number=4.8&amp;sourceID=14","4.8")</f>
        <v>4.8</v>
      </c>
      <c r="G6262" s="4" t="str">
        <f>HYPERLINK("http://141.218.60.56/~jnz1568/getInfo.php?workbook=14_04.xlsx&amp;sheet=U0&amp;row=6262&amp;col=7&amp;number=0.00999&amp;sourceID=14","0.00999")</f>
        <v>0.00999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HYPERLINK("http://141.218.60.56/~jnz1568/getInfo.php?workbook=14_04.xlsx&amp;sheet=U0&amp;row=6263&amp;col=6&amp;number=4.9&amp;sourceID=14","4.9")</f>
        <v>4.9</v>
      </c>
      <c r="G6263" s="4" t="str">
        <f>HYPERLINK("http://141.218.60.56/~jnz1568/getInfo.php?workbook=14_04.xlsx&amp;sheet=U0&amp;row=6263&amp;col=7&amp;number=0.0101&amp;sourceID=14","0.0101")</f>
        <v>0.0101</v>
      </c>
    </row>
    <row r="6264" spans="1:7">
      <c r="A6264" s="3">
        <v>14</v>
      </c>
      <c r="B6264" s="3">
        <v>4</v>
      </c>
      <c r="C6264" s="3">
        <v>4</v>
      </c>
      <c r="D6264" s="3">
        <v>33</v>
      </c>
      <c r="E6264" s="3">
        <v>1</v>
      </c>
      <c r="F6264" s="4" t="str">
        <f>HYPERLINK("http://141.218.60.56/~jnz1568/getInfo.php?workbook=14_04.xlsx&amp;sheet=U0&amp;row=6264&amp;col=6&amp;number=3&amp;sourceID=14","3")</f>
        <v>3</v>
      </c>
      <c r="G6264" s="4" t="str">
        <f>HYPERLINK("http://141.218.60.56/~jnz1568/getInfo.php?workbook=14_04.xlsx&amp;sheet=U0&amp;row=6264&amp;col=7&amp;number=0.00123&amp;sourceID=14","0.00123")</f>
        <v>0.00123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HYPERLINK("http://141.218.60.56/~jnz1568/getInfo.php?workbook=14_04.xlsx&amp;sheet=U0&amp;row=6265&amp;col=6&amp;number=3.1&amp;sourceID=14","3.1")</f>
        <v>3.1</v>
      </c>
      <c r="G6265" s="4" t="str">
        <f>HYPERLINK("http://141.218.60.56/~jnz1568/getInfo.php?workbook=14_04.xlsx&amp;sheet=U0&amp;row=6265&amp;col=7&amp;number=0.00123&amp;sourceID=14","0.00123")</f>
        <v>0.00123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HYPERLINK("http://141.218.60.56/~jnz1568/getInfo.php?workbook=14_04.xlsx&amp;sheet=U0&amp;row=6266&amp;col=6&amp;number=3.2&amp;sourceID=14","3.2")</f>
        <v>3.2</v>
      </c>
      <c r="G6266" s="4" t="str">
        <f>HYPERLINK("http://141.218.60.56/~jnz1568/getInfo.php?workbook=14_04.xlsx&amp;sheet=U0&amp;row=6266&amp;col=7&amp;number=0.00123&amp;sourceID=14","0.00123")</f>
        <v>0.00123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HYPERLINK("http://141.218.60.56/~jnz1568/getInfo.php?workbook=14_04.xlsx&amp;sheet=U0&amp;row=6267&amp;col=6&amp;number=3.3&amp;sourceID=14","3.3")</f>
        <v>3.3</v>
      </c>
      <c r="G6267" s="4" t="str">
        <f>HYPERLINK("http://141.218.60.56/~jnz1568/getInfo.php?workbook=14_04.xlsx&amp;sheet=U0&amp;row=6267&amp;col=7&amp;number=0.00123&amp;sourceID=14","0.00123")</f>
        <v>0.00123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HYPERLINK("http://141.218.60.56/~jnz1568/getInfo.php?workbook=14_04.xlsx&amp;sheet=U0&amp;row=6268&amp;col=6&amp;number=3.4&amp;sourceID=14","3.4")</f>
        <v>3.4</v>
      </c>
      <c r="G6268" s="4" t="str">
        <f>HYPERLINK("http://141.218.60.56/~jnz1568/getInfo.php?workbook=14_04.xlsx&amp;sheet=U0&amp;row=6268&amp;col=7&amp;number=0.00123&amp;sourceID=14","0.00123")</f>
        <v>0.00123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HYPERLINK("http://141.218.60.56/~jnz1568/getInfo.php?workbook=14_04.xlsx&amp;sheet=U0&amp;row=6269&amp;col=6&amp;number=3.5&amp;sourceID=14","3.5")</f>
        <v>3.5</v>
      </c>
      <c r="G6269" s="4" t="str">
        <f>HYPERLINK("http://141.218.60.56/~jnz1568/getInfo.php?workbook=14_04.xlsx&amp;sheet=U0&amp;row=6269&amp;col=7&amp;number=0.00123&amp;sourceID=14","0.00123")</f>
        <v>0.00123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HYPERLINK("http://141.218.60.56/~jnz1568/getInfo.php?workbook=14_04.xlsx&amp;sheet=U0&amp;row=6270&amp;col=6&amp;number=3.6&amp;sourceID=14","3.6")</f>
        <v>3.6</v>
      </c>
      <c r="G6270" s="4" t="str">
        <f>HYPERLINK("http://141.218.60.56/~jnz1568/getInfo.php?workbook=14_04.xlsx&amp;sheet=U0&amp;row=6270&amp;col=7&amp;number=0.00123&amp;sourceID=14","0.00123")</f>
        <v>0.00123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HYPERLINK("http://141.218.60.56/~jnz1568/getInfo.php?workbook=14_04.xlsx&amp;sheet=U0&amp;row=6271&amp;col=6&amp;number=3.7&amp;sourceID=14","3.7")</f>
        <v>3.7</v>
      </c>
      <c r="G6271" s="4" t="str">
        <f>HYPERLINK("http://141.218.60.56/~jnz1568/getInfo.php?workbook=14_04.xlsx&amp;sheet=U0&amp;row=6271&amp;col=7&amp;number=0.00123&amp;sourceID=14","0.00123")</f>
        <v>0.00123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HYPERLINK("http://141.218.60.56/~jnz1568/getInfo.php?workbook=14_04.xlsx&amp;sheet=U0&amp;row=6272&amp;col=6&amp;number=3.8&amp;sourceID=14","3.8")</f>
        <v>3.8</v>
      </c>
      <c r="G6272" s="4" t="str">
        <f>HYPERLINK("http://141.218.60.56/~jnz1568/getInfo.php?workbook=14_04.xlsx&amp;sheet=U0&amp;row=6272&amp;col=7&amp;number=0.00123&amp;sourceID=14","0.00123")</f>
        <v>0.00123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HYPERLINK("http://141.218.60.56/~jnz1568/getInfo.php?workbook=14_04.xlsx&amp;sheet=U0&amp;row=6273&amp;col=6&amp;number=3.9&amp;sourceID=14","3.9")</f>
        <v>3.9</v>
      </c>
      <c r="G6273" s="4" t="str">
        <f>HYPERLINK("http://141.218.60.56/~jnz1568/getInfo.php?workbook=14_04.xlsx&amp;sheet=U0&amp;row=6273&amp;col=7&amp;number=0.00123&amp;sourceID=14","0.00123")</f>
        <v>0.00123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HYPERLINK("http://141.218.60.56/~jnz1568/getInfo.php?workbook=14_04.xlsx&amp;sheet=U0&amp;row=6274&amp;col=6&amp;number=4&amp;sourceID=14","4")</f>
        <v>4</v>
      </c>
      <c r="G6274" s="4" t="str">
        <f>HYPERLINK("http://141.218.60.56/~jnz1568/getInfo.php?workbook=14_04.xlsx&amp;sheet=U0&amp;row=6274&amp;col=7&amp;number=0.00123&amp;sourceID=14","0.00123")</f>
        <v>0.00123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HYPERLINK("http://141.218.60.56/~jnz1568/getInfo.php?workbook=14_04.xlsx&amp;sheet=U0&amp;row=6275&amp;col=6&amp;number=4.1&amp;sourceID=14","4.1")</f>
        <v>4.1</v>
      </c>
      <c r="G6275" s="4" t="str">
        <f>HYPERLINK("http://141.218.60.56/~jnz1568/getInfo.php?workbook=14_04.xlsx&amp;sheet=U0&amp;row=6275&amp;col=7&amp;number=0.00123&amp;sourceID=14","0.00123")</f>
        <v>0.00123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HYPERLINK("http://141.218.60.56/~jnz1568/getInfo.php?workbook=14_04.xlsx&amp;sheet=U0&amp;row=6276&amp;col=6&amp;number=4.2&amp;sourceID=14","4.2")</f>
        <v>4.2</v>
      </c>
      <c r="G6276" s="4" t="str">
        <f>HYPERLINK("http://141.218.60.56/~jnz1568/getInfo.php?workbook=14_04.xlsx&amp;sheet=U0&amp;row=6276&amp;col=7&amp;number=0.00124&amp;sourceID=14","0.00124")</f>
        <v>0.00124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HYPERLINK("http://141.218.60.56/~jnz1568/getInfo.php?workbook=14_04.xlsx&amp;sheet=U0&amp;row=6277&amp;col=6&amp;number=4.3&amp;sourceID=14","4.3")</f>
        <v>4.3</v>
      </c>
      <c r="G6277" s="4" t="str">
        <f>HYPERLINK("http://141.218.60.56/~jnz1568/getInfo.php?workbook=14_04.xlsx&amp;sheet=U0&amp;row=6277&amp;col=7&amp;number=0.00124&amp;sourceID=14","0.00124")</f>
        <v>0.00124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HYPERLINK("http://141.218.60.56/~jnz1568/getInfo.php?workbook=14_04.xlsx&amp;sheet=U0&amp;row=6278&amp;col=6&amp;number=4.4&amp;sourceID=14","4.4")</f>
        <v>4.4</v>
      </c>
      <c r="G6278" s="4" t="str">
        <f>HYPERLINK("http://141.218.60.56/~jnz1568/getInfo.php?workbook=14_04.xlsx&amp;sheet=U0&amp;row=6278&amp;col=7&amp;number=0.00124&amp;sourceID=14","0.00124")</f>
        <v>0.00124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HYPERLINK("http://141.218.60.56/~jnz1568/getInfo.php?workbook=14_04.xlsx&amp;sheet=U0&amp;row=6279&amp;col=6&amp;number=4.5&amp;sourceID=14","4.5")</f>
        <v>4.5</v>
      </c>
      <c r="G6279" s="4" t="str">
        <f>HYPERLINK("http://141.218.60.56/~jnz1568/getInfo.php?workbook=14_04.xlsx&amp;sheet=U0&amp;row=6279&amp;col=7&amp;number=0.00124&amp;sourceID=14","0.00124")</f>
        <v>0.00124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HYPERLINK("http://141.218.60.56/~jnz1568/getInfo.php?workbook=14_04.xlsx&amp;sheet=U0&amp;row=6280&amp;col=6&amp;number=4.6&amp;sourceID=14","4.6")</f>
        <v>4.6</v>
      </c>
      <c r="G6280" s="4" t="str">
        <f>HYPERLINK("http://141.218.60.56/~jnz1568/getInfo.php?workbook=14_04.xlsx&amp;sheet=U0&amp;row=6280&amp;col=7&amp;number=0.00124&amp;sourceID=14","0.00124")</f>
        <v>0.00124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HYPERLINK("http://141.218.60.56/~jnz1568/getInfo.php?workbook=14_04.xlsx&amp;sheet=U0&amp;row=6281&amp;col=6&amp;number=4.7&amp;sourceID=14","4.7")</f>
        <v>4.7</v>
      </c>
      <c r="G6281" s="4" t="str">
        <f>HYPERLINK("http://141.218.60.56/~jnz1568/getInfo.php?workbook=14_04.xlsx&amp;sheet=U0&amp;row=6281&amp;col=7&amp;number=0.00124&amp;sourceID=14","0.00124")</f>
        <v>0.00124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HYPERLINK("http://141.218.60.56/~jnz1568/getInfo.php?workbook=14_04.xlsx&amp;sheet=U0&amp;row=6282&amp;col=6&amp;number=4.8&amp;sourceID=14","4.8")</f>
        <v>4.8</v>
      </c>
      <c r="G6282" s="4" t="str">
        <f>HYPERLINK("http://141.218.60.56/~jnz1568/getInfo.php?workbook=14_04.xlsx&amp;sheet=U0&amp;row=6282&amp;col=7&amp;number=0.00124&amp;sourceID=14","0.00124")</f>
        <v>0.00124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HYPERLINK("http://141.218.60.56/~jnz1568/getInfo.php?workbook=14_04.xlsx&amp;sheet=U0&amp;row=6283&amp;col=6&amp;number=4.9&amp;sourceID=14","4.9")</f>
        <v>4.9</v>
      </c>
      <c r="G6283" s="4" t="str">
        <f>HYPERLINK("http://141.218.60.56/~jnz1568/getInfo.php?workbook=14_04.xlsx&amp;sheet=U0&amp;row=6283&amp;col=7&amp;number=0.00124&amp;sourceID=14","0.00124")</f>
        <v>0.00124</v>
      </c>
    </row>
    <row r="6284" spans="1:7">
      <c r="A6284" s="3">
        <v>14</v>
      </c>
      <c r="B6284" s="3">
        <v>4</v>
      </c>
      <c r="C6284" s="3">
        <v>4</v>
      </c>
      <c r="D6284" s="3">
        <v>34</v>
      </c>
      <c r="E6284" s="3">
        <v>1</v>
      </c>
      <c r="F6284" s="4" t="str">
        <f>HYPERLINK("http://141.218.60.56/~jnz1568/getInfo.php?workbook=14_04.xlsx&amp;sheet=U0&amp;row=6284&amp;col=6&amp;number=3&amp;sourceID=14","3")</f>
        <v>3</v>
      </c>
      <c r="G6284" s="4" t="str">
        <f>HYPERLINK("http://141.218.60.56/~jnz1568/getInfo.php?workbook=14_04.xlsx&amp;sheet=U0&amp;row=6284&amp;col=7&amp;number=0.0169&amp;sourceID=14","0.0169")</f>
        <v>0.0169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HYPERLINK("http://141.218.60.56/~jnz1568/getInfo.php?workbook=14_04.xlsx&amp;sheet=U0&amp;row=6285&amp;col=6&amp;number=3.1&amp;sourceID=14","3.1")</f>
        <v>3.1</v>
      </c>
      <c r="G6285" s="4" t="str">
        <f>HYPERLINK("http://141.218.60.56/~jnz1568/getInfo.php?workbook=14_04.xlsx&amp;sheet=U0&amp;row=6285&amp;col=7&amp;number=0.0169&amp;sourceID=14","0.0169")</f>
        <v>0.0169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HYPERLINK("http://141.218.60.56/~jnz1568/getInfo.php?workbook=14_04.xlsx&amp;sheet=U0&amp;row=6286&amp;col=6&amp;number=3.2&amp;sourceID=14","3.2")</f>
        <v>3.2</v>
      </c>
      <c r="G6286" s="4" t="str">
        <f>HYPERLINK("http://141.218.60.56/~jnz1568/getInfo.php?workbook=14_04.xlsx&amp;sheet=U0&amp;row=6286&amp;col=7&amp;number=0.0169&amp;sourceID=14","0.0169")</f>
        <v>0.0169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HYPERLINK("http://141.218.60.56/~jnz1568/getInfo.php?workbook=14_04.xlsx&amp;sheet=U0&amp;row=6287&amp;col=6&amp;number=3.3&amp;sourceID=14","3.3")</f>
        <v>3.3</v>
      </c>
      <c r="G6287" s="4" t="str">
        <f>HYPERLINK("http://141.218.60.56/~jnz1568/getInfo.php?workbook=14_04.xlsx&amp;sheet=U0&amp;row=6287&amp;col=7&amp;number=0.0169&amp;sourceID=14","0.0169")</f>
        <v>0.0169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HYPERLINK("http://141.218.60.56/~jnz1568/getInfo.php?workbook=14_04.xlsx&amp;sheet=U0&amp;row=6288&amp;col=6&amp;number=3.4&amp;sourceID=14","3.4")</f>
        <v>3.4</v>
      </c>
      <c r="G6288" s="4" t="str">
        <f>HYPERLINK("http://141.218.60.56/~jnz1568/getInfo.php?workbook=14_04.xlsx&amp;sheet=U0&amp;row=6288&amp;col=7&amp;number=0.0169&amp;sourceID=14","0.0169")</f>
        <v>0.0169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HYPERLINK("http://141.218.60.56/~jnz1568/getInfo.php?workbook=14_04.xlsx&amp;sheet=U0&amp;row=6289&amp;col=6&amp;number=3.5&amp;sourceID=14","3.5")</f>
        <v>3.5</v>
      </c>
      <c r="G6289" s="4" t="str">
        <f>HYPERLINK("http://141.218.60.56/~jnz1568/getInfo.php?workbook=14_04.xlsx&amp;sheet=U0&amp;row=6289&amp;col=7&amp;number=0.0169&amp;sourceID=14","0.0169")</f>
        <v>0.0169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HYPERLINK("http://141.218.60.56/~jnz1568/getInfo.php?workbook=14_04.xlsx&amp;sheet=U0&amp;row=6290&amp;col=6&amp;number=3.6&amp;sourceID=14","3.6")</f>
        <v>3.6</v>
      </c>
      <c r="G6290" s="4" t="str">
        <f>HYPERLINK("http://141.218.60.56/~jnz1568/getInfo.php?workbook=14_04.xlsx&amp;sheet=U0&amp;row=6290&amp;col=7&amp;number=0.0169&amp;sourceID=14","0.0169")</f>
        <v>0.0169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HYPERLINK("http://141.218.60.56/~jnz1568/getInfo.php?workbook=14_04.xlsx&amp;sheet=U0&amp;row=6291&amp;col=6&amp;number=3.7&amp;sourceID=14","3.7")</f>
        <v>3.7</v>
      </c>
      <c r="G6291" s="4" t="str">
        <f>HYPERLINK("http://141.218.60.56/~jnz1568/getInfo.php?workbook=14_04.xlsx&amp;sheet=U0&amp;row=6291&amp;col=7&amp;number=0.0169&amp;sourceID=14","0.0169")</f>
        <v>0.0169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HYPERLINK("http://141.218.60.56/~jnz1568/getInfo.php?workbook=14_04.xlsx&amp;sheet=U0&amp;row=6292&amp;col=6&amp;number=3.8&amp;sourceID=14","3.8")</f>
        <v>3.8</v>
      </c>
      <c r="G6292" s="4" t="str">
        <f>HYPERLINK("http://141.218.60.56/~jnz1568/getInfo.php?workbook=14_04.xlsx&amp;sheet=U0&amp;row=6292&amp;col=7&amp;number=0.0169&amp;sourceID=14","0.0169")</f>
        <v>0.0169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HYPERLINK("http://141.218.60.56/~jnz1568/getInfo.php?workbook=14_04.xlsx&amp;sheet=U0&amp;row=6293&amp;col=6&amp;number=3.9&amp;sourceID=14","3.9")</f>
        <v>3.9</v>
      </c>
      <c r="G6293" s="4" t="str">
        <f>HYPERLINK("http://141.218.60.56/~jnz1568/getInfo.php?workbook=14_04.xlsx&amp;sheet=U0&amp;row=6293&amp;col=7&amp;number=0.0169&amp;sourceID=14","0.0169")</f>
        <v>0.0169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HYPERLINK("http://141.218.60.56/~jnz1568/getInfo.php?workbook=14_04.xlsx&amp;sheet=U0&amp;row=6294&amp;col=6&amp;number=4&amp;sourceID=14","4")</f>
        <v>4</v>
      </c>
      <c r="G6294" s="4" t="str">
        <f>HYPERLINK("http://141.218.60.56/~jnz1568/getInfo.php?workbook=14_04.xlsx&amp;sheet=U0&amp;row=6294&amp;col=7&amp;number=0.0169&amp;sourceID=14","0.0169")</f>
        <v>0.0169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HYPERLINK("http://141.218.60.56/~jnz1568/getInfo.php?workbook=14_04.xlsx&amp;sheet=U0&amp;row=6295&amp;col=6&amp;number=4.1&amp;sourceID=14","4.1")</f>
        <v>4.1</v>
      </c>
      <c r="G6295" s="4" t="str">
        <f>HYPERLINK("http://141.218.60.56/~jnz1568/getInfo.php?workbook=14_04.xlsx&amp;sheet=U0&amp;row=6295&amp;col=7&amp;number=0.0169&amp;sourceID=14","0.0169")</f>
        <v>0.0169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HYPERLINK("http://141.218.60.56/~jnz1568/getInfo.php?workbook=14_04.xlsx&amp;sheet=U0&amp;row=6296&amp;col=6&amp;number=4.2&amp;sourceID=14","4.2")</f>
        <v>4.2</v>
      </c>
      <c r="G6296" s="4" t="str">
        <f>HYPERLINK("http://141.218.60.56/~jnz1568/getInfo.php?workbook=14_04.xlsx&amp;sheet=U0&amp;row=6296&amp;col=7&amp;number=0.017&amp;sourceID=14","0.017")</f>
        <v>0.017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HYPERLINK("http://141.218.60.56/~jnz1568/getInfo.php?workbook=14_04.xlsx&amp;sheet=U0&amp;row=6297&amp;col=6&amp;number=4.3&amp;sourceID=14","4.3")</f>
        <v>4.3</v>
      </c>
      <c r="G6297" s="4" t="str">
        <f>HYPERLINK("http://141.218.60.56/~jnz1568/getInfo.php?workbook=14_04.xlsx&amp;sheet=U0&amp;row=6297&amp;col=7&amp;number=0.017&amp;sourceID=14","0.017")</f>
        <v>0.017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HYPERLINK("http://141.218.60.56/~jnz1568/getInfo.php?workbook=14_04.xlsx&amp;sheet=U0&amp;row=6298&amp;col=6&amp;number=4.4&amp;sourceID=14","4.4")</f>
        <v>4.4</v>
      </c>
      <c r="G6298" s="4" t="str">
        <f>HYPERLINK("http://141.218.60.56/~jnz1568/getInfo.php?workbook=14_04.xlsx&amp;sheet=U0&amp;row=6298&amp;col=7&amp;number=0.017&amp;sourceID=14","0.017")</f>
        <v>0.017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HYPERLINK("http://141.218.60.56/~jnz1568/getInfo.php?workbook=14_04.xlsx&amp;sheet=U0&amp;row=6299&amp;col=6&amp;number=4.5&amp;sourceID=14","4.5")</f>
        <v>4.5</v>
      </c>
      <c r="G6299" s="4" t="str">
        <f>HYPERLINK("http://141.218.60.56/~jnz1568/getInfo.php?workbook=14_04.xlsx&amp;sheet=U0&amp;row=6299&amp;col=7&amp;number=0.017&amp;sourceID=14","0.017")</f>
        <v>0.017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HYPERLINK("http://141.218.60.56/~jnz1568/getInfo.php?workbook=14_04.xlsx&amp;sheet=U0&amp;row=6300&amp;col=6&amp;number=4.6&amp;sourceID=14","4.6")</f>
        <v>4.6</v>
      </c>
      <c r="G6300" s="4" t="str">
        <f>HYPERLINK("http://141.218.60.56/~jnz1568/getInfo.php?workbook=14_04.xlsx&amp;sheet=U0&amp;row=6300&amp;col=7&amp;number=0.017&amp;sourceID=14","0.017")</f>
        <v>0.017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HYPERLINK("http://141.218.60.56/~jnz1568/getInfo.php?workbook=14_04.xlsx&amp;sheet=U0&amp;row=6301&amp;col=6&amp;number=4.7&amp;sourceID=14","4.7")</f>
        <v>4.7</v>
      </c>
      <c r="G6301" s="4" t="str">
        <f>HYPERLINK("http://141.218.60.56/~jnz1568/getInfo.php?workbook=14_04.xlsx&amp;sheet=U0&amp;row=6301&amp;col=7&amp;number=0.017&amp;sourceID=14","0.017")</f>
        <v>0.017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HYPERLINK("http://141.218.60.56/~jnz1568/getInfo.php?workbook=14_04.xlsx&amp;sheet=U0&amp;row=6302&amp;col=6&amp;number=4.8&amp;sourceID=14","4.8")</f>
        <v>4.8</v>
      </c>
      <c r="G6302" s="4" t="str">
        <f>HYPERLINK("http://141.218.60.56/~jnz1568/getInfo.php?workbook=14_04.xlsx&amp;sheet=U0&amp;row=6302&amp;col=7&amp;number=0.017&amp;sourceID=14","0.017")</f>
        <v>0.017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HYPERLINK("http://141.218.60.56/~jnz1568/getInfo.php?workbook=14_04.xlsx&amp;sheet=U0&amp;row=6303&amp;col=6&amp;number=4.9&amp;sourceID=14","4.9")</f>
        <v>4.9</v>
      </c>
      <c r="G6303" s="4" t="str">
        <f>HYPERLINK("http://141.218.60.56/~jnz1568/getInfo.php?workbook=14_04.xlsx&amp;sheet=U0&amp;row=6303&amp;col=7&amp;number=0.017&amp;sourceID=14","0.017")</f>
        <v>0.017</v>
      </c>
    </row>
    <row r="6304" spans="1:7">
      <c r="A6304" s="3">
        <v>14</v>
      </c>
      <c r="B6304" s="3">
        <v>4</v>
      </c>
      <c r="C6304" s="3">
        <v>4</v>
      </c>
      <c r="D6304" s="3">
        <v>35</v>
      </c>
      <c r="E6304" s="3">
        <v>1</v>
      </c>
      <c r="F6304" s="4" t="str">
        <f>HYPERLINK("http://141.218.60.56/~jnz1568/getInfo.php?workbook=14_04.xlsx&amp;sheet=U0&amp;row=6304&amp;col=6&amp;number=3&amp;sourceID=14","3")</f>
        <v>3</v>
      </c>
      <c r="G6304" s="4" t="str">
        <f>HYPERLINK("http://141.218.60.56/~jnz1568/getInfo.php?workbook=14_04.xlsx&amp;sheet=U0&amp;row=6304&amp;col=7&amp;number=0.0093&amp;sourceID=14","0.0093")</f>
        <v>0.0093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HYPERLINK("http://141.218.60.56/~jnz1568/getInfo.php?workbook=14_04.xlsx&amp;sheet=U0&amp;row=6305&amp;col=6&amp;number=3.1&amp;sourceID=14","3.1")</f>
        <v>3.1</v>
      </c>
      <c r="G6305" s="4" t="str">
        <f>HYPERLINK("http://141.218.60.56/~jnz1568/getInfo.php?workbook=14_04.xlsx&amp;sheet=U0&amp;row=6305&amp;col=7&amp;number=0.0093&amp;sourceID=14","0.0093")</f>
        <v>0.0093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HYPERLINK("http://141.218.60.56/~jnz1568/getInfo.php?workbook=14_04.xlsx&amp;sheet=U0&amp;row=6306&amp;col=6&amp;number=3.2&amp;sourceID=14","3.2")</f>
        <v>3.2</v>
      </c>
      <c r="G6306" s="4" t="str">
        <f>HYPERLINK("http://141.218.60.56/~jnz1568/getInfo.php?workbook=14_04.xlsx&amp;sheet=U0&amp;row=6306&amp;col=7&amp;number=0.0093&amp;sourceID=14","0.0093")</f>
        <v>0.0093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HYPERLINK("http://141.218.60.56/~jnz1568/getInfo.php?workbook=14_04.xlsx&amp;sheet=U0&amp;row=6307&amp;col=6&amp;number=3.3&amp;sourceID=14","3.3")</f>
        <v>3.3</v>
      </c>
      <c r="G6307" s="4" t="str">
        <f>HYPERLINK("http://141.218.60.56/~jnz1568/getInfo.php?workbook=14_04.xlsx&amp;sheet=U0&amp;row=6307&amp;col=7&amp;number=0.0093&amp;sourceID=14","0.0093")</f>
        <v>0.0093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HYPERLINK("http://141.218.60.56/~jnz1568/getInfo.php?workbook=14_04.xlsx&amp;sheet=U0&amp;row=6308&amp;col=6&amp;number=3.4&amp;sourceID=14","3.4")</f>
        <v>3.4</v>
      </c>
      <c r="G6308" s="4" t="str">
        <f>HYPERLINK("http://141.218.60.56/~jnz1568/getInfo.php?workbook=14_04.xlsx&amp;sheet=U0&amp;row=6308&amp;col=7&amp;number=0.0093&amp;sourceID=14","0.0093")</f>
        <v>0.0093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HYPERLINK("http://141.218.60.56/~jnz1568/getInfo.php?workbook=14_04.xlsx&amp;sheet=U0&amp;row=6309&amp;col=6&amp;number=3.5&amp;sourceID=14","3.5")</f>
        <v>3.5</v>
      </c>
      <c r="G6309" s="4" t="str">
        <f>HYPERLINK("http://141.218.60.56/~jnz1568/getInfo.php?workbook=14_04.xlsx&amp;sheet=U0&amp;row=6309&amp;col=7&amp;number=0.0093&amp;sourceID=14","0.0093")</f>
        <v>0.0093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HYPERLINK("http://141.218.60.56/~jnz1568/getInfo.php?workbook=14_04.xlsx&amp;sheet=U0&amp;row=6310&amp;col=6&amp;number=3.6&amp;sourceID=14","3.6")</f>
        <v>3.6</v>
      </c>
      <c r="G6310" s="4" t="str">
        <f>HYPERLINK("http://141.218.60.56/~jnz1568/getInfo.php?workbook=14_04.xlsx&amp;sheet=U0&amp;row=6310&amp;col=7&amp;number=0.0093&amp;sourceID=14","0.0093")</f>
        <v>0.0093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HYPERLINK("http://141.218.60.56/~jnz1568/getInfo.php?workbook=14_04.xlsx&amp;sheet=U0&amp;row=6311&amp;col=6&amp;number=3.7&amp;sourceID=14","3.7")</f>
        <v>3.7</v>
      </c>
      <c r="G6311" s="4" t="str">
        <f>HYPERLINK("http://141.218.60.56/~jnz1568/getInfo.php?workbook=14_04.xlsx&amp;sheet=U0&amp;row=6311&amp;col=7&amp;number=0.0093&amp;sourceID=14","0.0093")</f>
        <v>0.0093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HYPERLINK("http://141.218.60.56/~jnz1568/getInfo.php?workbook=14_04.xlsx&amp;sheet=U0&amp;row=6312&amp;col=6&amp;number=3.8&amp;sourceID=14","3.8")</f>
        <v>3.8</v>
      </c>
      <c r="G6312" s="4" t="str">
        <f>HYPERLINK("http://141.218.60.56/~jnz1568/getInfo.php?workbook=14_04.xlsx&amp;sheet=U0&amp;row=6312&amp;col=7&amp;number=0.00929&amp;sourceID=14","0.00929")</f>
        <v>0.00929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HYPERLINK("http://141.218.60.56/~jnz1568/getInfo.php?workbook=14_04.xlsx&amp;sheet=U0&amp;row=6313&amp;col=6&amp;number=3.9&amp;sourceID=14","3.9")</f>
        <v>3.9</v>
      </c>
      <c r="G6313" s="4" t="str">
        <f>HYPERLINK("http://141.218.60.56/~jnz1568/getInfo.php?workbook=14_04.xlsx&amp;sheet=U0&amp;row=6313&amp;col=7&amp;number=0.00929&amp;sourceID=14","0.00929")</f>
        <v>0.00929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HYPERLINK("http://141.218.60.56/~jnz1568/getInfo.php?workbook=14_04.xlsx&amp;sheet=U0&amp;row=6314&amp;col=6&amp;number=4&amp;sourceID=14","4")</f>
        <v>4</v>
      </c>
      <c r="G6314" s="4" t="str">
        <f>HYPERLINK("http://141.218.60.56/~jnz1568/getInfo.php?workbook=14_04.xlsx&amp;sheet=U0&amp;row=6314&amp;col=7&amp;number=0.00929&amp;sourceID=14","0.00929")</f>
        <v>0.00929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HYPERLINK("http://141.218.60.56/~jnz1568/getInfo.php?workbook=14_04.xlsx&amp;sheet=U0&amp;row=6315&amp;col=6&amp;number=4.1&amp;sourceID=14","4.1")</f>
        <v>4.1</v>
      </c>
      <c r="G6315" s="4" t="str">
        <f>HYPERLINK("http://141.218.60.56/~jnz1568/getInfo.php?workbook=14_04.xlsx&amp;sheet=U0&amp;row=6315&amp;col=7&amp;number=0.00929&amp;sourceID=14","0.00929")</f>
        <v>0.00929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HYPERLINK("http://141.218.60.56/~jnz1568/getInfo.php?workbook=14_04.xlsx&amp;sheet=U0&amp;row=6316&amp;col=6&amp;number=4.2&amp;sourceID=14","4.2")</f>
        <v>4.2</v>
      </c>
      <c r="G6316" s="4" t="str">
        <f>HYPERLINK("http://141.218.60.56/~jnz1568/getInfo.php?workbook=14_04.xlsx&amp;sheet=U0&amp;row=6316&amp;col=7&amp;number=0.00928&amp;sourceID=14","0.00928")</f>
        <v>0.00928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HYPERLINK("http://141.218.60.56/~jnz1568/getInfo.php?workbook=14_04.xlsx&amp;sheet=U0&amp;row=6317&amp;col=6&amp;number=4.3&amp;sourceID=14","4.3")</f>
        <v>4.3</v>
      </c>
      <c r="G6317" s="4" t="str">
        <f>HYPERLINK("http://141.218.60.56/~jnz1568/getInfo.php?workbook=14_04.xlsx&amp;sheet=U0&amp;row=6317&amp;col=7&amp;number=0.00928&amp;sourceID=14","0.00928")</f>
        <v>0.00928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HYPERLINK("http://141.218.60.56/~jnz1568/getInfo.php?workbook=14_04.xlsx&amp;sheet=U0&amp;row=6318&amp;col=6&amp;number=4.4&amp;sourceID=14","4.4")</f>
        <v>4.4</v>
      </c>
      <c r="G6318" s="4" t="str">
        <f>HYPERLINK("http://141.218.60.56/~jnz1568/getInfo.php?workbook=14_04.xlsx&amp;sheet=U0&amp;row=6318&amp;col=7&amp;number=0.00927&amp;sourceID=14","0.00927")</f>
        <v>0.00927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HYPERLINK("http://141.218.60.56/~jnz1568/getInfo.php?workbook=14_04.xlsx&amp;sheet=U0&amp;row=6319&amp;col=6&amp;number=4.5&amp;sourceID=14","4.5")</f>
        <v>4.5</v>
      </c>
      <c r="G6319" s="4" t="str">
        <f>HYPERLINK("http://141.218.60.56/~jnz1568/getInfo.php?workbook=14_04.xlsx&amp;sheet=U0&amp;row=6319&amp;col=7&amp;number=0.00926&amp;sourceID=14","0.00926")</f>
        <v>0.00926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HYPERLINK("http://141.218.60.56/~jnz1568/getInfo.php?workbook=14_04.xlsx&amp;sheet=U0&amp;row=6320&amp;col=6&amp;number=4.6&amp;sourceID=14","4.6")</f>
        <v>4.6</v>
      </c>
      <c r="G6320" s="4" t="str">
        <f>HYPERLINK("http://141.218.60.56/~jnz1568/getInfo.php?workbook=14_04.xlsx&amp;sheet=U0&amp;row=6320&amp;col=7&amp;number=0.00925&amp;sourceID=14","0.00925")</f>
        <v>0.00925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HYPERLINK("http://141.218.60.56/~jnz1568/getInfo.php?workbook=14_04.xlsx&amp;sheet=U0&amp;row=6321&amp;col=6&amp;number=4.7&amp;sourceID=14","4.7")</f>
        <v>4.7</v>
      </c>
      <c r="G6321" s="4" t="str">
        <f>HYPERLINK("http://141.218.60.56/~jnz1568/getInfo.php?workbook=14_04.xlsx&amp;sheet=U0&amp;row=6321&amp;col=7&amp;number=0.00924&amp;sourceID=14","0.00924")</f>
        <v>0.00924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HYPERLINK("http://141.218.60.56/~jnz1568/getInfo.php?workbook=14_04.xlsx&amp;sheet=U0&amp;row=6322&amp;col=6&amp;number=4.8&amp;sourceID=14","4.8")</f>
        <v>4.8</v>
      </c>
      <c r="G6322" s="4" t="str">
        <f>HYPERLINK("http://141.218.60.56/~jnz1568/getInfo.php?workbook=14_04.xlsx&amp;sheet=U0&amp;row=6322&amp;col=7&amp;number=0.00922&amp;sourceID=14","0.00922")</f>
        <v>0.00922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HYPERLINK("http://141.218.60.56/~jnz1568/getInfo.php?workbook=14_04.xlsx&amp;sheet=U0&amp;row=6323&amp;col=6&amp;number=4.9&amp;sourceID=14","4.9")</f>
        <v>4.9</v>
      </c>
      <c r="G6323" s="4" t="str">
        <f>HYPERLINK("http://141.218.60.56/~jnz1568/getInfo.php?workbook=14_04.xlsx&amp;sheet=U0&amp;row=6323&amp;col=7&amp;number=0.0092&amp;sourceID=14","0.0092")</f>
        <v>0.0092</v>
      </c>
    </row>
    <row r="6324" spans="1:7">
      <c r="A6324" s="3">
        <v>14</v>
      </c>
      <c r="B6324" s="3">
        <v>4</v>
      </c>
      <c r="C6324" s="3">
        <v>4</v>
      </c>
      <c r="D6324" s="3">
        <v>36</v>
      </c>
      <c r="E6324" s="3">
        <v>1</v>
      </c>
      <c r="F6324" s="4" t="str">
        <f>HYPERLINK("http://141.218.60.56/~jnz1568/getInfo.php?workbook=14_04.xlsx&amp;sheet=U0&amp;row=6324&amp;col=6&amp;number=3&amp;sourceID=14","3")</f>
        <v>3</v>
      </c>
      <c r="G6324" s="4" t="str">
        <f>HYPERLINK("http://141.218.60.56/~jnz1568/getInfo.php?workbook=14_04.xlsx&amp;sheet=U0&amp;row=6324&amp;col=7&amp;number=0.0677&amp;sourceID=14","0.0677")</f>
        <v>0.0677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HYPERLINK("http://141.218.60.56/~jnz1568/getInfo.php?workbook=14_04.xlsx&amp;sheet=U0&amp;row=6325&amp;col=6&amp;number=3.1&amp;sourceID=14","3.1")</f>
        <v>3.1</v>
      </c>
      <c r="G6325" s="4" t="str">
        <f>HYPERLINK("http://141.218.60.56/~jnz1568/getInfo.php?workbook=14_04.xlsx&amp;sheet=U0&amp;row=6325&amp;col=7&amp;number=0.0677&amp;sourceID=14","0.0677")</f>
        <v>0.0677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HYPERLINK("http://141.218.60.56/~jnz1568/getInfo.php?workbook=14_04.xlsx&amp;sheet=U0&amp;row=6326&amp;col=6&amp;number=3.2&amp;sourceID=14","3.2")</f>
        <v>3.2</v>
      </c>
      <c r="G6326" s="4" t="str">
        <f>HYPERLINK("http://141.218.60.56/~jnz1568/getInfo.php?workbook=14_04.xlsx&amp;sheet=U0&amp;row=6326&amp;col=7&amp;number=0.0677&amp;sourceID=14","0.0677")</f>
        <v>0.0677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HYPERLINK("http://141.218.60.56/~jnz1568/getInfo.php?workbook=14_04.xlsx&amp;sheet=U0&amp;row=6327&amp;col=6&amp;number=3.3&amp;sourceID=14","3.3")</f>
        <v>3.3</v>
      </c>
      <c r="G6327" s="4" t="str">
        <f>HYPERLINK("http://141.218.60.56/~jnz1568/getInfo.php?workbook=14_04.xlsx&amp;sheet=U0&amp;row=6327&amp;col=7&amp;number=0.0677&amp;sourceID=14","0.0677")</f>
        <v>0.0677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HYPERLINK("http://141.218.60.56/~jnz1568/getInfo.php?workbook=14_04.xlsx&amp;sheet=U0&amp;row=6328&amp;col=6&amp;number=3.4&amp;sourceID=14","3.4")</f>
        <v>3.4</v>
      </c>
      <c r="G6328" s="4" t="str">
        <f>HYPERLINK("http://141.218.60.56/~jnz1568/getInfo.php?workbook=14_04.xlsx&amp;sheet=U0&amp;row=6328&amp;col=7&amp;number=0.0677&amp;sourceID=14","0.0677")</f>
        <v>0.0677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HYPERLINK("http://141.218.60.56/~jnz1568/getInfo.php?workbook=14_04.xlsx&amp;sheet=U0&amp;row=6329&amp;col=6&amp;number=3.5&amp;sourceID=14","3.5")</f>
        <v>3.5</v>
      </c>
      <c r="G6329" s="4" t="str">
        <f>HYPERLINK("http://141.218.60.56/~jnz1568/getInfo.php?workbook=14_04.xlsx&amp;sheet=U0&amp;row=6329&amp;col=7&amp;number=0.0677&amp;sourceID=14","0.0677")</f>
        <v>0.0677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HYPERLINK("http://141.218.60.56/~jnz1568/getInfo.php?workbook=14_04.xlsx&amp;sheet=U0&amp;row=6330&amp;col=6&amp;number=3.6&amp;sourceID=14","3.6")</f>
        <v>3.6</v>
      </c>
      <c r="G6330" s="4" t="str">
        <f>HYPERLINK("http://141.218.60.56/~jnz1568/getInfo.php?workbook=14_04.xlsx&amp;sheet=U0&amp;row=6330&amp;col=7&amp;number=0.0677&amp;sourceID=14","0.0677")</f>
        <v>0.0677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HYPERLINK("http://141.218.60.56/~jnz1568/getInfo.php?workbook=14_04.xlsx&amp;sheet=U0&amp;row=6331&amp;col=6&amp;number=3.7&amp;sourceID=14","3.7")</f>
        <v>3.7</v>
      </c>
      <c r="G6331" s="4" t="str">
        <f>HYPERLINK("http://141.218.60.56/~jnz1568/getInfo.php?workbook=14_04.xlsx&amp;sheet=U0&amp;row=6331&amp;col=7&amp;number=0.0677&amp;sourceID=14","0.0677")</f>
        <v>0.0677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HYPERLINK("http://141.218.60.56/~jnz1568/getInfo.php?workbook=14_04.xlsx&amp;sheet=U0&amp;row=6332&amp;col=6&amp;number=3.8&amp;sourceID=14","3.8")</f>
        <v>3.8</v>
      </c>
      <c r="G6332" s="4" t="str">
        <f>HYPERLINK("http://141.218.60.56/~jnz1568/getInfo.php?workbook=14_04.xlsx&amp;sheet=U0&amp;row=6332&amp;col=7&amp;number=0.0677&amp;sourceID=14","0.0677")</f>
        <v>0.0677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HYPERLINK("http://141.218.60.56/~jnz1568/getInfo.php?workbook=14_04.xlsx&amp;sheet=U0&amp;row=6333&amp;col=6&amp;number=3.9&amp;sourceID=14","3.9")</f>
        <v>3.9</v>
      </c>
      <c r="G6333" s="4" t="str">
        <f>HYPERLINK("http://141.218.60.56/~jnz1568/getInfo.php?workbook=14_04.xlsx&amp;sheet=U0&amp;row=6333&amp;col=7&amp;number=0.0677&amp;sourceID=14","0.0677")</f>
        <v>0.0677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HYPERLINK("http://141.218.60.56/~jnz1568/getInfo.php?workbook=14_04.xlsx&amp;sheet=U0&amp;row=6334&amp;col=6&amp;number=4&amp;sourceID=14","4")</f>
        <v>4</v>
      </c>
      <c r="G6334" s="4" t="str">
        <f>HYPERLINK("http://141.218.60.56/~jnz1568/getInfo.php?workbook=14_04.xlsx&amp;sheet=U0&amp;row=6334&amp;col=7&amp;number=0.0678&amp;sourceID=14","0.0678")</f>
        <v>0.0678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HYPERLINK("http://141.218.60.56/~jnz1568/getInfo.php?workbook=14_04.xlsx&amp;sheet=U0&amp;row=6335&amp;col=6&amp;number=4.1&amp;sourceID=14","4.1")</f>
        <v>4.1</v>
      </c>
      <c r="G6335" s="4" t="str">
        <f>HYPERLINK("http://141.218.60.56/~jnz1568/getInfo.php?workbook=14_04.xlsx&amp;sheet=U0&amp;row=6335&amp;col=7&amp;number=0.0678&amp;sourceID=14","0.0678")</f>
        <v>0.0678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HYPERLINK("http://141.218.60.56/~jnz1568/getInfo.php?workbook=14_04.xlsx&amp;sheet=U0&amp;row=6336&amp;col=6&amp;number=4.2&amp;sourceID=14","4.2")</f>
        <v>4.2</v>
      </c>
      <c r="G6336" s="4" t="str">
        <f>HYPERLINK("http://141.218.60.56/~jnz1568/getInfo.php?workbook=14_04.xlsx&amp;sheet=U0&amp;row=6336&amp;col=7&amp;number=0.0678&amp;sourceID=14","0.0678")</f>
        <v>0.0678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HYPERLINK("http://141.218.60.56/~jnz1568/getInfo.php?workbook=14_04.xlsx&amp;sheet=U0&amp;row=6337&amp;col=6&amp;number=4.3&amp;sourceID=14","4.3")</f>
        <v>4.3</v>
      </c>
      <c r="G6337" s="4" t="str">
        <f>HYPERLINK("http://141.218.60.56/~jnz1568/getInfo.php?workbook=14_04.xlsx&amp;sheet=U0&amp;row=6337&amp;col=7&amp;number=0.0679&amp;sourceID=14","0.0679")</f>
        <v>0.0679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HYPERLINK("http://141.218.60.56/~jnz1568/getInfo.php?workbook=14_04.xlsx&amp;sheet=U0&amp;row=6338&amp;col=6&amp;number=4.4&amp;sourceID=14","4.4")</f>
        <v>4.4</v>
      </c>
      <c r="G6338" s="4" t="str">
        <f>HYPERLINK("http://141.218.60.56/~jnz1568/getInfo.php?workbook=14_04.xlsx&amp;sheet=U0&amp;row=6338&amp;col=7&amp;number=0.0679&amp;sourceID=14","0.0679")</f>
        <v>0.0679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HYPERLINK("http://141.218.60.56/~jnz1568/getInfo.php?workbook=14_04.xlsx&amp;sheet=U0&amp;row=6339&amp;col=6&amp;number=4.5&amp;sourceID=14","4.5")</f>
        <v>4.5</v>
      </c>
      <c r="G6339" s="4" t="str">
        <f>HYPERLINK("http://141.218.60.56/~jnz1568/getInfo.php?workbook=14_04.xlsx&amp;sheet=U0&amp;row=6339&amp;col=7&amp;number=0.068&amp;sourceID=14","0.068")</f>
        <v>0.068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HYPERLINK("http://141.218.60.56/~jnz1568/getInfo.php?workbook=14_04.xlsx&amp;sheet=U0&amp;row=6340&amp;col=6&amp;number=4.6&amp;sourceID=14","4.6")</f>
        <v>4.6</v>
      </c>
      <c r="G6340" s="4" t="str">
        <f>HYPERLINK("http://141.218.60.56/~jnz1568/getInfo.php?workbook=14_04.xlsx&amp;sheet=U0&amp;row=6340&amp;col=7&amp;number=0.0681&amp;sourceID=14","0.0681")</f>
        <v>0.0681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HYPERLINK("http://141.218.60.56/~jnz1568/getInfo.php?workbook=14_04.xlsx&amp;sheet=U0&amp;row=6341&amp;col=6&amp;number=4.7&amp;sourceID=14","4.7")</f>
        <v>4.7</v>
      </c>
      <c r="G6341" s="4" t="str">
        <f>HYPERLINK("http://141.218.60.56/~jnz1568/getInfo.php?workbook=14_04.xlsx&amp;sheet=U0&amp;row=6341&amp;col=7&amp;number=0.0682&amp;sourceID=14","0.0682")</f>
        <v>0.0682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HYPERLINK("http://141.218.60.56/~jnz1568/getInfo.php?workbook=14_04.xlsx&amp;sheet=U0&amp;row=6342&amp;col=6&amp;number=4.8&amp;sourceID=14","4.8")</f>
        <v>4.8</v>
      </c>
      <c r="G6342" s="4" t="str">
        <f>HYPERLINK("http://141.218.60.56/~jnz1568/getInfo.php?workbook=14_04.xlsx&amp;sheet=U0&amp;row=6342&amp;col=7&amp;number=0.0683&amp;sourceID=14","0.0683")</f>
        <v>0.0683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HYPERLINK("http://141.218.60.56/~jnz1568/getInfo.php?workbook=14_04.xlsx&amp;sheet=U0&amp;row=6343&amp;col=6&amp;number=4.9&amp;sourceID=14","4.9")</f>
        <v>4.9</v>
      </c>
      <c r="G6343" s="4" t="str">
        <f>HYPERLINK("http://141.218.60.56/~jnz1568/getInfo.php?workbook=14_04.xlsx&amp;sheet=U0&amp;row=6343&amp;col=7&amp;number=0.0684&amp;sourceID=14","0.0684")</f>
        <v>0.0684</v>
      </c>
    </row>
    <row r="6344" spans="1:7">
      <c r="A6344" s="3">
        <v>14</v>
      </c>
      <c r="B6344" s="3">
        <v>4</v>
      </c>
      <c r="C6344" s="3">
        <v>4</v>
      </c>
      <c r="D6344" s="3">
        <v>37</v>
      </c>
      <c r="E6344" s="3">
        <v>1</v>
      </c>
      <c r="F6344" s="4" t="str">
        <f>HYPERLINK("http://141.218.60.56/~jnz1568/getInfo.php?workbook=14_04.xlsx&amp;sheet=U0&amp;row=6344&amp;col=6&amp;number=3&amp;sourceID=14","3")</f>
        <v>3</v>
      </c>
      <c r="G6344" s="4" t="str">
        <f>HYPERLINK("http://141.218.60.56/~jnz1568/getInfo.php?workbook=14_04.xlsx&amp;sheet=U0&amp;row=6344&amp;col=7&amp;number=0.00461&amp;sourceID=14","0.00461")</f>
        <v>0.00461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HYPERLINK("http://141.218.60.56/~jnz1568/getInfo.php?workbook=14_04.xlsx&amp;sheet=U0&amp;row=6345&amp;col=6&amp;number=3.1&amp;sourceID=14","3.1")</f>
        <v>3.1</v>
      </c>
      <c r="G6345" s="4" t="str">
        <f>HYPERLINK("http://141.218.60.56/~jnz1568/getInfo.php?workbook=14_04.xlsx&amp;sheet=U0&amp;row=6345&amp;col=7&amp;number=0.00461&amp;sourceID=14","0.00461")</f>
        <v>0.00461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HYPERLINK("http://141.218.60.56/~jnz1568/getInfo.php?workbook=14_04.xlsx&amp;sheet=U0&amp;row=6346&amp;col=6&amp;number=3.2&amp;sourceID=14","3.2")</f>
        <v>3.2</v>
      </c>
      <c r="G6346" s="4" t="str">
        <f>HYPERLINK("http://141.218.60.56/~jnz1568/getInfo.php?workbook=14_04.xlsx&amp;sheet=U0&amp;row=6346&amp;col=7&amp;number=0.00461&amp;sourceID=14","0.00461")</f>
        <v>0.00461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HYPERLINK("http://141.218.60.56/~jnz1568/getInfo.php?workbook=14_04.xlsx&amp;sheet=U0&amp;row=6347&amp;col=6&amp;number=3.3&amp;sourceID=14","3.3")</f>
        <v>3.3</v>
      </c>
      <c r="G6347" s="4" t="str">
        <f>HYPERLINK("http://141.218.60.56/~jnz1568/getInfo.php?workbook=14_04.xlsx&amp;sheet=U0&amp;row=6347&amp;col=7&amp;number=0.00461&amp;sourceID=14","0.00461")</f>
        <v>0.00461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HYPERLINK("http://141.218.60.56/~jnz1568/getInfo.php?workbook=14_04.xlsx&amp;sheet=U0&amp;row=6348&amp;col=6&amp;number=3.4&amp;sourceID=14","3.4")</f>
        <v>3.4</v>
      </c>
      <c r="G6348" s="4" t="str">
        <f>HYPERLINK("http://141.218.60.56/~jnz1568/getInfo.php?workbook=14_04.xlsx&amp;sheet=U0&amp;row=6348&amp;col=7&amp;number=0.00461&amp;sourceID=14","0.00461")</f>
        <v>0.00461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HYPERLINK("http://141.218.60.56/~jnz1568/getInfo.php?workbook=14_04.xlsx&amp;sheet=U0&amp;row=6349&amp;col=6&amp;number=3.5&amp;sourceID=14","3.5")</f>
        <v>3.5</v>
      </c>
      <c r="G6349" s="4" t="str">
        <f>HYPERLINK("http://141.218.60.56/~jnz1568/getInfo.php?workbook=14_04.xlsx&amp;sheet=U0&amp;row=6349&amp;col=7&amp;number=0.00461&amp;sourceID=14","0.00461")</f>
        <v>0.00461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HYPERLINK("http://141.218.60.56/~jnz1568/getInfo.php?workbook=14_04.xlsx&amp;sheet=U0&amp;row=6350&amp;col=6&amp;number=3.6&amp;sourceID=14","3.6")</f>
        <v>3.6</v>
      </c>
      <c r="G6350" s="4" t="str">
        <f>HYPERLINK("http://141.218.60.56/~jnz1568/getInfo.php?workbook=14_04.xlsx&amp;sheet=U0&amp;row=6350&amp;col=7&amp;number=0.00461&amp;sourceID=14","0.00461")</f>
        <v>0.00461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HYPERLINK("http://141.218.60.56/~jnz1568/getInfo.php?workbook=14_04.xlsx&amp;sheet=U0&amp;row=6351&amp;col=6&amp;number=3.7&amp;sourceID=14","3.7")</f>
        <v>3.7</v>
      </c>
      <c r="G6351" s="4" t="str">
        <f>HYPERLINK("http://141.218.60.56/~jnz1568/getInfo.php?workbook=14_04.xlsx&amp;sheet=U0&amp;row=6351&amp;col=7&amp;number=0.00461&amp;sourceID=14","0.00461")</f>
        <v>0.00461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HYPERLINK("http://141.218.60.56/~jnz1568/getInfo.php?workbook=14_04.xlsx&amp;sheet=U0&amp;row=6352&amp;col=6&amp;number=3.8&amp;sourceID=14","3.8")</f>
        <v>3.8</v>
      </c>
      <c r="G6352" s="4" t="str">
        <f>HYPERLINK("http://141.218.60.56/~jnz1568/getInfo.php?workbook=14_04.xlsx&amp;sheet=U0&amp;row=6352&amp;col=7&amp;number=0.0046&amp;sourceID=14","0.0046")</f>
        <v>0.0046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HYPERLINK("http://141.218.60.56/~jnz1568/getInfo.php?workbook=14_04.xlsx&amp;sheet=U0&amp;row=6353&amp;col=6&amp;number=3.9&amp;sourceID=14","3.9")</f>
        <v>3.9</v>
      </c>
      <c r="G6353" s="4" t="str">
        <f>HYPERLINK("http://141.218.60.56/~jnz1568/getInfo.php?workbook=14_04.xlsx&amp;sheet=U0&amp;row=6353&amp;col=7&amp;number=0.0046&amp;sourceID=14","0.0046")</f>
        <v>0.0046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HYPERLINK("http://141.218.60.56/~jnz1568/getInfo.php?workbook=14_04.xlsx&amp;sheet=U0&amp;row=6354&amp;col=6&amp;number=4&amp;sourceID=14","4")</f>
        <v>4</v>
      </c>
      <c r="G6354" s="4" t="str">
        <f>HYPERLINK("http://141.218.60.56/~jnz1568/getInfo.php?workbook=14_04.xlsx&amp;sheet=U0&amp;row=6354&amp;col=7&amp;number=0.0046&amp;sourceID=14","0.0046")</f>
        <v>0.0046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HYPERLINK("http://141.218.60.56/~jnz1568/getInfo.php?workbook=14_04.xlsx&amp;sheet=U0&amp;row=6355&amp;col=6&amp;number=4.1&amp;sourceID=14","4.1")</f>
        <v>4.1</v>
      </c>
      <c r="G6355" s="4" t="str">
        <f>HYPERLINK("http://141.218.60.56/~jnz1568/getInfo.php?workbook=14_04.xlsx&amp;sheet=U0&amp;row=6355&amp;col=7&amp;number=0.0046&amp;sourceID=14","0.0046")</f>
        <v>0.0046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HYPERLINK("http://141.218.60.56/~jnz1568/getInfo.php?workbook=14_04.xlsx&amp;sheet=U0&amp;row=6356&amp;col=6&amp;number=4.2&amp;sourceID=14","4.2")</f>
        <v>4.2</v>
      </c>
      <c r="G6356" s="4" t="str">
        <f>HYPERLINK("http://141.218.60.56/~jnz1568/getInfo.php?workbook=14_04.xlsx&amp;sheet=U0&amp;row=6356&amp;col=7&amp;number=0.0046&amp;sourceID=14","0.0046")</f>
        <v>0.0046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HYPERLINK("http://141.218.60.56/~jnz1568/getInfo.php?workbook=14_04.xlsx&amp;sheet=U0&amp;row=6357&amp;col=6&amp;number=4.3&amp;sourceID=14","4.3")</f>
        <v>4.3</v>
      </c>
      <c r="G6357" s="4" t="str">
        <f>HYPERLINK("http://141.218.60.56/~jnz1568/getInfo.php?workbook=14_04.xlsx&amp;sheet=U0&amp;row=6357&amp;col=7&amp;number=0.0046&amp;sourceID=14","0.0046")</f>
        <v>0.0046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HYPERLINK("http://141.218.60.56/~jnz1568/getInfo.php?workbook=14_04.xlsx&amp;sheet=U0&amp;row=6358&amp;col=6&amp;number=4.4&amp;sourceID=14","4.4")</f>
        <v>4.4</v>
      </c>
      <c r="G6358" s="4" t="str">
        <f>HYPERLINK("http://141.218.60.56/~jnz1568/getInfo.php?workbook=14_04.xlsx&amp;sheet=U0&amp;row=6358&amp;col=7&amp;number=0.00459&amp;sourceID=14","0.00459")</f>
        <v>0.00459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HYPERLINK("http://141.218.60.56/~jnz1568/getInfo.php?workbook=14_04.xlsx&amp;sheet=U0&amp;row=6359&amp;col=6&amp;number=4.5&amp;sourceID=14","4.5")</f>
        <v>4.5</v>
      </c>
      <c r="G6359" s="4" t="str">
        <f>HYPERLINK("http://141.218.60.56/~jnz1568/getInfo.php?workbook=14_04.xlsx&amp;sheet=U0&amp;row=6359&amp;col=7&amp;number=0.00459&amp;sourceID=14","0.00459")</f>
        <v>0.00459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HYPERLINK("http://141.218.60.56/~jnz1568/getInfo.php?workbook=14_04.xlsx&amp;sheet=U0&amp;row=6360&amp;col=6&amp;number=4.6&amp;sourceID=14","4.6")</f>
        <v>4.6</v>
      </c>
      <c r="G6360" s="4" t="str">
        <f>HYPERLINK("http://141.218.60.56/~jnz1568/getInfo.php?workbook=14_04.xlsx&amp;sheet=U0&amp;row=6360&amp;col=7&amp;number=0.00458&amp;sourceID=14","0.00458")</f>
        <v>0.00458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HYPERLINK("http://141.218.60.56/~jnz1568/getInfo.php?workbook=14_04.xlsx&amp;sheet=U0&amp;row=6361&amp;col=6&amp;number=4.7&amp;sourceID=14","4.7")</f>
        <v>4.7</v>
      </c>
      <c r="G6361" s="4" t="str">
        <f>HYPERLINK("http://141.218.60.56/~jnz1568/getInfo.php?workbook=14_04.xlsx&amp;sheet=U0&amp;row=6361&amp;col=7&amp;number=0.00458&amp;sourceID=14","0.00458")</f>
        <v>0.00458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HYPERLINK("http://141.218.60.56/~jnz1568/getInfo.php?workbook=14_04.xlsx&amp;sheet=U0&amp;row=6362&amp;col=6&amp;number=4.8&amp;sourceID=14","4.8")</f>
        <v>4.8</v>
      </c>
      <c r="G6362" s="4" t="str">
        <f>HYPERLINK("http://141.218.60.56/~jnz1568/getInfo.php?workbook=14_04.xlsx&amp;sheet=U0&amp;row=6362&amp;col=7&amp;number=0.00457&amp;sourceID=14","0.00457")</f>
        <v>0.00457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HYPERLINK("http://141.218.60.56/~jnz1568/getInfo.php?workbook=14_04.xlsx&amp;sheet=U0&amp;row=6363&amp;col=6&amp;number=4.9&amp;sourceID=14","4.9")</f>
        <v>4.9</v>
      </c>
      <c r="G6363" s="4" t="str">
        <f>HYPERLINK("http://141.218.60.56/~jnz1568/getInfo.php?workbook=14_04.xlsx&amp;sheet=U0&amp;row=6363&amp;col=7&amp;number=0.00456&amp;sourceID=14","0.00456")</f>
        <v>0.00456</v>
      </c>
    </row>
    <row r="6364" spans="1:7">
      <c r="A6364" s="3">
        <v>14</v>
      </c>
      <c r="B6364" s="3">
        <v>4</v>
      </c>
      <c r="C6364" s="3">
        <v>4</v>
      </c>
      <c r="D6364" s="3">
        <v>38</v>
      </c>
      <c r="E6364" s="3">
        <v>1</v>
      </c>
      <c r="F6364" s="4" t="str">
        <f>HYPERLINK("http://141.218.60.56/~jnz1568/getInfo.php?workbook=14_04.xlsx&amp;sheet=U0&amp;row=6364&amp;col=6&amp;number=3&amp;sourceID=14","3")</f>
        <v>3</v>
      </c>
      <c r="G6364" s="4" t="str">
        <f>HYPERLINK("http://141.218.60.56/~jnz1568/getInfo.php?workbook=14_04.xlsx&amp;sheet=U0&amp;row=6364&amp;col=7&amp;number=0.00421&amp;sourceID=14","0.00421")</f>
        <v>0.00421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HYPERLINK("http://141.218.60.56/~jnz1568/getInfo.php?workbook=14_04.xlsx&amp;sheet=U0&amp;row=6365&amp;col=6&amp;number=3.1&amp;sourceID=14","3.1")</f>
        <v>3.1</v>
      </c>
      <c r="G6365" s="4" t="str">
        <f>HYPERLINK("http://141.218.60.56/~jnz1568/getInfo.php?workbook=14_04.xlsx&amp;sheet=U0&amp;row=6365&amp;col=7&amp;number=0.00421&amp;sourceID=14","0.00421")</f>
        <v>0.00421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HYPERLINK("http://141.218.60.56/~jnz1568/getInfo.php?workbook=14_04.xlsx&amp;sheet=U0&amp;row=6366&amp;col=6&amp;number=3.2&amp;sourceID=14","3.2")</f>
        <v>3.2</v>
      </c>
      <c r="G6366" s="4" t="str">
        <f>HYPERLINK("http://141.218.60.56/~jnz1568/getInfo.php?workbook=14_04.xlsx&amp;sheet=U0&amp;row=6366&amp;col=7&amp;number=0.00421&amp;sourceID=14","0.00421")</f>
        <v>0.00421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HYPERLINK("http://141.218.60.56/~jnz1568/getInfo.php?workbook=14_04.xlsx&amp;sheet=U0&amp;row=6367&amp;col=6&amp;number=3.3&amp;sourceID=14","3.3")</f>
        <v>3.3</v>
      </c>
      <c r="G6367" s="4" t="str">
        <f>HYPERLINK("http://141.218.60.56/~jnz1568/getInfo.php?workbook=14_04.xlsx&amp;sheet=U0&amp;row=6367&amp;col=7&amp;number=0.00421&amp;sourceID=14","0.00421")</f>
        <v>0.00421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HYPERLINK("http://141.218.60.56/~jnz1568/getInfo.php?workbook=14_04.xlsx&amp;sheet=U0&amp;row=6368&amp;col=6&amp;number=3.4&amp;sourceID=14","3.4")</f>
        <v>3.4</v>
      </c>
      <c r="G6368" s="4" t="str">
        <f>HYPERLINK("http://141.218.60.56/~jnz1568/getInfo.php?workbook=14_04.xlsx&amp;sheet=U0&amp;row=6368&amp;col=7&amp;number=0.00421&amp;sourceID=14","0.00421")</f>
        <v>0.00421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HYPERLINK("http://141.218.60.56/~jnz1568/getInfo.php?workbook=14_04.xlsx&amp;sheet=U0&amp;row=6369&amp;col=6&amp;number=3.5&amp;sourceID=14","3.5")</f>
        <v>3.5</v>
      </c>
      <c r="G6369" s="4" t="str">
        <f>HYPERLINK("http://141.218.60.56/~jnz1568/getInfo.php?workbook=14_04.xlsx&amp;sheet=U0&amp;row=6369&amp;col=7&amp;number=0.00421&amp;sourceID=14","0.00421")</f>
        <v>0.00421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HYPERLINK("http://141.218.60.56/~jnz1568/getInfo.php?workbook=14_04.xlsx&amp;sheet=U0&amp;row=6370&amp;col=6&amp;number=3.6&amp;sourceID=14","3.6")</f>
        <v>3.6</v>
      </c>
      <c r="G6370" s="4" t="str">
        <f>HYPERLINK("http://141.218.60.56/~jnz1568/getInfo.php?workbook=14_04.xlsx&amp;sheet=U0&amp;row=6370&amp;col=7&amp;number=0.00421&amp;sourceID=14","0.00421")</f>
        <v>0.00421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HYPERLINK("http://141.218.60.56/~jnz1568/getInfo.php?workbook=14_04.xlsx&amp;sheet=U0&amp;row=6371&amp;col=6&amp;number=3.7&amp;sourceID=14","3.7")</f>
        <v>3.7</v>
      </c>
      <c r="G6371" s="4" t="str">
        <f>HYPERLINK("http://141.218.60.56/~jnz1568/getInfo.php?workbook=14_04.xlsx&amp;sheet=U0&amp;row=6371&amp;col=7&amp;number=0.00421&amp;sourceID=14","0.00421")</f>
        <v>0.00421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HYPERLINK("http://141.218.60.56/~jnz1568/getInfo.php?workbook=14_04.xlsx&amp;sheet=U0&amp;row=6372&amp;col=6&amp;number=3.8&amp;sourceID=14","3.8")</f>
        <v>3.8</v>
      </c>
      <c r="G6372" s="4" t="str">
        <f>HYPERLINK("http://141.218.60.56/~jnz1568/getInfo.php?workbook=14_04.xlsx&amp;sheet=U0&amp;row=6372&amp;col=7&amp;number=0.00421&amp;sourceID=14","0.00421")</f>
        <v>0.00421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HYPERLINK("http://141.218.60.56/~jnz1568/getInfo.php?workbook=14_04.xlsx&amp;sheet=U0&amp;row=6373&amp;col=6&amp;number=3.9&amp;sourceID=14","3.9")</f>
        <v>3.9</v>
      </c>
      <c r="G6373" s="4" t="str">
        <f>HYPERLINK("http://141.218.60.56/~jnz1568/getInfo.php?workbook=14_04.xlsx&amp;sheet=U0&amp;row=6373&amp;col=7&amp;number=0.00421&amp;sourceID=14","0.00421")</f>
        <v>0.00421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HYPERLINK("http://141.218.60.56/~jnz1568/getInfo.php?workbook=14_04.xlsx&amp;sheet=U0&amp;row=6374&amp;col=6&amp;number=4&amp;sourceID=14","4")</f>
        <v>4</v>
      </c>
      <c r="G6374" s="4" t="str">
        <f>HYPERLINK("http://141.218.60.56/~jnz1568/getInfo.php?workbook=14_04.xlsx&amp;sheet=U0&amp;row=6374&amp;col=7&amp;number=0.00421&amp;sourceID=14","0.00421")</f>
        <v>0.00421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HYPERLINK("http://141.218.60.56/~jnz1568/getInfo.php?workbook=14_04.xlsx&amp;sheet=U0&amp;row=6375&amp;col=6&amp;number=4.1&amp;sourceID=14","4.1")</f>
        <v>4.1</v>
      </c>
      <c r="G6375" s="4" t="str">
        <f>HYPERLINK("http://141.218.60.56/~jnz1568/getInfo.php?workbook=14_04.xlsx&amp;sheet=U0&amp;row=6375&amp;col=7&amp;number=0.00421&amp;sourceID=14","0.00421")</f>
        <v>0.00421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HYPERLINK("http://141.218.60.56/~jnz1568/getInfo.php?workbook=14_04.xlsx&amp;sheet=U0&amp;row=6376&amp;col=6&amp;number=4.2&amp;sourceID=14","4.2")</f>
        <v>4.2</v>
      </c>
      <c r="G6376" s="4" t="str">
        <f>HYPERLINK("http://141.218.60.56/~jnz1568/getInfo.php?workbook=14_04.xlsx&amp;sheet=U0&amp;row=6376&amp;col=7&amp;number=0.00421&amp;sourceID=14","0.00421")</f>
        <v>0.00421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HYPERLINK("http://141.218.60.56/~jnz1568/getInfo.php?workbook=14_04.xlsx&amp;sheet=U0&amp;row=6377&amp;col=6&amp;number=4.3&amp;sourceID=14","4.3")</f>
        <v>4.3</v>
      </c>
      <c r="G6377" s="4" t="str">
        <f>HYPERLINK("http://141.218.60.56/~jnz1568/getInfo.php?workbook=14_04.xlsx&amp;sheet=U0&amp;row=6377&amp;col=7&amp;number=0.00421&amp;sourceID=14","0.00421")</f>
        <v>0.00421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HYPERLINK("http://141.218.60.56/~jnz1568/getInfo.php?workbook=14_04.xlsx&amp;sheet=U0&amp;row=6378&amp;col=6&amp;number=4.4&amp;sourceID=14","4.4")</f>
        <v>4.4</v>
      </c>
      <c r="G6378" s="4" t="str">
        <f>HYPERLINK("http://141.218.60.56/~jnz1568/getInfo.php?workbook=14_04.xlsx&amp;sheet=U0&amp;row=6378&amp;col=7&amp;number=0.00421&amp;sourceID=14","0.00421")</f>
        <v>0.00421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HYPERLINK("http://141.218.60.56/~jnz1568/getInfo.php?workbook=14_04.xlsx&amp;sheet=U0&amp;row=6379&amp;col=6&amp;number=4.5&amp;sourceID=14","4.5")</f>
        <v>4.5</v>
      </c>
      <c r="G6379" s="4" t="str">
        <f>HYPERLINK("http://141.218.60.56/~jnz1568/getInfo.php?workbook=14_04.xlsx&amp;sheet=U0&amp;row=6379&amp;col=7&amp;number=0.00421&amp;sourceID=14","0.00421")</f>
        <v>0.00421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HYPERLINK("http://141.218.60.56/~jnz1568/getInfo.php?workbook=14_04.xlsx&amp;sheet=U0&amp;row=6380&amp;col=6&amp;number=4.6&amp;sourceID=14","4.6")</f>
        <v>4.6</v>
      </c>
      <c r="G6380" s="4" t="str">
        <f>HYPERLINK("http://141.218.60.56/~jnz1568/getInfo.php?workbook=14_04.xlsx&amp;sheet=U0&amp;row=6380&amp;col=7&amp;number=0.00421&amp;sourceID=14","0.00421")</f>
        <v>0.00421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HYPERLINK("http://141.218.60.56/~jnz1568/getInfo.php?workbook=14_04.xlsx&amp;sheet=U0&amp;row=6381&amp;col=6&amp;number=4.7&amp;sourceID=14","4.7")</f>
        <v>4.7</v>
      </c>
      <c r="G6381" s="4" t="str">
        <f>HYPERLINK("http://141.218.60.56/~jnz1568/getInfo.php?workbook=14_04.xlsx&amp;sheet=U0&amp;row=6381&amp;col=7&amp;number=0.00421&amp;sourceID=14","0.00421")</f>
        <v>0.00421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HYPERLINK("http://141.218.60.56/~jnz1568/getInfo.php?workbook=14_04.xlsx&amp;sheet=U0&amp;row=6382&amp;col=6&amp;number=4.8&amp;sourceID=14","4.8")</f>
        <v>4.8</v>
      </c>
      <c r="G6382" s="4" t="str">
        <f>HYPERLINK("http://141.218.60.56/~jnz1568/getInfo.php?workbook=14_04.xlsx&amp;sheet=U0&amp;row=6382&amp;col=7&amp;number=0.00421&amp;sourceID=14","0.00421")</f>
        <v>0.00421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HYPERLINK("http://141.218.60.56/~jnz1568/getInfo.php?workbook=14_04.xlsx&amp;sheet=U0&amp;row=6383&amp;col=6&amp;number=4.9&amp;sourceID=14","4.9")</f>
        <v>4.9</v>
      </c>
      <c r="G6383" s="4" t="str">
        <f>HYPERLINK("http://141.218.60.56/~jnz1568/getInfo.php?workbook=14_04.xlsx&amp;sheet=U0&amp;row=6383&amp;col=7&amp;number=0.00421&amp;sourceID=14","0.00421")</f>
        <v>0.00421</v>
      </c>
    </row>
    <row r="6384" spans="1:7">
      <c r="A6384" s="3">
        <v>14</v>
      </c>
      <c r="B6384" s="3">
        <v>4</v>
      </c>
      <c r="C6384" s="3">
        <v>4</v>
      </c>
      <c r="D6384" s="3">
        <v>39</v>
      </c>
      <c r="E6384" s="3">
        <v>1</v>
      </c>
      <c r="F6384" s="4" t="str">
        <f>HYPERLINK("http://141.218.60.56/~jnz1568/getInfo.php?workbook=14_04.xlsx&amp;sheet=U0&amp;row=6384&amp;col=6&amp;number=3&amp;sourceID=14","3")</f>
        <v>3</v>
      </c>
      <c r="G6384" s="4" t="str">
        <f>HYPERLINK("http://141.218.60.56/~jnz1568/getInfo.php?workbook=14_04.xlsx&amp;sheet=U0&amp;row=6384&amp;col=7&amp;number=0.0143&amp;sourceID=14","0.0143")</f>
        <v>0.0143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HYPERLINK("http://141.218.60.56/~jnz1568/getInfo.php?workbook=14_04.xlsx&amp;sheet=U0&amp;row=6385&amp;col=6&amp;number=3.1&amp;sourceID=14","3.1")</f>
        <v>3.1</v>
      </c>
      <c r="G6385" s="4" t="str">
        <f>HYPERLINK("http://141.218.60.56/~jnz1568/getInfo.php?workbook=14_04.xlsx&amp;sheet=U0&amp;row=6385&amp;col=7&amp;number=0.0143&amp;sourceID=14","0.0143")</f>
        <v>0.0143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HYPERLINK("http://141.218.60.56/~jnz1568/getInfo.php?workbook=14_04.xlsx&amp;sheet=U0&amp;row=6386&amp;col=6&amp;number=3.2&amp;sourceID=14","3.2")</f>
        <v>3.2</v>
      </c>
      <c r="G6386" s="4" t="str">
        <f>HYPERLINK("http://141.218.60.56/~jnz1568/getInfo.php?workbook=14_04.xlsx&amp;sheet=U0&amp;row=6386&amp;col=7&amp;number=0.0143&amp;sourceID=14","0.0143")</f>
        <v>0.0143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HYPERLINK("http://141.218.60.56/~jnz1568/getInfo.php?workbook=14_04.xlsx&amp;sheet=U0&amp;row=6387&amp;col=6&amp;number=3.3&amp;sourceID=14","3.3")</f>
        <v>3.3</v>
      </c>
      <c r="G6387" s="4" t="str">
        <f>HYPERLINK("http://141.218.60.56/~jnz1568/getInfo.php?workbook=14_04.xlsx&amp;sheet=U0&amp;row=6387&amp;col=7&amp;number=0.0143&amp;sourceID=14","0.0143")</f>
        <v>0.0143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HYPERLINK("http://141.218.60.56/~jnz1568/getInfo.php?workbook=14_04.xlsx&amp;sheet=U0&amp;row=6388&amp;col=6&amp;number=3.4&amp;sourceID=14","3.4")</f>
        <v>3.4</v>
      </c>
      <c r="G6388" s="4" t="str">
        <f>HYPERLINK("http://141.218.60.56/~jnz1568/getInfo.php?workbook=14_04.xlsx&amp;sheet=U0&amp;row=6388&amp;col=7&amp;number=0.0143&amp;sourceID=14","0.0143")</f>
        <v>0.0143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HYPERLINK("http://141.218.60.56/~jnz1568/getInfo.php?workbook=14_04.xlsx&amp;sheet=U0&amp;row=6389&amp;col=6&amp;number=3.5&amp;sourceID=14","3.5")</f>
        <v>3.5</v>
      </c>
      <c r="G6389" s="4" t="str">
        <f>HYPERLINK("http://141.218.60.56/~jnz1568/getInfo.php?workbook=14_04.xlsx&amp;sheet=U0&amp;row=6389&amp;col=7&amp;number=0.0143&amp;sourceID=14","0.0143")</f>
        <v>0.0143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HYPERLINK("http://141.218.60.56/~jnz1568/getInfo.php?workbook=14_04.xlsx&amp;sheet=U0&amp;row=6390&amp;col=6&amp;number=3.6&amp;sourceID=14","3.6")</f>
        <v>3.6</v>
      </c>
      <c r="G6390" s="4" t="str">
        <f>HYPERLINK("http://141.218.60.56/~jnz1568/getInfo.php?workbook=14_04.xlsx&amp;sheet=U0&amp;row=6390&amp;col=7&amp;number=0.0143&amp;sourceID=14","0.0143")</f>
        <v>0.0143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HYPERLINK("http://141.218.60.56/~jnz1568/getInfo.php?workbook=14_04.xlsx&amp;sheet=U0&amp;row=6391&amp;col=6&amp;number=3.7&amp;sourceID=14","3.7")</f>
        <v>3.7</v>
      </c>
      <c r="G6391" s="4" t="str">
        <f>HYPERLINK("http://141.218.60.56/~jnz1568/getInfo.php?workbook=14_04.xlsx&amp;sheet=U0&amp;row=6391&amp;col=7&amp;number=0.0143&amp;sourceID=14","0.0143")</f>
        <v>0.0143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HYPERLINK("http://141.218.60.56/~jnz1568/getInfo.php?workbook=14_04.xlsx&amp;sheet=U0&amp;row=6392&amp;col=6&amp;number=3.8&amp;sourceID=14","3.8")</f>
        <v>3.8</v>
      </c>
      <c r="G6392" s="4" t="str">
        <f>HYPERLINK("http://141.218.60.56/~jnz1568/getInfo.php?workbook=14_04.xlsx&amp;sheet=U0&amp;row=6392&amp;col=7&amp;number=0.0143&amp;sourceID=14","0.0143")</f>
        <v>0.0143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HYPERLINK("http://141.218.60.56/~jnz1568/getInfo.php?workbook=14_04.xlsx&amp;sheet=U0&amp;row=6393&amp;col=6&amp;number=3.9&amp;sourceID=14","3.9")</f>
        <v>3.9</v>
      </c>
      <c r="G6393" s="4" t="str">
        <f>HYPERLINK("http://141.218.60.56/~jnz1568/getInfo.php?workbook=14_04.xlsx&amp;sheet=U0&amp;row=6393&amp;col=7&amp;number=0.0144&amp;sourceID=14","0.0144")</f>
        <v>0.0144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HYPERLINK("http://141.218.60.56/~jnz1568/getInfo.php?workbook=14_04.xlsx&amp;sheet=U0&amp;row=6394&amp;col=6&amp;number=4&amp;sourceID=14","4")</f>
        <v>4</v>
      </c>
      <c r="G6394" s="4" t="str">
        <f>HYPERLINK("http://141.218.60.56/~jnz1568/getInfo.php?workbook=14_04.xlsx&amp;sheet=U0&amp;row=6394&amp;col=7&amp;number=0.0144&amp;sourceID=14","0.0144")</f>
        <v>0.0144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HYPERLINK("http://141.218.60.56/~jnz1568/getInfo.php?workbook=14_04.xlsx&amp;sheet=U0&amp;row=6395&amp;col=6&amp;number=4.1&amp;sourceID=14","4.1")</f>
        <v>4.1</v>
      </c>
      <c r="G6395" s="4" t="str">
        <f>HYPERLINK("http://141.218.60.56/~jnz1568/getInfo.php?workbook=14_04.xlsx&amp;sheet=U0&amp;row=6395&amp;col=7&amp;number=0.0144&amp;sourceID=14","0.0144")</f>
        <v>0.0144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HYPERLINK("http://141.218.60.56/~jnz1568/getInfo.php?workbook=14_04.xlsx&amp;sheet=U0&amp;row=6396&amp;col=6&amp;number=4.2&amp;sourceID=14","4.2")</f>
        <v>4.2</v>
      </c>
      <c r="G6396" s="4" t="str">
        <f>HYPERLINK("http://141.218.60.56/~jnz1568/getInfo.php?workbook=14_04.xlsx&amp;sheet=U0&amp;row=6396&amp;col=7&amp;number=0.0144&amp;sourceID=14","0.0144")</f>
        <v>0.0144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HYPERLINK("http://141.218.60.56/~jnz1568/getInfo.php?workbook=14_04.xlsx&amp;sheet=U0&amp;row=6397&amp;col=6&amp;number=4.3&amp;sourceID=14","4.3")</f>
        <v>4.3</v>
      </c>
      <c r="G6397" s="4" t="str">
        <f>HYPERLINK("http://141.218.60.56/~jnz1568/getInfo.php?workbook=14_04.xlsx&amp;sheet=U0&amp;row=6397&amp;col=7&amp;number=0.0144&amp;sourceID=14","0.0144")</f>
        <v>0.0144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HYPERLINK("http://141.218.60.56/~jnz1568/getInfo.php?workbook=14_04.xlsx&amp;sheet=U0&amp;row=6398&amp;col=6&amp;number=4.4&amp;sourceID=14","4.4")</f>
        <v>4.4</v>
      </c>
      <c r="G6398" s="4" t="str">
        <f>HYPERLINK("http://141.218.60.56/~jnz1568/getInfo.php?workbook=14_04.xlsx&amp;sheet=U0&amp;row=6398&amp;col=7&amp;number=0.0144&amp;sourceID=14","0.0144")</f>
        <v>0.0144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HYPERLINK("http://141.218.60.56/~jnz1568/getInfo.php?workbook=14_04.xlsx&amp;sheet=U0&amp;row=6399&amp;col=6&amp;number=4.5&amp;sourceID=14","4.5")</f>
        <v>4.5</v>
      </c>
      <c r="G6399" s="4" t="str">
        <f>HYPERLINK("http://141.218.60.56/~jnz1568/getInfo.php?workbook=14_04.xlsx&amp;sheet=U0&amp;row=6399&amp;col=7&amp;number=0.0144&amp;sourceID=14","0.0144")</f>
        <v>0.0144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HYPERLINK("http://141.218.60.56/~jnz1568/getInfo.php?workbook=14_04.xlsx&amp;sheet=U0&amp;row=6400&amp;col=6&amp;number=4.6&amp;sourceID=14","4.6")</f>
        <v>4.6</v>
      </c>
      <c r="G6400" s="4" t="str">
        <f>HYPERLINK("http://141.218.60.56/~jnz1568/getInfo.php?workbook=14_04.xlsx&amp;sheet=U0&amp;row=6400&amp;col=7&amp;number=0.0144&amp;sourceID=14","0.0144")</f>
        <v>0.0144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HYPERLINK("http://141.218.60.56/~jnz1568/getInfo.php?workbook=14_04.xlsx&amp;sheet=U0&amp;row=6401&amp;col=6&amp;number=4.7&amp;sourceID=14","4.7")</f>
        <v>4.7</v>
      </c>
      <c r="G6401" s="4" t="str">
        <f>HYPERLINK("http://141.218.60.56/~jnz1568/getInfo.php?workbook=14_04.xlsx&amp;sheet=U0&amp;row=6401&amp;col=7&amp;number=0.0144&amp;sourceID=14","0.0144")</f>
        <v>0.0144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HYPERLINK("http://141.218.60.56/~jnz1568/getInfo.php?workbook=14_04.xlsx&amp;sheet=U0&amp;row=6402&amp;col=6&amp;number=4.8&amp;sourceID=14","4.8")</f>
        <v>4.8</v>
      </c>
      <c r="G6402" s="4" t="str">
        <f>HYPERLINK("http://141.218.60.56/~jnz1568/getInfo.php?workbook=14_04.xlsx&amp;sheet=U0&amp;row=6402&amp;col=7&amp;number=0.0144&amp;sourceID=14","0.0144")</f>
        <v>0.0144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HYPERLINK("http://141.218.60.56/~jnz1568/getInfo.php?workbook=14_04.xlsx&amp;sheet=U0&amp;row=6403&amp;col=6&amp;number=4.9&amp;sourceID=14","4.9")</f>
        <v>4.9</v>
      </c>
      <c r="G6403" s="4" t="str">
        <f>HYPERLINK("http://141.218.60.56/~jnz1568/getInfo.php?workbook=14_04.xlsx&amp;sheet=U0&amp;row=6403&amp;col=7&amp;number=0.0145&amp;sourceID=14","0.0145")</f>
        <v>0.0145</v>
      </c>
    </row>
    <row r="6404" spans="1:7">
      <c r="A6404" s="3">
        <v>14</v>
      </c>
      <c r="B6404" s="3">
        <v>4</v>
      </c>
      <c r="C6404" s="3">
        <v>4</v>
      </c>
      <c r="D6404" s="3">
        <v>40</v>
      </c>
      <c r="E6404" s="3">
        <v>1</v>
      </c>
      <c r="F6404" s="4" t="str">
        <f>HYPERLINK("http://141.218.60.56/~jnz1568/getInfo.php?workbook=14_04.xlsx&amp;sheet=U0&amp;row=6404&amp;col=6&amp;number=3&amp;sourceID=14","3")</f>
        <v>3</v>
      </c>
      <c r="G6404" s="4" t="str">
        <f>HYPERLINK("http://141.218.60.56/~jnz1568/getInfo.php?workbook=14_04.xlsx&amp;sheet=U0&amp;row=6404&amp;col=7&amp;number=0.0394&amp;sourceID=14","0.0394")</f>
        <v>0.0394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HYPERLINK("http://141.218.60.56/~jnz1568/getInfo.php?workbook=14_04.xlsx&amp;sheet=U0&amp;row=6405&amp;col=6&amp;number=3.1&amp;sourceID=14","3.1")</f>
        <v>3.1</v>
      </c>
      <c r="G6405" s="4" t="str">
        <f>HYPERLINK("http://141.218.60.56/~jnz1568/getInfo.php?workbook=14_04.xlsx&amp;sheet=U0&amp;row=6405&amp;col=7&amp;number=0.0394&amp;sourceID=14","0.0394")</f>
        <v>0.0394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HYPERLINK("http://141.218.60.56/~jnz1568/getInfo.php?workbook=14_04.xlsx&amp;sheet=U0&amp;row=6406&amp;col=6&amp;number=3.2&amp;sourceID=14","3.2")</f>
        <v>3.2</v>
      </c>
      <c r="G6406" s="4" t="str">
        <f>HYPERLINK("http://141.218.60.56/~jnz1568/getInfo.php?workbook=14_04.xlsx&amp;sheet=U0&amp;row=6406&amp;col=7&amp;number=0.0394&amp;sourceID=14","0.0394")</f>
        <v>0.0394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HYPERLINK("http://141.218.60.56/~jnz1568/getInfo.php?workbook=14_04.xlsx&amp;sheet=U0&amp;row=6407&amp;col=6&amp;number=3.3&amp;sourceID=14","3.3")</f>
        <v>3.3</v>
      </c>
      <c r="G6407" s="4" t="str">
        <f>HYPERLINK("http://141.218.60.56/~jnz1568/getInfo.php?workbook=14_04.xlsx&amp;sheet=U0&amp;row=6407&amp;col=7&amp;number=0.0395&amp;sourceID=14","0.0395")</f>
        <v>0.0395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HYPERLINK("http://141.218.60.56/~jnz1568/getInfo.php?workbook=14_04.xlsx&amp;sheet=U0&amp;row=6408&amp;col=6&amp;number=3.4&amp;sourceID=14","3.4")</f>
        <v>3.4</v>
      </c>
      <c r="G6408" s="4" t="str">
        <f>HYPERLINK("http://141.218.60.56/~jnz1568/getInfo.php?workbook=14_04.xlsx&amp;sheet=U0&amp;row=6408&amp;col=7&amp;number=0.0395&amp;sourceID=14","0.0395")</f>
        <v>0.0395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HYPERLINK("http://141.218.60.56/~jnz1568/getInfo.php?workbook=14_04.xlsx&amp;sheet=U0&amp;row=6409&amp;col=6&amp;number=3.5&amp;sourceID=14","3.5")</f>
        <v>3.5</v>
      </c>
      <c r="G6409" s="4" t="str">
        <f>HYPERLINK("http://141.218.60.56/~jnz1568/getInfo.php?workbook=14_04.xlsx&amp;sheet=U0&amp;row=6409&amp;col=7&amp;number=0.0395&amp;sourceID=14","0.0395")</f>
        <v>0.0395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HYPERLINK("http://141.218.60.56/~jnz1568/getInfo.php?workbook=14_04.xlsx&amp;sheet=U0&amp;row=6410&amp;col=6&amp;number=3.6&amp;sourceID=14","3.6")</f>
        <v>3.6</v>
      </c>
      <c r="G6410" s="4" t="str">
        <f>HYPERLINK("http://141.218.60.56/~jnz1568/getInfo.php?workbook=14_04.xlsx&amp;sheet=U0&amp;row=6410&amp;col=7&amp;number=0.0395&amp;sourceID=14","0.0395")</f>
        <v>0.0395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HYPERLINK("http://141.218.60.56/~jnz1568/getInfo.php?workbook=14_04.xlsx&amp;sheet=U0&amp;row=6411&amp;col=6&amp;number=3.7&amp;sourceID=14","3.7")</f>
        <v>3.7</v>
      </c>
      <c r="G6411" s="4" t="str">
        <f>HYPERLINK("http://141.218.60.56/~jnz1568/getInfo.php?workbook=14_04.xlsx&amp;sheet=U0&amp;row=6411&amp;col=7&amp;number=0.0395&amp;sourceID=14","0.0395")</f>
        <v>0.0395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HYPERLINK("http://141.218.60.56/~jnz1568/getInfo.php?workbook=14_04.xlsx&amp;sheet=U0&amp;row=6412&amp;col=6&amp;number=3.8&amp;sourceID=14","3.8")</f>
        <v>3.8</v>
      </c>
      <c r="G6412" s="4" t="str">
        <f>HYPERLINK("http://141.218.60.56/~jnz1568/getInfo.php?workbook=14_04.xlsx&amp;sheet=U0&amp;row=6412&amp;col=7&amp;number=0.0395&amp;sourceID=14","0.0395")</f>
        <v>0.0395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HYPERLINK("http://141.218.60.56/~jnz1568/getInfo.php?workbook=14_04.xlsx&amp;sheet=U0&amp;row=6413&amp;col=6&amp;number=3.9&amp;sourceID=14","3.9")</f>
        <v>3.9</v>
      </c>
      <c r="G6413" s="4" t="str">
        <f>HYPERLINK("http://141.218.60.56/~jnz1568/getInfo.php?workbook=14_04.xlsx&amp;sheet=U0&amp;row=6413&amp;col=7&amp;number=0.0395&amp;sourceID=14","0.0395")</f>
        <v>0.0395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HYPERLINK("http://141.218.60.56/~jnz1568/getInfo.php?workbook=14_04.xlsx&amp;sheet=U0&amp;row=6414&amp;col=6&amp;number=4&amp;sourceID=14","4")</f>
        <v>4</v>
      </c>
      <c r="G6414" s="4" t="str">
        <f>HYPERLINK("http://141.218.60.56/~jnz1568/getInfo.php?workbook=14_04.xlsx&amp;sheet=U0&amp;row=6414&amp;col=7&amp;number=0.0395&amp;sourceID=14","0.0395")</f>
        <v>0.0395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HYPERLINK("http://141.218.60.56/~jnz1568/getInfo.php?workbook=14_04.xlsx&amp;sheet=U0&amp;row=6415&amp;col=6&amp;number=4.1&amp;sourceID=14","4.1")</f>
        <v>4.1</v>
      </c>
      <c r="G6415" s="4" t="str">
        <f>HYPERLINK("http://141.218.60.56/~jnz1568/getInfo.php?workbook=14_04.xlsx&amp;sheet=U0&amp;row=6415&amp;col=7&amp;number=0.0395&amp;sourceID=14","0.0395")</f>
        <v>0.0395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HYPERLINK("http://141.218.60.56/~jnz1568/getInfo.php?workbook=14_04.xlsx&amp;sheet=U0&amp;row=6416&amp;col=6&amp;number=4.2&amp;sourceID=14","4.2")</f>
        <v>4.2</v>
      </c>
      <c r="G6416" s="4" t="str">
        <f>HYPERLINK("http://141.218.60.56/~jnz1568/getInfo.php?workbook=14_04.xlsx&amp;sheet=U0&amp;row=6416&amp;col=7&amp;number=0.0395&amp;sourceID=14","0.0395")</f>
        <v>0.0395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HYPERLINK("http://141.218.60.56/~jnz1568/getInfo.php?workbook=14_04.xlsx&amp;sheet=U0&amp;row=6417&amp;col=6&amp;number=4.3&amp;sourceID=14","4.3")</f>
        <v>4.3</v>
      </c>
      <c r="G6417" s="4" t="str">
        <f>HYPERLINK("http://141.218.60.56/~jnz1568/getInfo.php?workbook=14_04.xlsx&amp;sheet=U0&amp;row=6417&amp;col=7&amp;number=0.0395&amp;sourceID=14","0.0395")</f>
        <v>0.0395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HYPERLINK("http://141.218.60.56/~jnz1568/getInfo.php?workbook=14_04.xlsx&amp;sheet=U0&amp;row=6418&amp;col=6&amp;number=4.4&amp;sourceID=14","4.4")</f>
        <v>4.4</v>
      </c>
      <c r="G6418" s="4" t="str">
        <f>HYPERLINK("http://141.218.60.56/~jnz1568/getInfo.php?workbook=14_04.xlsx&amp;sheet=U0&amp;row=6418&amp;col=7&amp;number=0.0396&amp;sourceID=14","0.0396")</f>
        <v>0.0396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HYPERLINK("http://141.218.60.56/~jnz1568/getInfo.php?workbook=14_04.xlsx&amp;sheet=U0&amp;row=6419&amp;col=6&amp;number=4.5&amp;sourceID=14","4.5")</f>
        <v>4.5</v>
      </c>
      <c r="G6419" s="4" t="str">
        <f>HYPERLINK("http://141.218.60.56/~jnz1568/getInfo.php?workbook=14_04.xlsx&amp;sheet=U0&amp;row=6419&amp;col=7&amp;number=0.0396&amp;sourceID=14","0.0396")</f>
        <v>0.0396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HYPERLINK("http://141.218.60.56/~jnz1568/getInfo.php?workbook=14_04.xlsx&amp;sheet=U0&amp;row=6420&amp;col=6&amp;number=4.6&amp;sourceID=14","4.6")</f>
        <v>4.6</v>
      </c>
      <c r="G6420" s="4" t="str">
        <f>HYPERLINK("http://141.218.60.56/~jnz1568/getInfo.php?workbook=14_04.xlsx&amp;sheet=U0&amp;row=6420&amp;col=7&amp;number=0.0396&amp;sourceID=14","0.0396")</f>
        <v>0.0396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HYPERLINK("http://141.218.60.56/~jnz1568/getInfo.php?workbook=14_04.xlsx&amp;sheet=U0&amp;row=6421&amp;col=6&amp;number=4.7&amp;sourceID=14","4.7")</f>
        <v>4.7</v>
      </c>
      <c r="G6421" s="4" t="str">
        <f>HYPERLINK("http://141.218.60.56/~jnz1568/getInfo.php?workbook=14_04.xlsx&amp;sheet=U0&amp;row=6421&amp;col=7&amp;number=0.0397&amp;sourceID=14","0.0397")</f>
        <v>0.0397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HYPERLINK("http://141.218.60.56/~jnz1568/getInfo.php?workbook=14_04.xlsx&amp;sheet=U0&amp;row=6422&amp;col=6&amp;number=4.8&amp;sourceID=14","4.8")</f>
        <v>4.8</v>
      </c>
      <c r="G6422" s="4" t="str">
        <f>HYPERLINK("http://141.218.60.56/~jnz1568/getInfo.php?workbook=14_04.xlsx&amp;sheet=U0&amp;row=6422&amp;col=7&amp;number=0.0398&amp;sourceID=14","0.0398")</f>
        <v>0.0398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HYPERLINK("http://141.218.60.56/~jnz1568/getInfo.php?workbook=14_04.xlsx&amp;sheet=U0&amp;row=6423&amp;col=6&amp;number=4.9&amp;sourceID=14","4.9")</f>
        <v>4.9</v>
      </c>
      <c r="G6423" s="4" t="str">
        <f>HYPERLINK("http://141.218.60.56/~jnz1568/getInfo.php?workbook=14_04.xlsx&amp;sheet=U0&amp;row=6423&amp;col=7&amp;number=0.0398&amp;sourceID=14","0.0398")</f>
        <v>0.0398</v>
      </c>
    </row>
    <row r="6424" spans="1:7">
      <c r="A6424" s="3">
        <v>14</v>
      </c>
      <c r="B6424" s="3">
        <v>4</v>
      </c>
      <c r="C6424" s="3">
        <v>4</v>
      </c>
      <c r="D6424" s="3">
        <v>41</v>
      </c>
      <c r="E6424" s="3">
        <v>1</v>
      </c>
      <c r="F6424" s="4" t="str">
        <f>HYPERLINK("http://141.218.60.56/~jnz1568/getInfo.php?workbook=14_04.xlsx&amp;sheet=U0&amp;row=6424&amp;col=6&amp;number=3&amp;sourceID=14","3")</f>
        <v>3</v>
      </c>
      <c r="G6424" s="4" t="str">
        <f>HYPERLINK("http://141.218.60.56/~jnz1568/getInfo.php?workbook=14_04.xlsx&amp;sheet=U0&amp;row=6424&amp;col=7&amp;number=0.0226&amp;sourceID=14","0.0226")</f>
        <v>0.0226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HYPERLINK("http://141.218.60.56/~jnz1568/getInfo.php?workbook=14_04.xlsx&amp;sheet=U0&amp;row=6425&amp;col=6&amp;number=3.1&amp;sourceID=14","3.1")</f>
        <v>3.1</v>
      </c>
      <c r="G6425" s="4" t="str">
        <f>HYPERLINK("http://141.218.60.56/~jnz1568/getInfo.php?workbook=14_04.xlsx&amp;sheet=U0&amp;row=6425&amp;col=7&amp;number=0.0226&amp;sourceID=14","0.0226")</f>
        <v>0.0226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HYPERLINK("http://141.218.60.56/~jnz1568/getInfo.php?workbook=14_04.xlsx&amp;sheet=U0&amp;row=6426&amp;col=6&amp;number=3.2&amp;sourceID=14","3.2")</f>
        <v>3.2</v>
      </c>
      <c r="G6426" s="4" t="str">
        <f>HYPERLINK("http://141.218.60.56/~jnz1568/getInfo.php?workbook=14_04.xlsx&amp;sheet=U0&amp;row=6426&amp;col=7&amp;number=0.0226&amp;sourceID=14","0.0226")</f>
        <v>0.0226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HYPERLINK("http://141.218.60.56/~jnz1568/getInfo.php?workbook=14_04.xlsx&amp;sheet=U0&amp;row=6427&amp;col=6&amp;number=3.3&amp;sourceID=14","3.3")</f>
        <v>3.3</v>
      </c>
      <c r="G6427" s="4" t="str">
        <f>HYPERLINK("http://141.218.60.56/~jnz1568/getInfo.php?workbook=14_04.xlsx&amp;sheet=U0&amp;row=6427&amp;col=7&amp;number=0.0226&amp;sourceID=14","0.0226")</f>
        <v>0.0226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HYPERLINK("http://141.218.60.56/~jnz1568/getInfo.php?workbook=14_04.xlsx&amp;sheet=U0&amp;row=6428&amp;col=6&amp;number=3.4&amp;sourceID=14","3.4")</f>
        <v>3.4</v>
      </c>
      <c r="G6428" s="4" t="str">
        <f>HYPERLINK("http://141.218.60.56/~jnz1568/getInfo.php?workbook=14_04.xlsx&amp;sheet=U0&amp;row=6428&amp;col=7&amp;number=0.0226&amp;sourceID=14","0.0226")</f>
        <v>0.0226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HYPERLINK("http://141.218.60.56/~jnz1568/getInfo.php?workbook=14_04.xlsx&amp;sheet=U0&amp;row=6429&amp;col=6&amp;number=3.5&amp;sourceID=14","3.5")</f>
        <v>3.5</v>
      </c>
      <c r="G6429" s="4" t="str">
        <f>HYPERLINK("http://141.218.60.56/~jnz1568/getInfo.php?workbook=14_04.xlsx&amp;sheet=U0&amp;row=6429&amp;col=7&amp;number=0.0226&amp;sourceID=14","0.0226")</f>
        <v>0.0226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HYPERLINK("http://141.218.60.56/~jnz1568/getInfo.php?workbook=14_04.xlsx&amp;sheet=U0&amp;row=6430&amp;col=6&amp;number=3.6&amp;sourceID=14","3.6")</f>
        <v>3.6</v>
      </c>
      <c r="G6430" s="4" t="str">
        <f>HYPERLINK("http://141.218.60.56/~jnz1568/getInfo.php?workbook=14_04.xlsx&amp;sheet=U0&amp;row=6430&amp;col=7&amp;number=0.0226&amp;sourceID=14","0.0226")</f>
        <v>0.0226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HYPERLINK("http://141.218.60.56/~jnz1568/getInfo.php?workbook=14_04.xlsx&amp;sheet=U0&amp;row=6431&amp;col=6&amp;number=3.7&amp;sourceID=14","3.7")</f>
        <v>3.7</v>
      </c>
      <c r="G6431" s="4" t="str">
        <f>HYPERLINK("http://141.218.60.56/~jnz1568/getInfo.php?workbook=14_04.xlsx&amp;sheet=U0&amp;row=6431&amp;col=7&amp;number=0.0226&amp;sourceID=14","0.0226")</f>
        <v>0.0226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HYPERLINK("http://141.218.60.56/~jnz1568/getInfo.php?workbook=14_04.xlsx&amp;sheet=U0&amp;row=6432&amp;col=6&amp;number=3.8&amp;sourceID=14","3.8")</f>
        <v>3.8</v>
      </c>
      <c r="G6432" s="4" t="str">
        <f>HYPERLINK("http://141.218.60.56/~jnz1568/getInfo.php?workbook=14_04.xlsx&amp;sheet=U0&amp;row=6432&amp;col=7&amp;number=0.0226&amp;sourceID=14","0.0226")</f>
        <v>0.0226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HYPERLINK("http://141.218.60.56/~jnz1568/getInfo.php?workbook=14_04.xlsx&amp;sheet=U0&amp;row=6433&amp;col=6&amp;number=3.9&amp;sourceID=14","3.9")</f>
        <v>3.9</v>
      </c>
      <c r="G6433" s="4" t="str">
        <f>HYPERLINK("http://141.218.60.56/~jnz1568/getInfo.php?workbook=14_04.xlsx&amp;sheet=U0&amp;row=6433&amp;col=7&amp;number=0.0226&amp;sourceID=14","0.0226")</f>
        <v>0.0226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HYPERLINK("http://141.218.60.56/~jnz1568/getInfo.php?workbook=14_04.xlsx&amp;sheet=U0&amp;row=6434&amp;col=6&amp;number=4&amp;sourceID=14","4")</f>
        <v>4</v>
      </c>
      <c r="G6434" s="4" t="str">
        <f>HYPERLINK("http://141.218.60.56/~jnz1568/getInfo.php?workbook=14_04.xlsx&amp;sheet=U0&amp;row=6434&amp;col=7&amp;number=0.0226&amp;sourceID=14","0.0226")</f>
        <v>0.0226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HYPERLINK("http://141.218.60.56/~jnz1568/getInfo.php?workbook=14_04.xlsx&amp;sheet=U0&amp;row=6435&amp;col=6&amp;number=4.1&amp;sourceID=14","4.1")</f>
        <v>4.1</v>
      </c>
      <c r="G6435" s="4" t="str">
        <f>HYPERLINK("http://141.218.60.56/~jnz1568/getInfo.php?workbook=14_04.xlsx&amp;sheet=U0&amp;row=6435&amp;col=7&amp;number=0.0226&amp;sourceID=14","0.0226")</f>
        <v>0.0226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HYPERLINK("http://141.218.60.56/~jnz1568/getInfo.php?workbook=14_04.xlsx&amp;sheet=U0&amp;row=6436&amp;col=6&amp;number=4.2&amp;sourceID=14","4.2")</f>
        <v>4.2</v>
      </c>
      <c r="G6436" s="4" t="str">
        <f>HYPERLINK("http://141.218.60.56/~jnz1568/getInfo.php?workbook=14_04.xlsx&amp;sheet=U0&amp;row=6436&amp;col=7&amp;number=0.0226&amp;sourceID=14","0.0226")</f>
        <v>0.0226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HYPERLINK("http://141.218.60.56/~jnz1568/getInfo.php?workbook=14_04.xlsx&amp;sheet=U0&amp;row=6437&amp;col=6&amp;number=4.3&amp;sourceID=14","4.3")</f>
        <v>4.3</v>
      </c>
      <c r="G6437" s="4" t="str">
        <f>HYPERLINK("http://141.218.60.56/~jnz1568/getInfo.php?workbook=14_04.xlsx&amp;sheet=U0&amp;row=6437&amp;col=7&amp;number=0.0226&amp;sourceID=14","0.0226")</f>
        <v>0.0226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HYPERLINK("http://141.218.60.56/~jnz1568/getInfo.php?workbook=14_04.xlsx&amp;sheet=U0&amp;row=6438&amp;col=6&amp;number=4.4&amp;sourceID=14","4.4")</f>
        <v>4.4</v>
      </c>
      <c r="G6438" s="4" t="str">
        <f>HYPERLINK("http://141.218.60.56/~jnz1568/getInfo.php?workbook=14_04.xlsx&amp;sheet=U0&amp;row=6438&amp;col=7&amp;number=0.0226&amp;sourceID=14","0.0226")</f>
        <v>0.0226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HYPERLINK("http://141.218.60.56/~jnz1568/getInfo.php?workbook=14_04.xlsx&amp;sheet=U0&amp;row=6439&amp;col=6&amp;number=4.5&amp;sourceID=14","4.5")</f>
        <v>4.5</v>
      </c>
      <c r="G6439" s="4" t="str">
        <f>HYPERLINK("http://141.218.60.56/~jnz1568/getInfo.php?workbook=14_04.xlsx&amp;sheet=U0&amp;row=6439&amp;col=7&amp;number=0.0227&amp;sourceID=14","0.0227")</f>
        <v>0.0227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HYPERLINK("http://141.218.60.56/~jnz1568/getInfo.php?workbook=14_04.xlsx&amp;sheet=U0&amp;row=6440&amp;col=6&amp;number=4.6&amp;sourceID=14","4.6")</f>
        <v>4.6</v>
      </c>
      <c r="G6440" s="4" t="str">
        <f>HYPERLINK("http://141.218.60.56/~jnz1568/getInfo.php?workbook=14_04.xlsx&amp;sheet=U0&amp;row=6440&amp;col=7&amp;number=0.0227&amp;sourceID=14","0.0227")</f>
        <v>0.0227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HYPERLINK("http://141.218.60.56/~jnz1568/getInfo.php?workbook=14_04.xlsx&amp;sheet=U0&amp;row=6441&amp;col=6&amp;number=4.7&amp;sourceID=14","4.7")</f>
        <v>4.7</v>
      </c>
      <c r="G6441" s="4" t="str">
        <f>HYPERLINK("http://141.218.60.56/~jnz1568/getInfo.php?workbook=14_04.xlsx&amp;sheet=U0&amp;row=6441&amp;col=7&amp;number=0.0227&amp;sourceID=14","0.0227")</f>
        <v>0.0227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HYPERLINK("http://141.218.60.56/~jnz1568/getInfo.php?workbook=14_04.xlsx&amp;sheet=U0&amp;row=6442&amp;col=6&amp;number=4.8&amp;sourceID=14","4.8")</f>
        <v>4.8</v>
      </c>
      <c r="G6442" s="4" t="str">
        <f>HYPERLINK("http://141.218.60.56/~jnz1568/getInfo.php?workbook=14_04.xlsx&amp;sheet=U0&amp;row=6442&amp;col=7&amp;number=0.0228&amp;sourceID=14","0.0228")</f>
        <v>0.0228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HYPERLINK("http://141.218.60.56/~jnz1568/getInfo.php?workbook=14_04.xlsx&amp;sheet=U0&amp;row=6443&amp;col=6&amp;number=4.9&amp;sourceID=14","4.9")</f>
        <v>4.9</v>
      </c>
      <c r="G6443" s="4" t="str">
        <f>HYPERLINK("http://141.218.60.56/~jnz1568/getInfo.php?workbook=14_04.xlsx&amp;sheet=U0&amp;row=6443&amp;col=7&amp;number=0.0228&amp;sourceID=14","0.0228")</f>
        <v>0.0228</v>
      </c>
    </row>
    <row r="6444" spans="1:7">
      <c r="A6444" s="3">
        <v>14</v>
      </c>
      <c r="B6444" s="3">
        <v>4</v>
      </c>
      <c r="C6444" s="3">
        <v>4</v>
      </c>
      <c r="D6444" s="3">
        <v>42</v>
      </c>
      <c r="E6444" s="3">
        <v>1</v>
      </c>
      <c r="F6444" s="4" t="str">
        <f>HYPERLINK("http://141.218.60.56/~jnz1568/getInfo.php?workbook=14_04.xlsx&amp;sheet=U0&amp;row=6444&amp;col=6&amp;number=3&amp;sourceID=14","3")</f>
        <v>3</v>
      </c>
      <c r="G6444" s="4" t="str">
        <f>HYPERLINK("http://141.218.60.56/~jnz1568/getInfo.php?workbook=14_04.xlsx&amp;sheet=U0&amp;row=6444&amp;col=7&amp;number=0.0175&amp;sourceID=14","0.0175")</f>
        <v>0.0175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HYPERLINK("http://141.218.60.56/~jnz1568/getInfo.php?workbook=14_04.xlsx&amp;sheet=U0&amp;row=6445&amp;col=6&amp;number=3.1&amp;sourceID=14","3.1")</f>
        <v>3.1</v>
      </c>
      <c r="G6445" s="4" t="str">
        <f>HYPERLINK("http://141.218.60.56/~jnz1568/getInfo.php?workbook=14_04.xlsx&amp;sheet=U0&amp;row=6445&amp;col=7&amp;number=0.0175&amp;sourceID=14","0.0175")</f>
        <v>0.0175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HYPERLINK("http://141.218.60.56/~jnz1568/getInfo.php?workbook=14_04.xlsx&amp;sheet=U0&amp;row=6446&amp;col=6&amp;number=3.2&amp;sourceID=14","3.2")</f>
        <v>3.2</v>
      </c>
      <c r="G6446" s="4" t="str">
        <f>HYPERLINK("http://141.218.60.56/~jnz1568/getInfo.php?workbook=14_04.xlsx&amp;sheet=U0&amp;row=6446&amp;col=7&amp;number=0.0175&amp;sourceID=14","0.0175")</f>
        <v>0.0175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HYPERLINK("http://141.218.60.56/~jnz1568/getInfo.php?workbook=14_04.xlsx&amp;sheet=U0&amp;row=6447&amp;col=6&amp;number=3.3&amp;sourceID=14","3.3")</f>
        <v>3.3</v>
      </c>
      <c r="G6447" s="4" t="str">
        <f>HYPERLINK("http://141.218.60.56/~jnz1568/getInfo.php?workbook=14_04.xlsx&amp;sheet=U0&amp;row=6447&amp;col=7&amp;number=0.0175&amp;sourceID=14","0.0175")</f>
        <v>0.0175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HYPERLINK("http://141.218.60.56/~jnz1568/getInfo.php?workbook=14_04.xlsx&amp;sheet=U0&amp;row=6448&amp;col=6&amp;number=3.4&amp;sourceID=14","3.4")</f>
        <v>3.4</v>
      </c>
      <c r="G6448" s="4" t="str">
        <f>HYPERLINK("http://141.218.60.56/~jnz1568/getInfo.php?workbook=14_04.xlsx&amp;sheet=U0&amp;row=6448&amp;col=7&amp;number=0.0175&amp;sourceID=14","0.0175")</f>
        <v>0.0175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HYPERLINK("http://141.218.60.56/~jnz1568/getInfo.php?workbook=14_04.xlsx&amp;sheet=U0&amp;row=6449&amp;col=6&amp;number=3.5&amp;sourceID=14","3.5")</f>
        <v>3.5</v>
      </c>
      <c r="G6449" s="4" t="str">
        <f>HYPERLINK("http://141.218.60.56/~jnz1568/getInfo.php?workbook=14_04.xlsx&amp;sheet=U0&amp;row=6449&amp;col=7&amp;number=0.0175&amp;sourceID=14","0.0175")</f>
        <v>0.0175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HYPERLINK("http://141.218.60.56/~jnz1568/getInfo.php?workbook=14_04.xlsx&amp;sheet=U0&amp;row=6450&amp;col=6&amp;number=3.6&amp;sourceID=14","3.6")</f>
        <v>3.6</v>
      </c>
      <c r="G6450" s="4" t="str">
        <f>HYPERLINK("http://141.218.60.56/~jnz1568/getInfo.php?workbook=14_04.xlsx&amp;sheet=U0&amp;row=6450&amp;col=7&amp;number=0.0175&amp;sourceID=14","0.0175")</f>
        <v>0.0175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HYPERLINK("http://141.218.60.56/~jnz1568/getInfo.php?workbook=14_04.xlsx&amp;sheet=U0&amp;row=6451&amp;col=6&amp;number=3.7&amp;sourceID=14","3.7")</f>
        <v>3.7</v>
      </c>
      <c r="G6451" s="4" t="str">
        <f>HYPERLINK("http://141.218.60.56/~jnz1568/getInfo.php?workbook=14_04.xlsx&amp;sheet=U0&amp;row=6451&amp;col=7&amp;number=0.0175&amp;sourceID=14","0.0175")</f>
        <v>0.0175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HYPERLINK("http://141.218.60.56/~jnz1568/getInfo.php?workbook=14_04.xlsx&amp;sheet=U0&amp;row=6452&amp;col=6&amp;number=3.8&amp;sourceID=14","3.8")</f>
        <v>3.8</v>
      </c>
      <c r="G6452" s="4" t="str">
        <f>HYPERLINK("http://141.218.60.56/~jnz1568/getInfo.php?workbook=14_04.xlsx&amp;sheet=U0&amp;row=6452&amp;col=7&amp;number=0.0175&amp;sourceID=14","0.0175")</f>
        <v>0.0175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HYPERLINK("http://141.218.60.56/~jnz1568/getInfo.php?workbook=14_04.xlsx&amp;sheet=U0&amp;row=6453&amp;col=6&amp;number=3.9&amp;sourceID=14","3.9")</f>
        <v>3.9</v>
      </c>
      <c r="G6453" s="4" t="str">
        <f>HYPERLINK("http://141.218.60.56/~jnz1568/getInfo.php?workbook=14_04.xlsx&amp;sheet=U0&amp;row=6453&amp;col=7&amp;number=0.0175&amp;sourceID=14","0.0175")</f>
        <v>0.0175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HYPERLINK("http://141.218.60.56/~jnz1568/getInfo.php?workbook=14_04.xlsx&amp;sheet=U0&amp;row=6454&amp;col=6&amp;number=4&amp;sourceID=14","4")</f>
        <v>4</v>
      </c>
      <c r="G6454" s="4" t="str">
        <f>HYPERLINK("http://141.218.60.56/~jnz1568/getInfo.php?workbook=14_04.xlsx&amp;sheet=U0&amp;row=6454&amp;col=7&amp;number=0.0175&amp;sourceID=14","0.0175")</f>
        <v>0.0175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HYPERLINK("http://141.218.60.56/~jnz1568/getInfo.php?workbook=14_04.xlsx&amp;sheet=U0&amp;row=6455&amp;col=6&amp;number=4.1&amp;sourceID=14","4.1")</f>
        <v>4.1</v>
      </c>
      <c r="G6455" s="4" t="str">
        <f>HYPERLINK("http://141.218.60.56/~jnz1568/getInfo.php?workbook=14_04.xlsx&amp;sheet=U0&amp;row=6455&amp;col=7&amp;number=0.0176&amp;sourceID=14","0.0176")</f>
        <v>0.0176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HYPERLINK("http://141.218.60.56/~jnz1568/getInfo.php?workbook=14_04.xlsx&amp;sheet=U0&amp;row=6456&amp;col=6&amp;number=4.2&amp;sourceID=14","4.2")</f>
        <v>4.2</v>
      </c>
      <c r="G6456" s="4" t="str">
        <f>HYPERLINK("http://141.218.60.56/~jnz1568/getInfo.php?workbook=14_04.xlsx&amp;sheet=U0&amp;row=6456&amp;col=7&amp;number=0.0176&amp;sourceID=14","0.0176")</f>
        <v>0.0176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HYPERLINK("http://141.218.60.56/~jnz1568/getInfo.php?workbook=14_04.xlsx&amp;sheet=U0&amp;row=6457&amp;col=6&amp;number=4.3&amp;sourceID=14","4.3")</f>
        <v>4.3</v>
      </c>
      <c r="G6457" s="4" t="str">
        <f>HYPERLINK("http://141.218.60.56/~jnz1568/getInfo.php?workbook=14_04.xlsx&amp;sheet=U0&amp;row=6457&amp;col=7&amp;number=0.0176&amp;sourceID=14","0.0176")</f>
        <v>0.0176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HYPERLINK("http://141.218.60.56/~jnz1568/getInfo.php?workbook=14_04.xlsx&amp;sheet=U0&amp;row=6458&amp;col=6&amp;number=4.4&amp;sourceID=14","4.4")</f>
        <v>4.4</v>
      </c>
      <c r="G6458" s="4" t="str">
        <f>HYPERLINK("http://141.218.60.56/~jnz1568/getInfo.php?workbook=14_04.xlsx&amp;sheet=U0&amp;row=6458&amp;col=7&amp;number=0.0176&amp;sourceID=14","0.0176")</f>
        <v>0.0176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HYPERLINK("http://141.218.60.56/~jnz1568/getInfo.php?workbook=14_04.xlsx&amp;sheet=U0&amp;row=6459&amp;col=6&amp;number=4.5&amp;sourceID=14","4.5")</f>
        <v>4.5</v>
      </c>
      <c r="G6459" s="4" t="str">
        <f>HYPERLINK("http://141.218.60.56/~jnz1568/getInfo.php?workbook=14_04.xlsx&amp;sheet=U0&amp;row=6459&amp;col=7&amp;number=0.0176&amp;sourceID=14","0.0176")</f>
        <v>0.0176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HYPERLINK("http://141.218.60.56/~jnz1568/getInfo.php?workbook=14_04.xlsx&amp;sheet=U0&amp;row=6460&amp;col=6&amp;number=4.6&amp;sourceID=14","4.6")</f>
        <v>4.6</v>
      </c>
      <c r="G6460" s="4" t="str">
        <f>HYPERLINK("http://141.218.60.56/~jnz1568/getInfo.php?workbook=14_04.xlsx&amp;sheet=U0&amp;row=6460&amp;col=7&amp;number=0.0176&amp;sourceID=14","0.0176")</f>
        <v>0.0176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HYPERLINK("http://141.218.60.56/~jnz1568/getInfo.php?workbook=14_04.xlsx&amp;sheet=U0&amp;row=6461&amp;col=6&amp;number=4.7&amp;sourceID=14","4.7")</f>
        <v>4.7</v>
      </c>
      <c r="G6461" s="4" t="str">
        <f>HYPERLINK("http://141.218.60.56/~jnz1568/getInfo.php?workbook=14_04.xlsx&amp;sheet=U0&amp;row=6461&amp;col=7&amp;number=0.0176&amp;sourceID=14","0.0176")</f>
        <v>0.0176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HYPERLINK("http://141.218.60.56/~jnz1568/getInfo.php?workbook=14_04.xlsx&amp;sheet=U0&amp;row=6462&amp;col=6&amp;number=4.8&amp;sourceID=14","4.8")</f>
        <v>4.8</v>
      </c>
      <c r="G6462" s="4" t="str">
        <f>HYPERLINK("http://141.218.60.56/~jnz1568/getInfo.php?workbook=14_04.xlsx&amp;sheet=U0&amp;row=6462&amp;col=7&amp;number=0.0177&amp;sourceID=14","0.0177")</f>
        <v>0.0177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HYPERLINK("http://141.218.60.56/~jnz1568/getInfo.php?workbook=14_04.xlsx&amp;sheet=U0&amp;row=6463&amp;col=6&amp;number=4.9&amp;sourceID=14","4.9")</f>
        <v>4.9</v>
      </c>
      <c r="G6463" s="4" t="str">
        <f>HYPERLINK("http://141.218.60.56/~jnz1568/getInfo.php?workbook=14_04.xlsx&amp;sheet=U0&amp;row=6463&amp;col=7&amp;number=0.0177&amp;sourceID=14","0.0177")</f>
        <v>0.0177</v>
      </c>
    </row>
    <row r="6464" spans="1:7">
      <c r="A6464" s="3">
        <v>14</v>
      </c>
      <c r="B6464" s="3">
        <v>4</v>
      </c>
      <c r="C6464" s="3">
        <v>4</v>
      </c>
      <c r="D6464" s="3">
        <v>43</v>
      </c>
      <c r="E6464" s="3">
        <v>1</v>
      </c>
      <c r="F6464" s="4" t="str">
        <f>HYPERLINK("http://141.218.60.56/~jnz1568/getInfo.php?workbook=14_04.xlsx&amp;sheet=U0&amp;row=6464&amp;col=6&amp;number=3&amp;sourceID=14","3")</f>
        <v>3</v>
      </c>
      <c r="G6464" s="4" t="str">
        <f>HYPERLINK("http://141.218.60.56/~jnz1568/getInfo.php?workbook=14_04.xlsx&amp;sheet=U0&amp;row=6464&amp;col=7&amp;number=0.0064&amp;sourceID=14","0.0064")</f>
        <v>0.0064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HYPERLINK("http://141.218.60.56/~jnz1568/getInfo.php?workbook=14_04.xlsx&amp;sheet=U0&amp;row=6465&amp;col=6&amp;number=3.1&amp;sourceID=14","3.1")</f>
        <v>3.1</v>
      </c>
      <c r="G6465" s="4" t="str">
        <f>HYPERLINK("http://141.218.60.56/~jnz1568/getInfo.php?workbook=14_04.xlsx&amp;sheet=U0&amp;row=6465&amp;col=7&amp;number=0.0064&amp;sourceID=14","0.0064")</f>
        <v>0.0064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HYPERLINK("http://141.218.60.56/~jnz1568/getInfo.php?workbook=14_04.xlsx&amp;sheet=U0&amp;row=6466&amp;col=6&amp;number=3.2&amp;sourceID=14","3.2")</f>
        <v>3.2</v>
      </c>
      <c r="G6466" s="4" t="str">
        <f>HYPERLINK("http://141.218.60.56/~jnz1568/getInfo.php?workbook=14_04.xlsx&amp;sheet=U0&amp;row=6466&amp;col=7&amp;number=0.0064&amp;sourceID=14","0.0064")</f>
        <v>0.0064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HYPERLINK("http://141.218.60.56/~jnz1568/getInfo.php?workbook=14_04.xlsx&amp;sheet=U0&amp;row=6467&amp;col=6&amp;number=3.3&amp;sourceID=14","3.3")</f>
        <v>3.3</v>
      </c>
      <c r="G6467" s="4" t="str">
        <f>HYPERLINK("http://141.218.60.56/~jnz1568/getInfo.php?workbook=14_04.xlsx&amp;sheet=U0&amp;row=6467&amp;col=7&amp;number=0.0064&amp;sourceID=14","0.0064")</f>
        <v>0.0064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HYPERLINK("http://141.218.60.56/~jnz1568/getInfo.php?workbook=14_04.xlsx&amp;sheet=U0&amp;row=6468&amp;col=6&amp;number=3.4&amp;sourceID=14","3.4")</f>
        <v>3.4</v>
      </c>
      <c r="G6468" s="4" t="str">
        <f>HYPERLINK("http://141.218.60.56/~jnz1568/getInfo.php?workbook=14_04.xlsx&amp;sheet=U0&amp;row=6468&amp;col=7&amp;number=0.00641&amp;sourceID=14","0.00641")</f>
        <v>0.00641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HYPERLINK("http://141.218.60.56/~jnz1568/getInfo.php?workbook=14_04.xlsx&amp;sheet=U0&amp;row=6469&amp;col=6&amp;number=3.5&amp;sourceID=14","3.5")</f>
        <v>3.5</v>
      </c>
      <c r="G6469" s="4" t="str">
        <f>HYPERLINK("http://141.218.60.56/~jnz1568/getInfo.php?workbook=14_04.xlsx&amp;sheet=U0&amp;row=6469&amp;col=7&amp;number=0.00641&amp;sourceID=14","0.00641")</f>
        <v>0.00641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HYPERLINK("http://141.218.60.56/~jnz1568/getInfo.php?workbook=14_04.xlsx&amp;sheet=U0&amp;row=6470&amp;col=6&amp;number=3.6&amp;sourceID=14","3.6")</f>
        <v>3.6</v>
      </c>
      <c r="G6470" s="4" t="str">
        <f>HYPERLINK("http://141.218.60.56/~jnz1568/getInfo.php?workbook=14_04.xlsx&amp;sheet=U0&amp;row=6470&amp;col=7&amp;number=0.00641&amp;sourceID=14","0.00641")</f>
        <v>0.00641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HYPERLINK("http://141.218.60.56/~jnz1568/getInfo.php?workbook=14_04.xlsx&amp;sheet=U0&amp;row=6471&amp;col=6&amp;number=3.7&amp;sourceID=14","3.7")</f>
        <v>3.7</v>
      </c>
      <c r="G6471" s="4" t="str">
        <f>HYPERLINK("http://141.218.60.56/~jnz1568/getInfo.php?workbook=14_04.xlsx&amp;sheet=U0&amp;row=6471&amp;col=7&amp;number=0.00641&amp;sourceID=14","0.00641")</f>
        <v>0.00641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HYPERLINK("http://141.218.60.56/~jnz1568/getInfo.php?workbook=14_04.xlsx&amp;sheet=U0&amp;row=6472&amp;col=6&amp;number=3.8&amp;sourceID=14","3.8")</f>
        <v>3.8</v>
      </c>
      <c r="G6472" s="4" t="str">
        <f>HYPERLINK("http://141.218.60.56/~jnz1568/getInfo.php?workbook=14_04.xlsx&amp;sheet=U0&amp;row=6472&amp;col=7&amp;number=0.00641&amp;sourceID=14","0.00641")</f>
        <v>0.00641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HYPERLINK("http://141.218.60.56/~jnz1568/getInfo.php?workbook=14_04.xlsx&amp;sheet=U0&amp;row=6473&amp;col=6&amp;number=3.9&amp;sourceID=14","3.9")</f>
        <v>3.9</v>
      </c>
      <c r="G6473" s="4" t="str">
        <f>HYPERLINK("http://141.218.60.56/~jnz1568/getInfo.php?workbook=14_04.xlsx&amp;sheet=U0&amp;row=6473&amp;col=7&amp;number=0.00641&amp;sourceID=14","0.00641")</f>
        <v>0.00641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HYPERLINK("http://141.218.60.56/~jnz1568/getInfo.php?workbook=14_04.xlsx&amp;sheet=U0&amp;row=6474&amp;col=6&amp;number=4&amp;sourceID=14","4")</f>
        <v>4</v>
      </c>
      <c r="G6474" s="4" t="str">
        <f>HYPERLINK("http://141.218.60.56/~jnz1568/getInfo.php?workbook=14_04.xlsx&amp;sheet=U0&amp;row=6474&amp;col=7&amp;number=0.00641&amp;sourceID=14","0.00641")</f>
        <v>0.00641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HYPERLINK("http://141.218.60.56/~jnz1568/getInfo.php?workbook=14_04.xlsx&amp;sheet=U0&amp;row=6475&amp;col=6&amp;number=4.1&amp;sourceID=14","4.1")</f>
        <v>4.1</v>
      </c>
      <c r="G6475" s="4" t="str">
        <f>HYPERLINK("http://141.218.60.56/~jnz1568/getInfo.php?workbook=14_04.xlsx&amp;sheet=U0&amp;row=6475&amp;col=7&amp;number=0.00641&amp;sourceID=14","0.00641")</f>
        <v>0.00641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HYPERLINK("http://141.218.60.56/~jnz1568/getInfo.php?workbook=14_04.xlsx&amp;sheet=U0&amp;row=6476&amp;col=6&amp;number=4.2&amp;sourceID=14","4.2")</f>
        <v>4.2</v>
      </c>
      <c r="G6476" s="4" t="str">
        <f>HYPERLINK("http://141.218.60.56/~jnz1568/getInfo.php?workbook=14_04.xlsx&amp;sheet=U0&amp;row=6476&amp;col=7&amp;number=0.00642&amp;sourceID=14","0.00642")</f>
        <v>0.00642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HYPERLINK("http://141.218.60.56/~jnz1568/getInfo.php?workbook=14_04.xlsx&amp;sheet=U0&amp;row=6477&amp;col=6&amp;number=4.3&amp;sourceID=14","4.3")</f>
        <v>4.3</v>
      </c>
      <c r="G6477" s="4" t="str">
        <f>HYPERLINK("http://141.218.60.56/~jnz1568/getInfo.php?workbook=14_04.xlsx&amp;sheet=U0&amp;row=6477&amp;col=7&amp;number=0.00642&amp;sourceID=14","0.00642")</f>
        <v>0.00642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HYPERLINK("http://141.218.60.56/~jnz1568/getInfo.php?workbook=14_04.xlsx&amp;sheet=U0&amp;row=6478&amp;col=6&amp;number=4.4&amp;sourceID=14","4.4")</f>
        <v>4.4</v>
      </c>
      <c r="G6478" s="4" t="str">
        <f>HYPERLINK("http://141.218.60.56/~jnz1568/getInfo.php?workbook=14_04.xlsx&amp;sheet=U0&amp;row=6478&amp;col=7&amp;number=0.00643&amp;sourceID=14","0.00643")</f>
        <v>0.00643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HYPERLINK("http://141.218.60.56/~jnz1568/getInfo.php?workbook=14_04.xlsx&amp;sheet=U0&amp;row=6479&amp;col=6&amp;number=4.5&amp;sourceID=14","4.5")</f>
        <v>4.5</v>
      </c>
      <c r="G6479" s="4" t="str">
        <f>HYPERLINK("http://141.218.60.56/~jnz1568/getInfo.php?workbook=14_04.xlsx&amp;sheet=U0&amp;row=6479&amp;col=7&amp;number=0.00643&amp;sourceID=14","0.00643")</f>
        <v>0.00643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HYPERLINK("http://141.218.60.56/~jnz1568/getInfo.php?workbook=14_04.xlsx&amp;sheet=U0&amp;row=6480&amp;col=6&amp;number=4.6&amp;sourceID=14","4.6")</f>
        <v>4.6</v>
      </c>
      <c r="G6480" s="4" t="str">
        <f>HYPERLINK("http://141.218.60.56/~jnz1568/getInfo.php?workbook=14_04.xlsx&amp;sheet=U0&amp;row=6480&amp;col=7&amp;number=0.00644&amp;sourceID=14","0.00644")</f>
        <v>0.00644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HYPERLINK("http://141.218.60.56/~jnz1568/getInfo.php?workbook=14_04.xlsx&amp;sheet=U0&amp;row=6481&amp;col=6&amp;number=4.7&amp;sourceID=14","4.7")</f>
        <v>4.7</v>
      </c>
      <c r="G6481" s="4" t="str">
        <f>HYPERLINK("http://141.218.60.56/~jnz1568/getInfo.php?workbook=14_04.xlsx&amp;sheet=U0&amp;row=6481&amp;col=7&amp;number=0.00645&amp;sourceID=14","0.00645")</f>
        <v>0.00645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HYPERLINK("http://141.218.60.56/~jnz1568/getInfo.php?workbook=14_04.xlsx&amp;sheet=U0&amp;row=6482&amp;col=6&amp;number=4.8&amp;sourceID=14","4.8")</f>
        <v>4.8</v>
      </c>
      <c r="G6482" s="4" t="str">
        <f>HYPERLINK("http://141.218.60.56/~jnz1568/getInfo.php?workbook=14_04.xlsx&amp;sheet=U0&amp;row=6482&amp;col=7&amp;number=0.00646&amp;sourceID=14","0.00646")</f>
        <v>0.00646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HYPERLINK("http://141.218.60.56/~jnz1568/getInfo.php?workbook=14_04.xlsx&amp;sheet=U0&amp;row=6483&amp;col=6&amp;number=4.9&amp;sourceID=14","4.9")</f>
        <v>4.9</v>
      </c>
      <c r="G6483" s="4" t="str">
        <f>HYPERLINK("http://141.218.60.56/~jnz1568/getInfo.php?workbook=14_04.xlsx&amp;sheet=U0&amp;row=6483&amp;col=7&amp;number=0.00648&amp;sourceID=14","0.00648")</f>
        <v>0.00648</v>
      </c>
    </row>
    <row r="6484" spans="1:7">
      <c r="A6484" s="3">
        <v>14</v>
      </c>
      <c r="B6484" s="3">
        <v>4</v>
      </c>
      <c r="C6484" s="3">
        <v>4</v>
      </c>
      <c r="D6484" s="3">
        <v>44</v>
      </c>
      <c r="E6484" s="3">
        <v>1</v>
      </c>
      <c r="F6484" s="4" t="str">
        <f>HYPERLINK("http://141.218.60.56/~jnz1568/getInfo.php?workbook=14_04.xlsx&amp;sheet=U0&amp;row=6484&amp;col=6&amp;number=3&amp;sourceID=14","3")</f>
        <v>3</v>
      </c>
      <c r="G6484" s="4" t="str">
        <f>HYPERLINK("http://141.218.60.56/~jnz1568/getInfo.php?workbook=14_04.xlsx&amp;sheet=U0&amp;row=6484&amp;col=7&amp;number=0.00077&amp;sourceID=14","0.00077")</f>
        <v>0.00077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HYPERLINK("http://141.218.60.56/~jnz1568/getInfo.php?workbook=14_04.xlsx&amp;sheet=U0&amp;row=6485&amp;col=6&amp;number=3.1&amp;sourceID=14","3.1")</f>
        <v>3.1</v>
      </c>
      <c r="G6485" s="4" t="str">
        <f>HYPERLINK("http://141.218.60.56/~jnz1568/getInfo.php?workbook=14_04.xlsx&amp;sheet=U0&amp;row=6485&amp;col=7&amp;number=0.00077&amp;sourceID=14","0.00077")</f>
        <v>0.00077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HYPERLINK("http://141.218.60.56/~jnz1568/getInfo.php?workbook=14_04.xlsx&amp;sheet=U0&amp;row=6486&amp;col=6&amp;number=3.2&amp;sourceID=14","3.2")</f>
        <v>3.2</v>
      </c>
      <c r="G6486" s="4" t="str">
        <f>HYPERLINK("http://141.218.60.56/~jnz1568/getInfo.php?workbook=14_04.xlsx&amp;sheet=U0&amp;row=6486&amp;col=7&amp;number=0.000769&amp;sourceID=14","0.000769")</f>
        <v>0.000769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HYPERLINK("http://141.218.60.56/~jnz1568/getInfo.php?workbook=14_04.xlsx&amp;sheet=U0&amp;row=6487&amp;col=6&amp;number=3.3&amp;sourceID=14","3.3")</f>
        <v>3.3</v>
      </c>
      <c r="G6487" s="4" t="str">
        <f>HYPERLINK("http://141.218.60.56/~jnz1568/getInfo.php?workbook=14_04.xlsx&amp;sheet=U0&amp;row=6487&amp;col=7&amp;number=0.000769&amp;sourceID=14","0.000769")</f>
        <v>0.000769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HYPERLINK("http://141.218.60.56/~jnz1568/getInfo.php?workbook=14_04.xlsx&amp;sheet=U0&amp;row=6488&amp;col=6&amp;number=3.4&amp;sourceID=14","3.4")</f>
        <v>3.4</v>
      </c>
      <c r="G6488" s="4" t="str">
        <f>HYPERLINK("http://141.218.60.56/~jnz1568/getInfo.php?workbook=14_04.xlsx&amp;sheet=U0&amp;row=6488&amp;col=7&amp;number=0.000769&amp;sourceID=14","0.000769")</f>
        <v>0.000769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HYPERLINK("http://141.218.60.56/~jnz1568/getInfo.php?workbook=14_04.xlsx&amp;sheet=U0&amp;row=6489&amp;col=6&amp;number=3.5&amp;sourceID=14","3.5")</f>
        <v>3.5</v>
      </c>
      <c r="G6489" s="4" t="str">
        <f>HYPERLINK("http://141.218.60.56/~jnz1568/getInfo.php?workbook=14_04.xlsx&amp;sheet=U0&amp;row=6489&amp;col=7&amp;number=0.000769&amp;sourceID=14","0.000769")</f>
        <v>0.000769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HYPERLINK("http://141.218.60.56/~jnz1568/getInfo.php?workbook=14_04.xlsx&amp;sheet=U0&amp;row=6490&amp;col=6&amp;number=3.6&amp;sourceID=14","3.6")</f>
        <v>3.6</v>
      </c>
      <c r="G6490" s="4" t="str">
        <f>HYPERLINK("http://141.218.60.56/~jnz1568/getInfo.php?workbook=14_04.xlsx&amp;sheet=U0&amp;row=6490&amp;col=7&amp;number=0.000769&amp;sourceID=14","0.000769")</f>
        <v>0.000769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HYPERLINK("http://141.218.60.56/~jnz1568/getInfo.php?workbook=14_04.xlsx&amp;sheet=U0&amp;row=6491&amp;col=6&amp;number=3.7&amp;sourceID=14","3.7")</f>
        <v>3.7</v>
      </c>
      <c r="G6491" s="4" t="str">
        <f>HYPERLINK("http://141.218.60.56/~jnz1568/getInfo.php?workbook=14_04.xlsx&amp;sheet=U0&amp;row=6491&amp;col=7&amp;number=0.000769&amp;sourceID=14","0.000769")</f>
        <v>0.000769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HYPERLINK("http://141.218.60.56/~jnz1568/getInfo.php?workbook=14_04.xlsx&amp;sheet=U0&amp;row=6492&amp;col=6&amp;number=3.8&amp;sourceID=14","3.8")</f>
        <v>3.8</v>
      </c>
      <c r="G6492" s="4" t="str">
        <f>HYPERLINK("http://141.218.60.56/~jnz1568/getInfo.php?workbook=14_04.xlsx&amp;sheet=U0&amp;row=6492&amp;col=7&amp;number=0.000769&amp;sourceID=14","0.000769")</f>
        <v>0.000769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HYPERLINK("http://141.218.60.56/~jnz1568/getInfo.php?workbook=14_04.xlsx&amp;sheet=U0&amp;row=6493&amp;col=6&amp;number=3.9&amp;sourceID=14","3.9")</f>
        <v>3.9</v>
      </c>
      <c r="G6493" s="4" t="str">
        <f>HYPERLINK("http://141.218.60.56/~jnz1568/getInfo.php?workbook=14_04.xlsx&amp;sheet=U0&amp;row=6493&amp;col=7&amp;number=0.000769&amp;sourceID=14","0.000769")</f>
        <v>0.000769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HYPERLINK("http://141.218.60.56/~jnz1568/getInfo.php?workbook=14_04.xlsx&amp;sheet=U0&amp;row=6494&amp;col=6&amp;number=4&amp;sourceID=14","4")</f>
        <v>4</v>
      </c>
      <c r="G6494" s="4" t="str">
        <f>HYPERLINK("http://141.218.60.56/~jnz1568/getInfo.php?workbook=14_04.xlsx&amp;sheet=U0&amp;row=6494&amp;col=7&amp;number=0.000768&amp;sourceID=14","0.000768")</f>
        <v>0.000768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HYPERLINK("http://141.218.60.56/~jnz1568/getInfo.php?workbook=14_04.xlsx&amp;sheet=U0&amp;row=6495&amp;col=6&amp;number=4.1&amp;sourceID=14","4.1")</f>
        <v>4.1</v>
      </c>
      <c r="G6495" s="4" t="str">
        <f>HYPERLINK("http://141.218.60.56/~jnz1568/getInfo.php?workbook=14_04.xlsx&amp;sheet=U0&amp;row=6495&amp;col=7&amp;number=0.000768&amp;sourceID=14","0.000768")</f>
        <v>0.000768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HYPERLINK("http://141.218.60.56/~jnz1568/getInfo.php?workbook=14_04.xlsx&amp;sheet=U0&amp;row=6496&amp;col=6&amp;number=4.2&amp;sourceID=14","4.2")</f>
        <v>4.2</v>
      </c>
      <c r="G6496" s="4" t="str">
        <f>HYPERLINK("http://141.218.60.56/~jnz1568/getInfo.php?workbook=14_04.xlsx&amp;sheet=U0&amp;row=6496&amp;col=7&amp;number=0.000768&amp;sourceID=14","0.000768")</f>
        <v>0.000768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HYPERLINK("http://141.218.60.56/~jnz1568/getInfo.php?workbook=14_04.xlsx&amp;sheet=U0&amp;row=6497&amp;col=6&amp;number=4.3&amp;sourceID=14","4.3")</f>
        <v>4.3</v>
      </c>
      <c r="G6497" s="4" t="str">
        <f>HYPERLINK("http://141.218.60.56/~jnz1568/getInfo.php?workbook=14_04.xlsx&amp;sheet=U0&amp;row=6497&amp;col=7&amp;number=0.000767&amp;sourceID=14","0.000767")</f>
        <v>0.000767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HYPERLINK("http://141.218.60.56/~jnz1568/getInfo.php?workbook=14_04.xlsx&amp;sheet=U0&amp;row=6498&amp;col=6&amp;number=4.4&amp;sourceID=14","4.4")</f>
        <v>4.4</v>
      </c>
      <c r="G6498" s="4" t="str">
        <f>HYPERLINK("http://141.218.60.56/~jnz1568/getInfo.php?workbook=14_04.xlsx&amp;sheet=U0&amp;row=6498&amp;col=7&amp;number=0.000766&amp;sourceID=14","0.000766")</f>
        <v>0.000766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HYPERLINK("http://141.218.60.56/~jnz1568/getInfo.php?workbook=14_04.xlsx&amp;sheet=U0&amp;row=6499&amp;col=6&amp;number=4.5&amp;sourceID=14","4.5")</f>
        <v>4.5</v>
      </c>
      <c r="G6499" s="4" t="str">
        <f>HYPERLINK("http://141.218.60.56/~jnz1568/getInfo.php?workbook=14_04.xlsx&amp;sheet=U0&amp;row=6499&amp;col=7&amp;number=0.000766&amp;sourceID=14","0.000766")</f>
        <v>0.000766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HYPERLINK("http://141.218.60.56/~jnz1568/getInfo.php?workbook=14_04.xlsx&amp;sheet=U0&amp;row=6500&amp;col=6&amp;number=4.6&amp;sourceID=14","4.6")</f>
        <v>4.6</v>
      </c>
      <c r="G6500" s="4" t="str">
        <f>HYPERLINK("http://141.218.60.56/~jnz1568/getInfo.php?workbook=14_04.xlsx&amp;sheet=U0&amp;row=6500&amp;col=7&amp;number=0.000765&amp;sourceID=14","0.000765")</f>
        <v>0.000765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HYPERLINK("http://141.218.60.56/~jnz1568/getInfo.php?workbook=14_04.xlsx&amp;sheet=U0&amp;row=6501&amp;col=6&amp;number=4.7&amp;sourceID=14","4.7")</f>
        <v>4.7</v>
      </c>
      <c r="G6501" s="4" t="str">
        <f>HYPERLINK("http://141.218.60.56/~jnz1568/getInfo.php?workbook=14_04.xlsx&amp;sheet=U0&amp;row=6501&amp;col=7&amp;number=0.000763&amp;sourceID=14","0.000763")</f>
        <v>0.000763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HYPERLINK("http://141.218.60.56/~jnz1568/getInfo.php?workbook=14_04.xlsx&amp;sheet=U0&amp;row=6502&amp;col=6&amp;number=4.8&amp;sourceID=14","4.8")</f>
        <v>4.8</v>
      </c>
      <c r="G6502" s="4" t="str">
        <f>HYPERLINK("http://141.218.60.56/~jnz1568/getInfo.php?workbook=14_04.xlsx&amp;sheet=U0&amp;row=6502&amp;col=7&amp;number=0.000762&amp;sourceID=14","0.000762")</f>
        <v>0.000762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HYPERLINK("http://141.218.60.56/~jnz1568/getInfo.php?workbook=14_04.xlsx&amp;sheet=U0&amp;row=6503&amp;col=6&amp;number=4.9&amp;sourceID=14","4.9")</f>
        <v>4.9</v>
      </c>
      <c r="G6503" s="4" t="str">
        <f>HYPERLINK("http://141.218.60.56/~jnz1568/getInfo.php?workbook=14_04.xlsx&amp;sheet=U0&amp;row=6503&amp;col=7&amp;number=0.00076&amp;sourceID=14","0.00076")</f>
        <v>0.00076</v>
      </c>
    </row>
    <row r="6504" spans="1:7">
      <c r="A6504" s="3">
        <v>14</v>
      </c>
      <c r="B6504" s="3">
        <v>4</v>
      </c>
      <c r="C6504" s="3">
        <v>4</v>
      </c>
      <c r="D6504" s="3">
        <v>45</v>
      </c>
      <c r="E6504" s="3">
        <v>1</v>
      </c>
      <c r="F6504" s="4" t="str">
        <f>HYPERLINK("http://141.218.60.56/~jnz1568/getInfo.php?workbook=14_04.xlsx&amp;sheet=U0&amp;row=6504&amp;col=6&amp;number=3&amp;sourceID=14","3")</f>
        <v>3</v>
      </c>
      <c r="G6504" s="4" t="str">
        <f>HYPERLINK("http://141.218.60.56/~jnz1568/getInfo.php?workbook=14_04.xlsx&amp;sheet=U0&amp;row=6504&amp;col=7&amp;number=0.0178&amp;sourceID=14","0.0178")</f>
        <v>0.0178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HYPERLINK("http://141.218.60.56/~jnz1568/getInfo.php?workbook=14_04.xlsx&amp;sheet=U0&amp;row=6505&amp;col=6&amp;number=3.1&amp;sourceID=14","3.1")</f>
        <v>3.1</v>
      </c>
      <c r="G6505" s="4" t="str">
        <f>HYPERLINK("http://141.218.60.56/~jnz1568/getInfo.php?workbook=14_04.xlsx&amp;sheet=U0&amp;row=6505&amp;col=7&amp;number=0.0178&amp;sourceID=14","0.0178")</f>
        <v>0.0178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HYPERLINK("http://141.218.60.56/~jnz1568/getInfo.php?workbook=14_04.xlsx&amp;sheet=U0&amp;row=6506&amp;col=6&amp;number=3.2&amp;sourceID=14","3.2")</f>
        <v>3.2</v>
      </c>
      <c r="G6506" s="4" t="str">
        <f>HYPERLINK("http://141.218.60.56/~jnz1568/getInfo.php?workbook=14_04.xlsx&amp;sheet=U0&amp;row=6506&amp;col=7&amp;number=0.0178&amp;sourceID=14","0.0178")</f>
        <v>0.0178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HYPERLINK("http://141.218.60.56/~jnz1568/getInfo.php?workbook=14_04.xlsx&amp;sheet=U0&amp;row=6507&amp;col=6&amp;number=3.3&amp;sourceID=14","3.3")</f>
        <v>3.3</v>
      </c>
      <c r="G6507" s="4" t="str">
        <f>HYPERLINK("http://141.218.60.56/~jnz1568/getInfo.php?workbook=14_04.xlsx&amp;sheet=U0&amp;row=6507&amp;col=7&amp;number=0.0178&amp;sourceID=14","0.0178")</f>
        <v>0.0178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HYPERLINK("http://141.218.60.56/~jnz1568/getInfo.php?workbook=14_04.xlsx&amp;sheet=U0&amp;row=6508&amp;col=6&amp;number=3.4&amp;sourceID=14","3.4")</f>
        <v>3.4</v>
      </c>
      <c r="G6508" s="4" t="str">
        <f>HYPERLINK("http://141.218.60.56/~jnz1568/getInfo.php?workbook=14_04.xlsx&amp;sheet=U0&amp;row=6508&amp;col=7&amp;number=0.0178&amp;sourceID=14","0.0178")</f>
        <v>0.0178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HYPERLINK("http://141.218.60.56/~jnz1568/getInfo.php?workbook=14_04.xlsx&amp;sheet=U0&amp;row=6509&amp;col=6&amp;number=3.5&amp;sourceID=14","3.5")</f>
        <v>3.5</v>
      </c>
      <c r="G6509" s="4" t="str">
        <f>HYPERLINK("http://141.218.60.56/~jnz1568/getInfo.php?workbook=14_04.xlsx&amp;sheet=U0&amp;row=6509&amp;col=7&amp;number=0.0178&amp;sourceID=14","0.0178")</f>
        <v>0.0178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HYPERLINK("http://141.218.60.56/~jnz1568/getInfo.php?workbook=14_04.xlsx&amp;sheet=U0&amp;row=6510&amp;col=6&amp;number=3.6&amp;sourceID=14","3.6")</f>
        <v>3.6</v>
      </c>
      <c r="G6510" s="4" t="str">
        <f>HYPERLINK("http://141.218.60.56/~jnz1568/getInfo.php?workbook=14_04.xlsx&amp;sheet=U0&amp;row=6510&amp;col=7&amp;number=0.0178&amp;sourceID=14","0.0178")</f>
        <v>0.0178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HYPERLINK("http://141.218.60.56/~jnz1568/getInfo.php?workbook=14_04.xlsx&amp;sheet=U0&amp;row=6511&amp;col=6&amp;number=3.7&amp;sourceID=14","3.7")</f>
        <v>3.7</v>
      </c>
      <c r="G6511" s="4" t="str">
        <f>HYPERLINK("http://141.218.60.56/~jnz1568/getInfo.php?workbook=14_04.xlsx&amp;sheet=U0&amp;row=6511&amp;col=7&amp;number=0.0177&amp;sourceID=14","0.0177")</f>
        <v>0.0177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HYPERLINK("http://141.218.60.56/~jnz1568/getInfo.php?workbook=14_04.xlsx&amp;sheet=U0&amp;row=6512&amp;col=6&amp;number=3.8&amp;sourceID=14","3.8")</f>
        <v>3.8</v>
      </c>
      <c r="G6512" s="4" t="str">
        <f>HYPERLINK("http://141.218.60.56/~jnz1568/getInfo.php?workbook=14_04.xlsx&amp;sheet=U0&amp;row=6512&amp;col=7&amp;number=0.0177&amp;sourceID=14","0.0177")</f>
        <v>0.0177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HYPERLINK("http://141.218.60.56/~jnz1568/getInfo.php?workbook=14_04.xlsx&amp;sheet=U0&amp;row=6513&amp;col=6&amp;number=3.9&amp;sourceID=14","3.9")</f>
        <v>3.9</v>
      </c>
      <c r="G6513" s="4" t="str">
        <f>HYPERLINK("http://141.218.60.56/~jnz1568/getInfo.php?workbook=14_04.xlsx&amp;sheet=U0&amp;row=6513&amp;col=7&amp;number=0.0177&amp;sourceID=14","0.0177")</f>
        <v>0.0177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HYPERLINK("http://141.218.60.56/~jnz1568/getInfo.php?workbook=14_04.xlsx&amp;sheet=U0&amp;row=6514&amp;col=6&amp;number=4&amp;sourceID=14","4")</f>
        <v>4</v>
      </c>
      <c r="G6514" s="4" t="str">
        <f>HYPERLINK("http://141.218.60.56/~jnz1568/getInfo.php?workbook=14_04.xlsx&amp;sheet=U0&amp;row=6514&amp;col=7&amp;number=0.0177&amp;sourceID=14","0.0177")</f>
        <v>0.0177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HYPERLINK("http://141.218.60.56/~jnz1568/getInfo.php?workbook=14_04.xlsx&amp;sheet=U0&amp;row=6515&amp;col=6&amp;number=4.1&amp;sourceID=14","4.1")</f>
        <v>4.1</v>
      </c>
      <c r="G6515" s="4" t="str">
        <f>HYPERLINK("http://141.218.60.56/~jnz1568/getInfo.php?workbook=14_04.xlsx&amp;sheet=U0&amp;row=6515&amp;col=7&amp;number=0.0177&amp;sourceID=14","0.0177")</f>
        <v>0.0177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HYPERLINK("http://141.218.60.56/~jnz1568/getInfo.php?workbook=14_04.xlsx&amp;sheet=U0&amp;row=6516&amp;col=6&amp;number=4.2&amp;sourceID=14","4.2")</f>
        <v>4.2</v>
      </c>
      <c r="G6516" s="4" t="str">
        <f>HYPERLINK("http://141.218.60.56/~jnz1568/getInfo.php?workbook=14_04.xlsx&amp;sheet=U0&amp;row=6516&amp;col=7&amp;number=0.0177&amp;sourceID=14","0.0177")</f>
        <v>0.0177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HYPERLINK("http://141.218.60.56/~jnz1568/getInfo.php?workbook=14_04.xlsx&amp;sheet=U0&amp;row=6517&amp;col=6&amp;number=4.3&amp;sourceID=14","4.3")</f>
        <v>4.3</v>
      </c>
      <c r="G6517" s="4" t="str">
        <f>HYPERLINK("http://141.218.60.56/~jnz1568/getInfo.php?workbook=14_04.xlsx&amp;sheet=U0&amp;row=6517&amp;col=7&amp;number=0.0176&amp;sourceID=14","0.0176")</f>
        <v>0.0176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HYPERLINK("http://141.218.60.56/~jnz1568/getInfo.php?workbook=14_04.xlsx&amp;sheet=U0&amp;row=6518&amp;col=6&amp;number=4.4&amp;sourceID=14","4.4")</f>
        <v>4.4</v>
      </c>
      <c r="G6518" s="4" t="str">
        <f>HYPERLINK("http://141.218.60.56/~jnz1568/getInfo.php?workbook=14_04.xlsx&amp;sheet=U0&amp;row=6518&amp;col=7&amp;number=0.0176&amp;sourceID=14","0.0176")</f>
        <v>0.0176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HYPERLINK("http://141.218.60.56/~jnz1568/getInfo.php?workbook=14_04.xlsx&amp;sheet=U0&amp;row=6519&amp;col=6&amp;number=4.5&amp;sourceID=14","4.5")</f>
        <v>4.5</v>
      </c>
      <c r="G6519" s="4" t="str">
        <f>HYPERLINK("http://141.218.60.56/~jnz1568/getInfo.php?workbook=14_04.xlsx&amp;sheet=U0&amp;row=6519&amp;col=7&amp;number=0.0176&amp;sourceID=14","0.0176")</f>
        <v>0.0176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HYPERLINK("http://141.218.60.56/~jnz1568/getInfo.php?workbook=14_04.xlsx&amp;sheet=U0&amp;row=6520&amp;col=6&amp;number=4.6&amp;sourceID=14","4.6")</f>
        <v>4.6</v>
      </c>
      <c r="G6520" s="4" t="str">
        <f>HYPERLINK("http://141.218.60.56/~jnz1568/getInfo.php?workbook=14_04.xlsx&amp;sheet=U0&amp;row=6520&amp;col=7&amp;number=0.0175&amp;sourceID=14","0.0175")</f>
        <v>0.0175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HYPERLINK("http://141.218.60.56/~jnz1568/getInfo.php?workbook=14_04.xlsx&amp;sheet=U0&amp;row=6521&amp;col=6&amp;number=4.7&amp;sourceID=14","4.7")</f>
        <v>4.7</v>
      </c>
      <c r="G6521" s="4" t="str">
        <f>HYPERLINK("http://141.218.60.56/~jnz1568/getInfo.php?workbook=14_04.xlsx&amp;sheet=U0&amp;row=6521&amp;col=7&amp;number=0.0174&amp;sourceID=14","0.0174")</f>
        <v>0.0174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HYPERLINK("http://141.218.60.56/~jnz1568/getInfo.php?workbook=14_04.xlsx&amp;sheet=U0&amp;row=6522&amp;col=6&amp;number=4.8&amp;sourceID=14","4.8")</f>
        <v>4.8</v>
      </c>
      <c r="G6522" s="4" t="str">
        <f>HYPERLINK("http://141.218.60.56/~jnz1568/getInfo.php?workbook=14_04.xlsx&amp;sheet=U0&amp;row=6522&amp;col=7&amp;number=0.0173&amp;sourceID=14","0.0173")</f>
        <v>0.0173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HYPERLINK("http://141.218.60.56/~jnz1568/getInfo.php?workbook=14_04.xlsx&amp;sheet=U0&amp;row=6523&amp;col=6&amp;number=4.9&amp;sourceID=14","4.9")</f>
        <v>4.9</v>
      </c>
      <c r="G6523" s="4" t="str">
        <f>HYPERLINK("http://141.218.60.56/~jnz1568/getInfo.php?workbook=14_04.xlsx&amp;sheet=U0&amp;row=6523&amp;col=7&amp;number=0.0172&amp;sourceID=14","0.0172")</f>
        <v>0.0172</v>
      </c>
    </row>
    <row r="6524" spans="1:7">
      <c r="A6524" s="3">
        <v>14</v>
      </c>
      <c r="B6524" s="3">
        <v>4</v>
      </c>
      <c r="C6524" s="3">
        <v>4</v>
      </c>
      <c r="D6524" s="3">
        <v>46</v>
      </c>
      <c r="E6524" s="3">
        <v>1</v>
      </c>
      <c r="F6524" s="4" t="str">
        <f>HYPERLINK("http://141.218.60.56/~jnz1568/getInfo.php?workbook=14_04.xlsx&amp;sheet=U0&amp;row=6524&amp;col=6&amp;number=3&amp;sourceID=14","3")</f>
        <v>3</v>
      </c>
      <c r="G6524" s="4" t="str">
        <f>HYPERLINK("http://141.218.60.56/~jnz1568/getInfo.php?workbook=14_04.xlsx&amp;sheet=U0&amp;row=6524&amp;col=7&amp;number=0.00683&amp;sourceID=14","0.00683")</f>
        <v>0.00683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HYPERLINK("http://141.218.60.56/~jnz1568/getInfo.php?workbook=14_04.xlsx&amp;sheet=U0&amp;row=6525&amp;col=6&amp;number=3.1&amp;sourceID=14","3.1")</f>
        <v>3.1</v>
      </c>
      <c r="G6525" s="4" t="str">
        <f>HYPERLINK("http://141.218.60.56/~jnz1568/getInfo.php?workbook=14_04.xlsx&amp;sheet=U0&amp;row=6525&amp;col=7&amp;number=0.00683&amp;sourceID=14","0.00683")</f>
        <v>0.00683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HYPERLINK("http://141.218.60.56/~jnz1568/getInfo.php?workbook=14_04.xlsx&amp;sheet=U0&amp;row=6526&amp;col=6&amp;number=3.2&amp;sourceID=14","3.2")</f>
        <v>3.2</v>
      </c>
      <c r="G6526" s="4" t="str">
        <f>HYPERLINK("http://141.218.60.56/~jnz1568/getInfo.php?workbook=14_04.xlsx&amp;sheet=U0&amp;row=6526&amp;col=7&amp;number=0.00683&amp;sourceID=14","0.00683")</f>
        <v>0.00683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HYPERLINK("http://141.218.60.56/~jnz1568/getInfo.php?workbook=14_04.xlsx&amp;sheet=U0&amp;row=6527&amp;col=6&amp;number=3.3&amp;sourceID=14","3.3")</f>
        <v>3.3</v>
      </c>
      <c r="G6527" s="4" t="str">
        <f>HYPERLINK("http://141.218.60.56/~jnz1568/getInfo.php?workbook=14_04.xlsx&amp;sheet=U0&amp;row=6527&amp;col=7&amp;number=0.00683&amp;sourceID=14","0.00683")</f>
        <v>0.00683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HYPERLINK("http://141.218.60.56/~jnz1568/getInfo.php?workbook=14_04.xlsx&amp;sheet=U0&amp;row=6528&amp;col=6&amp;number=3.4&amp;sourceID=14","3.4")</f>
        <v>3.4</v>
      </c>
      <c r="G6528" s="4" t="str">
        <f>HYPERLINK("http://141.218.60.56/~jnz1568/getInfo.php?workbook=14_04.xlsx&amp;sheet=U0&amp;row=6528&amp;col=7&amp;number=0.00683&amp;sourceID=14","0.00683")</f>
        <v>0.00683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HYPERLINK("http://141.218.60.56/~jnz1568/getInfo.php?workbook=14_04.xlsx&amp;sheet=U0&amp;row=6529&amp;col=6&amp;number=3.5&amp;sourceID=14","3.5")</f>
        <v>3.5</v>
      </c>
      <c r="G6529" s="4" t="str">
        <f>HYPERLINK("http://141.218.60.56/~jnz1568/getInfo.php?workbook=14_04.xlsx&amp;sheet=U0&amp;row=6529&amp;col=7&amp;number=0.00682&amp;sourceID=14","0.00682")</f>
        <v>0.00682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HYPERLINK("http://141.218.60.56/~jnz1568/getInfo.php?workbook=14_04.xlsx&amp;sheet=U0&amp;row=6530&amp;col=6&amp;number=3.6&amp;sourceID=14","3.6")</f>
        <v>3.6</v>
      </c>
      <c r="G6530" s="4" t="str">
        <f>HYPERLINK("http://141.218.60.56/~jnz1568/getInfo.php?workbook=14_04.xlsx&amp;sheet=U0&amp;row=6530&amp;col=7&amp;number=0.00682&amp;sourceID=14","0.00682")</f>
        <v>0.00682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HYPERLINK("http://141.218.60.56/~jnz1568/getInfo.php?workbook=14_04.xlsx&amp;sheet=U0&amp;row=6531&amp;col=6&amp;number=3.7&amp;sourceID=14","3.7")</f>
        <v>3.7</v>
      </c>
      <c r="G6531" s="4" t="str">
        <f>HYPERLINK("http://141.218.60.56/~jnz1568/getInfo.php?workbook=14_04.xlsx&amp;sheet=U0&amp;row=6531&amp;col=7&amp;number=0.00682&amp;sourceID=14","0.00682")</f>
        <v>0.00682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HYPERLINK("http://141.218.60.56/~jnz1568/getInfo.php?workbook=14_04.xlsx&amp;sheet=U0&amp;row=6532&amp;col=6&amp;number=3.8&amp;sourceID=14","3.8")</f>
        <v>3.8</v>
      </c>
      <c r="G6532" s="4" t="str">
        <f>HYPERLINK("http://141.218.60.56/~jnz1568/getInfo.php?workbook=14_04.xlsx&amp;sheet=U0&amp;row=6532&amp;col=7&amp;number=0.00682&amp;sourceID=14","0.00682")</f>
        <v>0.00682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HYPERLINK("http://141.218.60.56/~jnz1568/getInfo.php?workbook=14_04.xlsx&amp;sheet=U0&amp;row=6533&amp;col=6&amp;number=3.9&amp;sourceID=14","3.9")</f>
        <v>3.9</v>
      </c>
      <c r="G6533" s="4" t="str">
        <f>HYPERLINK("http://141.218.60.56/~jnz1568/getInfo.php?workbook=14_04.xlsx&amp;sheet=U0&amp;row=6533&amp;col=7&amp;number=0.00681&amp;sourceID=14","0.00681")</f>
        <v>0.00681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HYPERLINK("http://141.218.60.56/~jnz1568/getInfo.php?workbook=14_04.xlsx&amp;sheet=U0&amp;row=6534&amp;col=6&amp;number=4&amp;sourceID=14","4")</f>
        <v>4</v>
      </c>
      <c r="G6534" s="4" t="str">
        <f>HYPERLINK("http://141.218.60.56/~jnz1568/getInfo.php?workbook=14_04.xlsx&amp;sheet=U0&amp;row=6534&amp;col=7&amp;number=0.00681&amp;sourceID=14","0.00681")</f>
        <v>0.00681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HYPERLINK("http://141.218.60.56/~jnz1568/getInfo.php?workbook=14_04.xlsx&amp;sheet=U0&amp;row=6535&amp;col=6&amp;number=4.1&amp;sourceID=14","4.1")</f>
        <v>4.1</v>
      </c>
      <c r="G6535" s="4" t="str">
        <f>HYPERLINK("http://141.218.60.56/~jnz1568/getInfo.php?workbook=14_04.xlsx&amp;sheet=U0&amp;row=6535&amp;col=7&amp;number=0.0068&amp;sourceID=14","0.0068")</f>
        <v>0.0068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HYPERLINK("http://141.218.60.56/~jnz1568/getInfo.php?workbook=14_04.xlsx&amp;sheet=U0&amp;row=6536&amp;col=6&amp;number=4.2&amp;sourceID=14","4.2")</f>
        <v>4.2</v>
      </c>
      <c r="G6536" s="4" t="str">
        <f>HYPERLINK("http://141.218.60.56/~jnz1568/getInfo.php?workbook=14_04.xlsx&amp;sheet=U0&amp;row=6536&amp;col=7&amp;number=0.00679&amp;sourceID=14","0.00679")</f>
        <v>0.00679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HYPERLINK("http://141.218.60.56/~jnz1568/getInfo.php?workbook=14_04.xlsx&amp;sheet=U0&amp;row=6537&amp;col=6&amp;number=4.3&amp;sourceID=14","4.3")</f>
        <v>4.3</v>
      </c>
      <c r="G6537" s="4" t="str">
        <f>HYPERLINK("http://141.218.60.56/~jnz1568/getInfo.php?workbook=14_04.xlsx&amp;sheet=U0&amp;row=6537&amp;col=7&amp;number=0.00678&amp;sourceID=14","0.00678")</f>
        <v>0.00678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HYPERLINK("http://141.218.60.56/~jnz1568/getInfo.php?workbook=14_04.xlsx&amp;sheet=U0&amp;row=6538&amp;col=6&amp;number=4.4&amp;sourceID=14","4.4")</f>
        <v>4.4</v>
      </c>
      <c r="G6538" s="4" t="str">
        <f>HYPERLINK("http://141.218.60.56/~jnz1568/getInfo.php?workbook=14_04.xlsx&amp;sheet=U0&amp;row=6538&amp;col=7&amp;number=0.00677&amp;sourceID=14","0.00677")</f>
        <v>0.00677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HYPERLINK("http://141.218.60.56/~jnz1568/getInfo.php?workbook=14_04.xlsx&amp;sheet=U0&amp;row=6539&amp;col=6&amp;number=4.5&amp;sourceID=14","4.5")</f>
        <v>4.5</v>
      </c>
      <c r="G6539" s="4" t="str">
        <f>HYPERLINK("http://141.218.60.56/~jnz1568/getInfo.php?workbook=14_04.xlsx&amp;sheet=U0&amp;row=6539&amp;col=7&amp;number=0.00675&amp;sourceID=14","0.00675")</f>
        <v>0.00675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HYPERLINK("http://141.218.60.56/~jnz1568/getInfo.php?workbook=14_04.xlsx&amp;sheet=U0&amp;row=6540&amp;col=6&amp;number=4.6&amp;sourceID=14","4.6")</f>
        <v>4.6</v>
      </c>
      <c r="G6540" s="4" t="str">
        <f>HYPERLINK("http://141.218.60.56/~jnz1568/getInfo.php?workbook=14_04.xlsx&amp;sheet=U0&amp;row=6540&amp;col=7&amp;number=0.00673&amp;sourceID=14","0.00673")</f>
        <v>0.00673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HYPERLINK("http://141.218.60.56/~jnz1568/getInfo.php?workbook=14_04.xlsx&amp;sheet=U0&amp;row=6541&amp;col=6&amp;number=4.7&amp;sourceID=14","4.7")</f>
        <v>4.7</v>
      </c>
      <c r="G6541" s="4" t="str">
        <f>HYPERLINK("http://141.218.60.56/~jnz1568/getInfo.php?workbook=14_04.xlsx&amp;sheet=U0&amp;row=6541&amp;col=7&amp;number=0.0067&amp;sourceID=14","0.0067")</f>
        <v>0.0067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HYPERLINK("http://141.218.60.56/~jnz1568/getInfo.php?workbook=14_04.xlsx&amp;sheet=U0&amp;row=6542&amp;col=6&amp;number=4.8&amp;sourceID=14","4.8")</f>
        <v>4.8</v>
      </c>
      <c r="G6542" s="4" t="str">
        <f>HYPERLINK("http://141.218.60.56/~jnz1568/getInfo.php?workbook=14_04.xlsx&amp;sheet=U0&amp;row=6542&amp;col=7&amp;number=0.00667&amp;sourceID=14","0.00667")</f>
        <v>0.00667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HYPERLINK("http://141.218.60.56/~jnz1568/getInfo.php?workbook=14_04.xlsx&amp;sheet=U0&amp;row=6543&amp;col=6&amp;number=4.9&amp;sourceID=14","4.9")</f>
        <v>4.9</v>
      </c>
      <c r="G6543" s="4" t="str">
        <f>HYPERLINK("http://141.218.60.56/~jnz1568/getInfo.php?workbook=14_04.xlsx&amp;sheet=U0&amp;row=6543&amp;col=7&amp;number=0.00663&amp;sourceID=14","0.00663")</f>
        <v>0.00663</v>
      </c>
    </row>
    <row r="6544" spans="1:7">
      <c r="A6544" s="3">
        <v>14</v>
      </c>
      <c r="B6544" s="3">
        <v>4</v>
      </c>
      <c r="C6544" s="3">
        <v>4</v>
      </c>
      <c r="D6544" s="3">
        <v>47</v>
      </c>
      <c r="E6544" s="3">
        <v>1</v>
      </c>
      <c r="F6544" s="4" t="str">
        <f>HYPERLINK("http://141.218.60.56/~jnz1568/getInfo.php?workbook=14_04.xlsx&amp;sheet=U0&amp;row=6544&amp;col=6&amp;number=3&amp;sourceID=14","3")</f>
        <v>3</v>
      </c>
      <c r="G6544" s="4" t="str">
        <f>HYPERLINK("http://141.218.60.56/~jnz1568/getInfo.php?workbook=14_04.xlsx&amp;sheet=U0&amp;row=6544&amp;col=7&amp;number=0.00233&amp;sourceID=14","0.00233")</f>
        <v>0.00233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HYPERLINK("http://141.218.60.56/~jnz1568/getInfo.php?workbook=14_04.xlsx&amp;sheet=U0&amp;row=6545&amp;col=6&amp;number=3.1&amp;sourceID=14","3.1")</f>
        <v>3.1</v>
      </c>
      <c r="G6545" s="4" t="str">
        <f>HYPERLINK("http://141.218.60.56/~jnz1568/getInfo.php?workbook=14_04.xlsx&amp;sheet=U0&amp;row=6545&amp;col=7&amp;number=0.00233&amp;sourceID=14","0.00233")</f>
        <v>0.00233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HYPERLINK("http://141.218.60.56/~jnz1568/getInfo.php?workbook=14_04.xlsx&amp;sheet=U0&amp;row=6546&amp;col=6&amp;number=3.2&amp;sourceID=14","3.2")</f>
        <v>3.2</v>
      </c>
      <c r="G6546" s="4" t="str">
        <f>HYPERLINK("http://141.218.60.56/~jnz1568/getInfo.php?workbook=14_04.xlsx&amp;sheet=U0&amp;row=6546&amp;col=7&amp;number=0.00233&amp;sourceID=14","0.00233")</f>
        <v>0.00233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HYPERLINK("http://141.218.60.56/~jnz1568/getInfo.php?workbook=14_04.xlsx&amp;sheet=U0&amp;row=6547&amp;col=6&amp;number=3.3&amp;sourceID=14","3.3")</f>
        <v>3.3</v>
      </c>
      <c r="G6547" s="4" t="str">
        <f>HYPERLINK("http://141.218.60.56/~jnz1568/getInfo.php?workbook=14_04.xlsx&amp;sheet=U0&amp;row=6547&amp;col=7&amp;number=0.00233&amp;sourceID=14","0.00233")</f>
        <v>0.00233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HYPERLINK("http://141.218.60.56/~jnz1568/getInfo.php?workbook=14_04.xlsx&amp;sheet=U0&amp;row=6548&amp;col=6&amp;number=3.4&amp;sourceID=14","3.4")</f>
        <v>3.4</v>
      </c>
      <c r="G6548" s="4" t="str">
        <f>HYPERLINK("http://141.218.60.56/~jnz1568/getInfo.php?workbook=14_04.xlsx&amp;sheet=U0&amp;row=6548&amp;col=7&amp;number=0.00233&amp;sourceID=14","0.00233")</f>
        <v>0.00233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HYPERLINK("http://141.218.60.56/~jnz1568/getInfo.php?workbook=14_04.xlsx&amp;sheet=U0&amp;row=6549&amp;col=6&amp;number=3.5&amp;sourceID=14","3.5")</f>
        <v>3.5</v>
      </c>
      <c r="G6549" s="4" t="str">
        <f>HYPERLINK("http://141.218.60.56/~jnz1568/getInfo.php?workbook=14_04.xlsx&amp;sheet=U0&amp;row=6549&amp;col=7&amp;number=0.00233&amp;sourceID=14","0.00233")</f>
        <v>0.00233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HYPERLINK("http://141.218.60.56/~jnz1568/getInfo.php?workbook=14_04.xlsx&amp;sheet=U0&amp;row=6550&amp;col=6&amp;number=3.6&amp;sourceID=14","3.6")</f>
        <v>3.6</v>
      </c>
      <c r="G6550" s="4" t="str">
        <f>HYPERLINK("http://141.218.60.56/~jnz1568/getInfo.php?workbook=14_04.xlsx&amp;sheet=U0&amp;row=6550&amp;col=7&amp;number=0.00233&amp;sourceID=14","0.00233")</f>
        <v>0.00233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HYPERLINK("http://141.218.60.56/~jnz1568/getInfo.php?workbook=14_04.xlsx&amp;sheet=U0&amp;row=6551&amp;col=6&amp;number=3.7&amp;sourceID=14","3.7")</f>
        <v>3.7</v>
      </c>
      <c r="G6551" s="4" t="str">
        <f>HYPERLINK("http://141.218.60.56/~jnz1568/getInfo.php?workbook=14_04.xlsx&amp;sheet=U0&amp;row=6551&amp;col=7&amp;number=0.00233&amp;sourceID=14","0.00233")</f>
        <v>0.00233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HYPERLINK("http://141.218.60.56/~jnz1568/getInfo.php?workbook=14_04.xlsx&amp;sheet=U0&amp;row=6552&amp;col=6&amp;number=3.8&amp;sourceID=14","3.8")</f>
        <v>3.8</v>
      </c>
      <c r="G6552" s="4" t="str">
        <f>HYPERLINK("http://141.218.60.56/~jnz1568/getInfo.php?workbook=14_04.xlsx&amp;sheet=U0&amp;row=6552&amp;col=7&amp;number=0.00233&amp;sourceID=14","0.00233")</f>
        <v>0.00233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HYPERLINK("http://141.218.60.56/~jnz1568/getInfo.php?workbook=14_04.xlsx&amp;sheet=U0&amp;row=6553&amp;col=6&amp;number=3.9&amp;sourceID=14","3.9")</f>
        <v>3.9</v>
      </c>
      <c r="G6553" s="4" t="str">
        <f>HYPERLINK("http://141.218.60.56/~jnz1568/getInfo.php?workbook=14_04.xlsx&amp;sheet=U0&amp;row=6553&amp;col=7&amp;number=0.00233&amp;sourceID=14","0.00233")</f>
        <v>0.00233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HYPERLINK("http://141.218.60.56/~jnz1568/getInfo.php?workbook=14_04.xlsx&amp;sheet=U0&amp;row=6554&amp;col=6&amp;number=4&amp;sourceID=14","4")</f>
        <v>4</v>
      </c>
      <c r="G6554" s="4" t="str">
        <f>HYPERLINK("http://141.218.60.56/~jnz1568/getInfo.php?workbook=14_04.xlsx&amp;sheet=U0&amp;row=6554&amp;col=7&amp;number=0.00233&amp;sourceID=14","0.00233")</f>
        <v>0.00233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HYPERLINK("http://141.218.60.56/~jnz1568/getInfo.php?workbook=14_04.xlsx&amp;sheet=U0&amp;row=6555&amp;col=6&amp;number=4.1&amp;sourceID=14","4.1")</f>
        <v>4.1</v>
      </c>
      <c r="G6555" s="4" t="str">
        <f>HYPERLINK("http://141.218.60.56/~jnz1568/getInfo.php?workbook=14_04.xlsx&amp;sheet=U0&amp;row=6555&amp;col=7&amp;number=0.00233&amp;sourceID=14","0.00233")</f>
        <v>0.00233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HYPERLINK("http://141.218.60.56/~jnz1568/getInfo.php?workbook=14_04.xlsx&amp;sheet=U0&amp;row=6556&amp;col=6&amp;number=4.2&amp;sourceID=14","4.2")</f>
        <v>4.2</v>
      </c>
      <c r="G6556" s="4" t="str">
        <f>HYPERLINK("http://141.218.60.56/~jnz1568/getInfo.php?workbook=14_04.xlsx&amp;sheet=U0&amp;row=6556&amp;col=7&amp;number=0.00233&amp;sourceID=14","0.00233")</f>
        <v>0.00233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HYPERLINK("http://141.218.60.56/~jnz1568/getInfo.php?workbook=14_04.xlsx&amp;sheet=U0&amp;row=6557&amp;col=6&amp;number=4.3&amp;sourceID=14","4.3")</f>
        <v>4.3</v>
      </c>
      <c r="G6557" s="4" t="str">
        <f>HYPERLINK("http://141.218.60.56/~jnz1568/getInfo.php?workbook=14_04.xlsx&amp;sheet=U0&amp;row=6557&amp;col=7&amp;number=0.00233&amp;sourceID=14","0.00233")</f>
        <v>0.00233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HYPERLINK("http://141.218.60.56/~jnz1568/getInfo.php?workbook=14_04.xlsx&amp;sheet=U0&amp;row=6558&amp;col=6&amp;number=4.4&amp;sourceID=14","4.4")</f>
        <v>4.4</v>
      </c>
      <c r="G6558" s="4" t="str">
        <f>HYPERLINK("http://141.218.60.56/~jnz1568/getInfo.php?workbook=14_04.xlsx&amp;sheet=U0&amp;row=6558&amp;col=7&amp;number=0.00233&amp;sourceID=14","0.00233")</f>
        <v>0.00233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HYPERLINK("http://141.218.60.56/~jnz1568/getInfo.php?workbook=14_04.xlsx&amp;sheet=U0&amp;row=6559&amp;col=6&amp;number=4.5&amp;sourceID=14","4.5")</f>
        <v>4.5</v>
      </c>
      <c r="G6559" s="4" t="str">
        <f>HYPERLINK("http://141.218.60.56/~jnz1568/getInfo.php?workbook=14_04.xlsx&amp;sheet=U0&amp;row=6559&amp;col=7&amp;number=0.00233&amp;sourceID=14","0.00233")</f>
        <v>0.00233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HYPERLINK("http://141.218.60.56/~jnz1568/getInfo.php?workbook=14_04.xlsx&amp;sheet=U0&amp;row=6560&amp;col=6&amp;number=4.6&amp;sourceID=14","4.6")</f>
        <v>4.6</v>
      </c>
      <c r="G6560" s="4" t="str">
        <f>HYPERLINK("http://141.218.60.56/~jnz1568/getInfo.php?workbook=14_04.xlsx&amp;sheet=U0&amp;row=6560&amp;col=7&amp;number=0.00233&amp;sourceID=14","0.00233")</f>
        <v>0.00233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HYPERLINK("http://141.218.60.56/~jnz1568/getInfo.php?workbook=14_04.xlsx&amp;sheet=U0&amp;row=6561&amp;col=6&amp;number=4.7&amp;sourceID=14","4.7")</f>
        <v>4.7</v>
      </c>
      <c r="G6561" s="4" t="str">
        <f>HYPERLINK("http://141.218.60.56/~jnz1568/getInfo.php?workbook=14_04.xlsx&amp;sheet=U0&amp;row=6561&amp;col=7&amp;number=0.00233&amp;sourceID=14","0.00233")</f>
        <v>0.00233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HYPERLINK("http://141.218.60.56/~jnz1568/getInfo.php?workbook=14_04.xlsx&amp;sheet=U0&amp;row=6562&amp;col=6&amp;number=4.8&amp;sourceID=14","4.8")</f>
        <v>4.8</v>
      </c>
      <c r="G6562" s="4" t="str">
        <f>HYPERLINK("http://141.218.60.56/~jnz1568/getInfo.php?workbook=14_04.xlsx&amp;sheet=U0&amp;row=6562&amp;col=7&amp;number=0.00234&amp;sourceID=14","0.00234")</f>
        <v>0.00234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HYPERLINK("http://141.218.60.56/~jnz1568/getInfo.php?workbook=14_04.xlsx&amp;sheet=U0&amp;row=6563&amp;col=6&amp;number=4.9&amp;sourceID=14","4.9")</f>
        <v>4.9</v>
      </c>
      <c r="G6563" s="4" t="str">
        <f>HYPERLINK("http://141.218.60.56/~jnz1568/getInfo.php?workbook=14_04.xlsx&amp;sheet=U0&amp;row=6563&amp;col=7&amp;number=0.00234&amp;sourceID=14","0.00234")</f>
        <v>0.00234</v>
      </c>
    </row>
    <row r="6564" spans="1:7">
      <c r="A6564" s="3">
        <v>14</v>
      </c>
      <c r="B6564" s="3">
        <v>4</v>
      </c>
      <c r="C6564" s="3">
        <v>4</v>
      </c>
      <c r="D6564" s="3">
        <v>48</v>
      </c>
      <c r="E6564" s="3">
        <v>1</v>
      </c>
      <c r="F6564" s="4" t="str">
        <f>HYPERLINK("http://141.218.60.56/~jnz1568/getInfo.php?workbook=14_04.xlsx&amp;sheet=U0&amp;row=6564&amp;col=6&amp;number=3&amp;sourceID=14","3")</f>
        <v>3</v>
      </c>
      <c r="G6564" s="4" t="str">
        <f>HYPERLINK("http://141.218.60.56/~jnz1568/getInfo.php?workbook=14_04.xlsx&amp;sheet=U0&amp;row=6564&amp;col=7&amp;number=0.0013&amp;sourceID=14","0.0013")</f>
        <v>0.0013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HYPERLINK("http://141.218.60.56/~jnz1568/getInfo.php?workbook=14_04.xlsx&amp;sheet=U0&amp;row=6565&amp;col=6&amp;number=3.1&amp;sourceID=14","3.1")</f>
        <v>3.1</v>
      </c>
      <c r="G6565" s="4" t="str">
        <f>HYPERLINK("http://141.218.60.56/~jnz1568/getInfo.php?workbook=14_04.xlsx&amp;sheet=U0&amp;row=6565&amp;col=7&amp;number=0.0013&amp;sourceID=14","0.0013")</f>
        <v>0.0013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HYPERLINK("http://141.218.60.56/~jnz1568/getInfo.php?workbook=14_04.xlsx&amp;sheet=U0&amp;row=6566&amp;col=6&amp;number=3.2&amp;sourceID=14","3.2")</f>
        <v>3.2</v>
      </c>
      <c r="G6566" s="4" t="str">
        <f>HYPERLINK("http://141.218.60.56/~jnz1568/getInfo.php?workbook=14_04.xlsx&amp;sheet=U0&amp;row=6566&amp;col=7&amp;number=0.0013&amp;sourceID=14","0.0013")</f>
        <v>0.0013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HYPERLINK("http://141.218.60.56/~jnz1568/getInfo.php?workbook=14_04.xlsx&amp;sheet=U0&amp;row=6567&amp;col=6&amp;number=3.3&amp;sourceID=14","3.3")</f>
        <v>3.3</v>
      </c>
      <c r="G6567" s="4" t="str">
        <f>HYPERLINK("http://141.218.60.56/~jnz1568/getInfo.php?workbook=14_04.xlsx&amp;sheet=U0&amp;row=6567&amp;col=7&amp;number=0.0013&amp;sourceID=14","0.0013")</f>
        <v>0.0013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HYPERLINK("http://141.218.60.56/~jnz1568/getInfo.php?workbook=14_04.xlsx&amp;sheet=U0&amp;row=6568&amp;col=6&amp;number=3.4&amp;sourceID=14","3.4")</f>
        <v>3.4</v>
      </c>
      <c r="G6568" s="4" t="str">
        <f>HYPERLINK("http://141.218.60.56/~jnz1568/getInfo.php?workbook=14_04.xlsx&amp;sheet=U0&amp;row=6568&amp;col=7&amp;number=0.0013&amp;sourceID=14","0.0013")</f>
        <v>0.0013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HYPERLINK("http://141.218.60.56/~jnz1568/getInfo.php?workbook=14_04.xlsx&amp;sheet=U0&amp;row=6569&amp;col=6&amp;number=3.5&amp;sourceID=14","3.5")</f>
        <v>3.5</v>
      </c>
      <c r="G6569" s="4" t="str">
        <f>HYPERLINK("http://141.218.60.56/~jnz1568/getInfo.php?workbook=14_04.xlsx&amp;sheet=U0&amp;row=6569&amp;col=7&amp;number=0.0013&amp;sourceID=14","0.0013")</f>
        <v>0.0013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HYPERLINK("http://141.218.60.56/~jnz1568/getInfo.php?workbook=14_04.xlsx&amp;sheet=U0&amp;row=6570&amp;col=6&amp;number=3.6&amp;sourceID=14","3.6")</f>
        <v>3.6</v>
      </c>
      <c r="G6570" s="4" t="str">
        <f>HYPERLINK("http://141.218.60.56/~jnz1568/getInfo.php?workbook=14_04.xlsx&amp;sheet=U0&amp;row=6570&amp;col=7&amp;number=0.0013&amp;sourceID=14","0.0013")</f>
        <v>0.0013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HYPERLINK("http://141.218.60.56/~jnz1568/getInfo.php?workbook=14_04.xlsx&amp;sheet=U0&amp;row=6571&amp;col=6&amp;number=3.7&amp;sourceID=14","3.7")</f>
        <v>3.7</v>
      </c>
      <c r="G6571" s="4" t="str">
        <f>HYPERLINK("http://141.218.60.56/~jnz1568/getInfo.php?workbook=14_04.xlsx&amp;sheet=U0&amp;row=6571&amp;col=7&amp;number=0.0013&amp;sourceID=14","0.0013")</f>
        <v>0.0013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HYPERLINK("http://141.218.60.56/~jnz1568/getInfo.php?workbook=14_04.xlsx&amp;sheet=U0&amp;row=6572&amp;col=6&amp;number=3.8&amp;sourceID=14","3.8")</f>
        <v>3.8</v>
      </c>
      <c r="G6572" s="4" t="str">
        <f>HYPERLINK("http://141.218.60.56/~jnz1568/getInfo.php?workbook=14_04.xlsx&amp;sheet=U0&amp;row=6572&amp;col=7&amp;number=0.0013&amp;sourceID=14","0.0013")</f>
        <v>0.0013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HYPERLINK("http://141.218.60.56/~jnz1568/getInfo.php?workbook=14_04.xlsx&amp;sheet=U0&amp;row=6573&amp;col=6&amp;number=3.9&amp;sourceID=14","3.9")</f>
        <v>3.9</v>
      </c>
      <c r="G6573" s="4" t="str">
        <f>HYPERLINK("http://141.218.60.56/~jnz1568/getInfo.php?workbook=14_04.xlsx&amp;sheet=U0&amp;row=6573&amp;col=7&amp;number=0.0013&amp;sourceID=14","0.0013")</f>
        <v>0.0013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HYPERLINK("http://141.218.60.56/~jnz1568/getInfo.php?workbook=14_04.xlsx&amp;sheet=U0&amp;row=6574&amp;col=6&amp;number=4&amp;sourceID=14","4")</f>
        <v>4</v>
      </c>
      <c r="G6574" s="4" t="str">
        <f>HYPERLINK("http://141.218.60.56/~jnz1568/getInfo.php?workbook=14_04.xlsx&amp;sheet=U0&amp;row=6574&amp;col=7&amp;number=0.0013&amp;sourceID=14","0.0013")</f>
        <v>0.0013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HYPERLINK("http://141.218.60.56/~jnz1568/getInfo.php?workbook=14_04.xlsx&amp;sheet=U0&amp;row=6575&amp;col=6&amp;number=4.1&amp;sourceID=14","4.1")</f>
        <v>4.1</v>
      </c>
      <c r="G6575" s="4" t="str">
        <f>HYPERLINK("http://141.218.60.56/~jnz1568/getInfo.php?workbook=14_04.xlsx&amp;sheet=U0&amp;row=6575&amp;col=7&amp;number=0.0013&amp;sourceID=14","0.0013")</f>
        <v>0.0013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HYPERLINK("http://141.218.60.56/~jnz1568/getInfo.php?workbook=14_04.xlsx&amp;sheet=U0&amp;row=6576&amp;col=6&amp;number=4.2&amp;sourceID=14","4.2")</f>
        <v>4.2</v>
      </c>
      <c r="G6576" s="4" t="str">
        <f>HYPERLINK("http://141.218.60.56/~jnz1568/getInfo.php?workbook=14_04.xlsx&amp;sheet=U0&amp;row=6576&amp;col=7&amp;number=0.0013&amp;sourceID=14","0.0013")</f>
        <v>0.0013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HYPERLINK("http://141.218.60.56/~jnz1568/getInfo.php?workbook=14_04.xlsx&amp;sheet=U0&amp;row=6577&amp;col=6&amp;number=4.3&amp;sourceID=14","4.3")</f>
        <v>4.3</v>
      </c>
      <c r="G6577" s="4" t="str">
        <f>HYPERLINK("http://141.218.60.56/~jnz1568/getInfo.php?workbook=14_04.xlsx&amp;sheet=U0&amp;row=6577&amp;col=7&amp;number=0.0013&amp;sourceID=14","0.0013")</f>
        <v>0.0013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HYPERLINK("http://141.218.60.56/~jnz1568/getInfo.php?workbook=14_04.xlsx&amp;sheet=U0&amp;row=6578&amp;col=6&amp;number=4.4&amp;sourceID=14","4.4")</f>
        <v>4.4</v>
      </c>
      <c r="G6578" s="4" t="str">
        <f>HYPERLINK("http://141.218.60.56/~jnz1568/getInfo.php?workbook=14_04.xlsx&amp;sheet=U0&amp;row=6578&amp;col=7&amp;number=0.00129&amp;sourceID=14","0.00129")</f>
        <v>0.00129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HYPERLINK("http://141.218.60.56/~jnz1568/getInfo.php?workbook=14_04.xlsx&amp;sheet=U0&amp;row=6579&amp;col=6&amp;number=4.5&amp;sourceID=14","4.5")</f>
        <v>4.5</v>
      </c>
      <c r="G6579" s="4" t="str">
        <f>HYPERLINK("http://141.218.60.56/~jnz1568/getInfo.php?workbook=14_04.xlsx&amp;sheet=U0&amp;row=6579&amp;col=7&amp;number=0.00129&amp;sourceID=14","0.00129")</f>
        <v>0.00129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HYPERLINK("http://141.218.60.56/~jnz1568/getInfo.php?workbook=14_04.xlsx&amp;sheet=U0&amp;row=6580&amp;col=6&amp;number=4.6&amp;sourceID=14","4.6")</f>
        <v>4.6</v>
      </c>
      <c r="G6580" s="4" t="str">
        <f>HYPERLINK("http://141.218.60.56/~jnz1568/getInfo.php?workbook=14_04.xlsx&amp;sheet=U0&amp;row=6580&amp;col=7&amp;number=0.00129&amp;sourceID=14","0.00129")</f>
        <v>0.00129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HYPERLINK("http://141.218.60.56/~jnz1568/getInfo.php?workbook=14_04.xlsx&amp;sheet=U0&amp;row=6581&amp;col=6&amp;number=4.7&amp;sourceID=14","4.7")</f>
        <v>4.7</v>
      </c>
      <c r="G6581" s="4" t="str">
        <f>HYPERLINK("http://141.218.60.56/~jnz1568/getInfo.php?workbook=14_04.xlsx&amp;sheet=U0&amp;row=6581&amp;col=7&amp;number=0.00128&amp;sourceID=14","0.00128")</f>
        <v>0.00128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HYPERLINK("http://141.218.60.56/~jnz1568/getInfo.php?workbook=14_04.xlsx&amp;sheet=U0&amp;row=6582&amp;col=6&amp;number=4.8&amp;sourceID=14","4.8")</f>
        <v>4.8</v>
      </c>
      <c r="G6582" s="4" t="str">
        <f>HYPERLINK("http://141.218.60.56/~jnz1568/getInfo.php?workbook=14_04.xlsx&amp;sheet=U0&amp;row=6582&amp;col=7&amp;number=0.00128&amp;sourceID=14","0.00128")</f>
        <v>0.00128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HYPERLINK("http://141.218.60.56/~jnz1568/getInfo.php?workbook=14_04.xlsx&amp;sheet=U0&amp;row=6583&amp;col=6&amp;number=4.9&amp;sourceID=14","4.9")</f>
        <v>4.9</v>
      </c>
      <c r="G6583" s="4" t="str">
        <f>HYPERLINK("http://141.218.60.56/~jnz1568/getInfo.php?workbook=14_04.xlsx&amp;sheet=U0&amp;row=6583&amp;col=7&amp;number=0.00127&amp;sourceID=14","0.00127")</f>
        <v>0.00127</v>
      </c>
    </row>
    <row r="6584" spans="1:7">
      <c r="A6584" s="3">
        <v>14</v>
      </c>
      <c r="B6584" s="3">
        <v>4</v>
      </c>
      <c r="C6584" s="3">
        <v>4</v>
      </c>
      <c r="D6584" s="3">
        <v>49</v>
      </c>
      <c r="E6584" s="3">
        <v>1</v>
      </c>
      <c r="F6584" s="4" t="str">
        <f>HYPERLINK("http://141.218.60.56/~jnz1568/getInfo.php?workbook=14_04.xlsx&amp;sheet=U0&amp;row=6584&amp;col=6&amp;number=3&amp;sourceID=14","3")</f>
        <v>3</v>
      </c>
      <c r="G6584" s="4" t="str">
        <f>HYPERLINK("http://141.218.60.56/~jnz1568/getInfo.php?workbook=14_04.xlsx&amp;sheet=U0&amp;row=6584&amp;col=7&amp;number=0.00126&amp;sourceID=14","0.00126")</f>
        <v>0.00126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HYPERLINK("http://141.218.60.56/~jnz1568/getInfo.php?workbook=14_04.xlsx&amp;sheet=U0&amp;row=6585&amp;col=6&amp;number=3.1&amp;sourceID=14","3.1")</f>
        <v>3.1</v>
      </c>
      <c r="G6585" s="4" t="str">
        <f>HYPERLINK("http://141.218.60.56/~jnz1568/getInfo.php?workbook=14_04.xlsx&amp;sheet=U0&amp;row=6585&amp;col=7&amp;number=0.00126&amp;sourceID=14","0.00126")</f>
        <v>0.00126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HYPERLINK("http://141.218.60.56/~jnz1568/getInfo.php?workbook=14_04.xlsx&amp;sheet=U0&amp;row=6586&amp;col=6&amp;number=3.2&amp;sourceID=14","3.2")</f>
        <v>3.2</v>
      </c>
      <c r="G6586" s="4" t="str">
        <f>HYPERLINK("http://141.218.60.56/~jnz1568/getInfo.php?workbook=14_04.xlsx&amp;sheet=U0&amp;row=6586&amp;col=7&amp;number=0.00126&amp;sourceID=14","0.00126")</f>
        <v>0.00126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HYPERLINK("http://141.218.60.56/~jnz1568/getInfo.php?workbook=14_04.xlsx&amp;sheet=U0&amp;row=6587&amp;col=6&amp;number=3.3&amp;sourceID=14","3.3")</f>
        <v>3.3</v>
      </c>
      <c r="G6587" s="4" t="str">
        <f>HYPERLINK("http://141.218.60.56/~jnz1568/getInfo.php?workbook=14_04.xlsx&amp;sheet=U0&amp;row=6587&amp;col=7&amp;number=0.00126&amp;sourceID=14","0.00126")</f>
        <v>0.00126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HYPERLINK("http://141.218.60.56/~jnz1568/getInfo.php?workbook=14_04.xlsx&amp;sheet=U0&amp;row=6588&amp;col=6&amp;number=3.4&amp;sourceID=14","3.4")</f>
        <v>3.4</v>
      </c>
      <c r="G6588" s="4" t="str">
        <f>HYPERLINK("http://141.218.60.56/~jnz1568/getInfo.php?workbook=14_04.xlsx&amp;sheet=U0&amp;row=6588&amp;col=7&amp;number=0.00126&amp;sourceID=14","0.00126")</f>
        <v>0.00126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HYPERLINK("http://141.218.60.56/~jnz1568/getInfo.php?workbook=14_04.xlsx&amp;sheet=U0&amp;row=6589&amp;col=6&amp;number=3.5&amp;sourceID=14","3.5")</f>
        <v>3.5</v>
      </c>
      <c r="G6589" s="4" t="str">
        <f>HYPERLINK("http://141.218.60.56/~jnz1568/getInfo.php?workbook=14_04.xlsx&amp;sheet=U0&amp;row=6589&amp;col=7&amp;number=0.00126&amp;sourceID=14","0.00126")</f>
        <v>0.00126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HYPERLINK("http://141.218.60.56/~jnz1568/getInfo.php?workbook=14_04.xlsx&amp;sheet=U0&amp;row=6590&amp;col=6&amp;number=3.6&amp;sourceID=14","3.6")</f>
        <v>3.6</v>
      </c>
      <c r="G6590" s="4" t="str">
        <f>HYPERLINK("http://141.218.60.56/~jnz1568/getInfo.php?workbook=14_04.xlsx&amp;sheet=U0&amp;row=6590&amp;col=7&amp;number=0.00126&amp;sourceID=14","0.00126")</f>
        <v>0.00126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HYPERLINK("http://141.218.60.56/~jnz1568/getInfo.php?workbook=14_04.xlsx&amp;sheet=U0&amp;row=6591&amp;col=6&amp;number=3.7&amp;sourceID=14","3.7")</f>
        <v>3.7</v>
      </c>
      <c r="G6591" s="4" t="str">
        <f>HYPERLINK("http://141.218.60.56/~jnz1568/getInfo.php?workbook=14_04.xlsx&amp;sheet=U0&amp;row=6591&amp;col=7&amp;number=0.00126&amp;sourceID=14","0.00126")</f>
        <v>0.00126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HYPERLINK("http://141.218.60.56/~jnz1568/getInfo.php?workbook=14_04.xlsx&amp;sheet=U0&amp;row=6592&amp;col=6&amp;number=3.8&amp;sourceID=14","3.8")</f>
        <v>3.8</v>
      </c>
      <c r="G6592" s="4" t="str">
        <f>HYPERLINK("http://141.218.60.56/~jnz1568/getInfo.php?workbook=14_04.xlsx&amp;sheet=U0&amp;row=6592&amp;col=7&amp;number=0.00126&amp;sourceID=14","0.00126")</f>
        <v>0.00126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HYPERLINK("http://141.218.60.56/~jnz1568/getInfo.php?workbook=14_04.xlsx&amp;sheet=U0&amp;row=6593&amp;col=6&amp;number=3.9&amp;sourceID=14","3.9")</f>
        <v>3.9</v>
      </c>
      <c r="G6593" s="4" t="str">
        <f>HYPERLINK("http://141.218.60.56/~jnz1568/getInfo.php?workbook=14_04.xlsx&amp;sheet=U0&amp;row=6593&amp;col=7&amp;number=0.00126&amp;sourceID=14","0.00126")</f>
        <v>0.00126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HYPERLINK("http://141.218.60.56/~jnz1568/getInfo.php?workbook=14_04.xlsx&amp;sheet=U0&amp;row=6594&amp;col=6&amp;number=4&amp;sourceID=14","4")</f>
        <v>4</v>
      </c>
      <c r="G6594" s="4" t="str">
        <f>HYPERLINK("http://141.218.60.56/~jnz1568/getInfo.php?workbook=14_04.xlsx&amp;sheet=U0&amp;row=6594&amp;col=7&amp;number=0.00126&amp;sourceID=14","0.00126")</f>
        <v>0.00126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HYPERLINK("http://141.218.60.56/~jnz1568/getInfo.php?workbook=14_04.xlsx&amp;sheet=U0&amp;row=6595&amp;col=6&amp;number=4.1&amp;sourceID=14","4.1")</f>
        <v>4.1</v>
      </c>
      <c r="G6595" s="4" t="str">
        <f>HYPERLINK("http://141.218.60.56/~jnz1568/getInfo.php?workbook=14_04.xlsx&amp;sheet=U0&amp;row=6595&amp;col=7&amp;number=0.00126&amp;sourceID=14","0.00126")</f>
        <v>0.00126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HYPERLINK("http://141.218.60.56/~jnz1568/getInfo.php?workbook=14_04.xlsx&amp;sheet=U0&amp;row=6596&amp;col=6&amp;number=4.2&amp;sourceID=14","4.2")</f>
        <v>4.2</v>
      </c>
      <c r="G6596" s="4" t="str">
        <f>HYPERLINK("http://141.218.60.56/~jnz1568/getInfo.php?workbook=14_04.xlsx&amp;sheet=U0&amp;row=6596&amp;col=7&amp;number=0.00126&amp;sourceID=14","0.00126")</f>
        <v>0.00126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HYPERLINK("http://141.218.60.56/~jnz1568/getInfo.php?workbook=14_04.xlsx&amp;sheet=U0&amp;row=6597&amp;col=6&amp;number=4.3&amp;sourceID=14","4.3")</f>
        <v>4.3</v>
      </c>
      <c r="G6597" s="4" t="str">
        <f>HYPERLINK("http://141.218.60.56/~jnz1568/getInfo.php?workbook=14_04.xlsx&amp;sheet=U0&amp;row=6597&amp;col=7&amp;number=0.00126&amp;sourceID=14","0.00126")</f>
        <v>0.00126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HYPERLINK("http://141.218.60.56/~jnz1568/getInfo.php?workbook=14_04.xlsx&amp;sheet=U0&amp;row=6598&amp;col=6&amp;number=4.4&amp;sourceID=14","4.4")</f>
        <v>4.4</v>
      </c>
      <c r="G6598" s="4" t="str">
        <f>HYPERLINK("http://141.218.60.56/~jnz1568/getInfo.php?workbook=14_04.xlsx&amp;sheet=U0&amp;row=6598&amp;col=7&amp;number=0.00126&amp;sourceID=14","0.00126")</f>
        <v>0.00126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HYPERLINK("http://141.218.60.56/~jnz1568/getInfo.php?workbook=14_04.xlsx&amp;sheet=U0&amp;row=6599&amp;col=6&amp;number=4.5&amp;sourceID=14","4.5")</f>
        <v>4.5</v>
      </c>
      <c r="G6599" s="4" t="str">
        <f>HYPERLINK("http://141.218.60.56/~jnz1568/getInfo.php?workbook=14_04.xlsx&amp;sheet=U0&amp;row=6599&amp;col=7&amp;number=0.00126&amp;sourceID=14","0.00126")</f>
        <v>0.00126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HYPERLINK("http://141.218.60.56/~jnz1568/getInfo.php?workbook=14_04.xlsx&amp;sheet=U0&amp;row=6600&amp;col=6&amp;number=4.6&amp;sourceID=14","4.6")</f>
        <v>4.6</v>
      </c>
      <c r="G6600" s="4" t="str">
        <f>HYPERLINK("http://141.218.60.56/~jnz1568/getInfo.php?workbook=14_04.xlsx&amp;sheet=U0&amp;row=6600&amp;col=7&amp;number=0.00126&amp;sourceID=14","0.00126")</f>
        <v>0.00126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HYPERLINK("http://141.218.60.56/~jnz1568/getInfo.php?workbook=14_04.xlsx&amp;sheet=U0&amp;row=6601&amp;col=6&amp;number=4.7&amp;sourceID=14","4.7")</f>
        <v>4.7</v>
      </c>
      <c r="G6601" s="4" t="str">
        <f>HYPERLINK("http://141.218.60.56/~jnz1568/getInfo.php?workbook=14_04.xlsx&amp;sheet=U0&amp;row=6601&amp;col=7&amp;number=0.00126&amp;sourceID=14","0.00126")</f>
        <v>0.00126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HYPERLINK("http://141.218.60.56/~jnz1568/getInfo.php?workbook=14_04.xlsx&amp;sheet=U0&amp;row=6602&amp;col=6&amp;number=4.8&amp;sourceID=14","4.8")</f>
        <v>4.8</v>
      </c>
      <c r="G6602" s="4" t="str">
        <f>HYPERLINK("http://141.218.60.56/~jnz1568/getInfo.php?workbook=14_04.xlsx&amp;sheet=U0&amp;row=6602&amp;col=7&amp;number=0.00126&amp;sourceID=14","0.00126")</f>
        <v>0.00126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HYPERLINK("http://141.218.60.56/~jnz1568/getInfo.php?workbook=14_04.xlsx&amp;sheet=U0&amp;row=6603&amp;col=6&amp;number=4.9&amp;sourceID=14","4.9")</f>
        <v>4.9</v>
      </c>
      <c r="G6603" s="4" t="str">
        <f>HYPERLINK("http://141.218.60.56/~jnz1568/getInfo.php?workbook=14_04.xlsx&amp;sheet=U0&amp;row=6603&amp;col=7&amp;number=0.00126&amp;sourceID=14","0.00126")</f>
        <v>0.00126</v>
      </c>
    </row>
    <row r="6604" spans="1:7">
      <c r="A6604" s="3">
        <v>14</v>
      </c>
      <c r="B6604" s="3">
        <v>4</v>
      </c>
      <c r="C6604" s="3">
        <v>4</v>
      </c>
      <c r="D6604" s="3">
        <v>50</v>
      </c>
      <c r="E6604" s="3">
        <v>1</v>
      </c>
      <c r="F6604" s="4" t="str">
        <f>HYPERLINK("http://141.218.60.56/~jnz1568/getInfo.php?workbook=14_04.xlsx&amp;sheet=U0&amp;row=6604&amp;col=6&amp;number=3&amp;sourceID=14","3")</f>
        <v>3</v>
      </c>
      <c r="G6604" s="4" t="str">
        <f>HYPERLINK("http://141.218.60.56/~jnz1568/getInfo.php?workbook=14_04.xlsx&amp;sheet=U0&amp;row=6604&amp;col=7&amp;number=0.00405&amp;sourceID=14","0.00405")</f>
        <v>0.00405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HYPERLINK("http://141.218.60.56/~jnz1568/getInfo.php?workbook=14_04.xlsx&amp;sheet=U0&amp;row=6605&amp;col=6&amp;number=3.1&amp;sourceID=14","3.1")</f>
        <v>3.1</v>
      </c>
      <c r="G6605" s="4" t="str">
        <f>HYPERLINK("http://141.218.60.56/~jnz1568/getInfo.php?workbook=14_04.xlsx&amp;sheet=U0&amp;row=6605&amp;col=7&amp;number=0.00405&amp;sourceID=14","0.00405")</f>
        <v>0.00405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HYPERLINK("http://141.218.60.56/~jnz1568/getInfo.php?workbook=14_04.xlsx&amp;sheet=U0&amp;row=6606&amp;col=6&amp;number=3.2&amp;sourceID=14","3.2")</f>
        <v>3.2</v>
      </c>
      <c r="G6606" s="4" t="str">
        <f>HYPERLINK("http://141.218.60.56/~jnz1568/getInfo.php?workbook=14_04.xlsx&amp;sheet=U0&amp;row=6606&amp;col=7&amp;number=0.00405&amp;sourceID=14","0.00405")</f>
        <v>0.00405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HYPERLINK("http://141.218.60.56/~jnz1568/getInfo.php?workbook=14_04.xlsx&amp;sheet=U0&amp;row=6607&amp;col=6&amp;number=3.3&amp;sourceID=14","3.3")</f>
        <v>3.3</v>
      </c>
      <c r="G6607" s="4" t="str">
        <f>HYPERLINK("http://141.218.60.56/~jnz1568/getInfo.php?workbook=14_04.xlsx&amp;sheet=U0&amp;row=6607&amp;col=7&amp;number=0.00405&amp;sourceID=14","0.00405")</f>
        <v>0.00405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HYPERLINK("http://141.218.60.56/~jnz1568/getInfo.php?workbook=14_04.xlsx&amp;sheet=U0&amp;row=6608&amp;col=6&amp;number=3.4&amp;sourceID=14","3.4")</f>
        <v>3.4</v>
      </c>
      <c r="G6608" s="4" t="str">
        <f>HYPERLINK("http://141.218.60.56/~jnz1568/getInfo.php?workbook=14_04.xlsx&amp;sheet=U0&amp;row=6608&amp;col=7&amp;number=0.00405&amp;sourceID=14","0.00405")</f>
        <v>0.00405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HYPERLINK("http://141.218.60.56/~jnz1568/getInfo.php?workbook=14_04.xlsx&amp;sheet=U0&amp;row=6609&amp;col=6&amp;number=3.5&amp;sourceID=14","3.5")</f>
        <v>3.5</v>
      </c>
      <c r="G6609" s="4" t="str">
        <f>HYPERLINK("http://141.218.60.56/~jnz1568/getInfo.php?workbook=14_04.xlsx&amp;sheet=U0&amp;row=6609&amp;col=7&amp;number=0.00405&amp;sourceID=14","0.00405")</f>
        <v>0.00405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HYPERLINK("http://141.218.60.56/~jnz1568/getInfo.php?workbook=14_04.xlsx&amp;sheet=U0&amp;row=6610&amp;col=6&amp;number=3.6&amp;sourceID=14","3.6")</f>
        <v>3.6</v>
      </c>
      <c r="G6610" s="4" t="str">
        <f>HYPERLINK("http://141.218.60.56/~jnz1568/getInfo.php?workbook=14_04.xlsx&amp;sheet=U0&amp;row=6610&amp;col=7&amp;number=0.00405&amp;sourceID=14","0.00405")</f>
        <v>0.00405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HYPERLINK("http://141.218.60.56/~jnz1568/getInfo.php?workbook=14_04.xlsx&amp;sheet=U0&amp;row=6611&amp;col=6&amp;number=3.7&amp;sourceID=14","3.7")</f>
        <v>3.7</v>
      </c>
      <c r="G6611" s="4" t="str">
        <f>HYPERLINK("http://141.218.60.56/~jnz1568/getInfo.php?workbook=14_04.xlsx&amp;sheet=U0&amp;row=6611&amp;col=7&amp;number=0.00405&amp;sourceID=14","0.00405")</f>
        <v>0.00405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HYPERLINK("http://141.218.60.56/~jnz1568/getInfo.php?workbook=14_04.xlsx&amp;sheet=U0&amp;row=6612&amp;col=6&amp;number=3.8&amp;sourceID=14","3.8")</f>
        <v>3.8</v>
      </c>
      <c r="G6612" s="4" t="str">
        <f>HYPERLINK("http://141.218.60.56/~jnz1568/getInfo.php?workbook=14_04.xlsx&amp;sheet=U0&amp;row=6612&amp;col=7&amp;number=0.00405&amp;sourceID=14","0.00405")</f>
        <v>0.00405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HYPERLINK("http://141.218.60.56/~jnz1568/getInfo.php?workbook=14_04.xlsx&amp;sheet=U0&amp;row=6613&amp;col=6&amp;number=3.9&amp;sourceID=14","3.9")</f>
        <v>3.9</v>
      </c>
      <c r="G6613" s="4" t="str">
        <f>HYPERLINK("http://141.218.60.56/~jnz1568/getInfo.php?workbook=14_04.xlsx&amp;sheet=U0&amp;row=6613&amp;col=7&amp;number=0.00405&amp;sourceID=14","0.00405")</f>
        <v>0.00405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HYPERLINK("http://141.218.60.56/~jnz1568/getInfo.php?workbook=14_04.xlsx&amp;sheet=U0&amp;row=6614&amp;col=6&amp;number=4&amp;sourceID=14","4")</f>
        <v>4</v>
      </c>
      <c r="G6614" s="4" t="str">
        <f>HYPERLINK("http://141.218.60.56/~jnz1568/getInfo.php?workbook=14_04.xlsx&amp;sheet=U0&amp;row=6614&amp;col=7&amp;number=0.00405&amp;sourceID=14","0.00405")</f>
        <v>0.00405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HYPERLINK("http://141.218.60.56/~jnz1568/getInfo.php?workbook=14_04.xlsx&amp;sheet=U0&amp;row=6615&amp;col=6&amp;number=4.1&amp;sourceID=14","4.1")</f>
        <v>4.1</v>
      </c>
      <c r="G6615" s="4" t="str">
        <f>HYPERLINK("http://141.218.60.56/~jnz1568/getInfo.php?workbook=14_04.xlsx&amp;sheet=U0&amp;row=6615&amp;col=7&amp;number=0.00405&amp;sourceID=14","0.00405")</f>
        <v>0.00405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HYPERLINK("http://141.218.60.56/~jnz1568/getInfo.php?workbook=14_04.xlsx&amp;sheet=U0&amp;row=6616&amp;col=6&amp;number=4.2&amp;sourceID=14","4.2")</f>
        <v>4.2</v>
      </c>
      <c r="G6616" s="4" t="str">
        <f>HYPERLINK("http://141.218.60.56/~jnz1568/getInfo.php?workbook=14_04.xlsx&amp;sheet=U0&amp;row=6616&amp;col=7&amp;number=0.00405&amp;sourceID=14","0.00405")</f>
        <v>0.00405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HYPERLINK("http://141.218.60.56/~jnz1568/getInfo.php?workbook=14_04.xlsx&amp;sheet=U0&amp;row=6617&amp;col=6&amp;number=4.3&amp;sourceID=14","4.3")</f>
        <v>4.3</v>
      </c>
      <c r="G6617" s="4" t="str">
        <f>HYPERLINK("http://141.218.60.56/~jnz1568/getInfo.php?workbook=14_04.xlsx&amp;sheet=U0&amp;row=6617&amp;col=7&amp;number=0.00405&amp;sourceID=14","0.00405")</f>
        <v>0.00405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HYPERLINK("http://141.218.60.56/~jnz1568/getInfo.php?workbook=14_04.xlsx&amp;sheet=U0&amp;row=6618&amp;col=6&amp;number=4.4&amp;sourceID=14","4.4")</f>
        <v>4.4</v>
      </c>
      <c r="G6618" s="4" t="str">
        <f>HYPERLINK("http://141.218.60.56/~jnz1568/getInfo.php?workbook=14_04.xlsx&amp;sheet=U0&amp;row=6618&amp;col=7&amp;number=0.00405&amp;sourceID=14","0.00405")</f>
        <v>0.00405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HYPERLINK("http://141.218.60.56/~jnz1568/getInfo.php?workbook=14_04.xlsx&amp;sheet=U0&amp;row=6619&amp;col=6&amp;number=4.5&amp;sourceID=14","4.5")</f>
        <v>4.5</v>
      </c>
      <c r="G6619" s="4" t="str">
        <f>HYPERLINK("http://141.218.60.56/~jnz1568/getInfo.php?workbook=14_04.xlsx&amp;sheet=U0&amp;row=6619&amp;col=7&amp;number=0.00405&amp;sourceID=14","0.00405")</f>
        <v>0.00405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HYPERLINK("http://141.218.60.56/~jnz1568/getInfo.php?workbook=14_04.xlsx&amp;sheet=U0&amp;row=6620&amp;col=6&amp;number=4.6&amp;sourceID=14","4.6")</f>
        <v>4.6</v>
      </c>
      <c r="G6620" s="4" t="str">
        <f>HYPERLINK("http://141.218.60.56/~jnz1568/getInfo.php?workbook=14_04.xlsx&amp;sheet=U0&amp;row=6620&amp;col=7&amp;number=0.00404&amp;sourceID=14","0.00404")</f>
        <v>0.00404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HYPERLINK("http://141.218.60.56/~jnz1568/getInfo.php?workbook=14_04.xlsx&amp;sheet=U0&amp;row=6621&amp;col=6&amp;number=4.7&amp;sourceID=14","4.7")</f>
        <v>4.7</v>
      </c>
      <c r="G6621" s="4" t="str">
        <f>HYPERLINK("http://141.218.60.56/~jnz1568/getInfo.php?workbook=14_04.xlsx&amp;sheet=U0&amp;row=6621&amp;col=7&amp;number=0.00404&amp;sourceID=14","0.00404")</f>
        <v>0.00404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HYPERLINK("http://141.218.60.56/~jnz1568/getInfo.php?workbook=14_04.xlsx&amp;sheet=U0&amp;row=6622&amp;col=6&amp;number=4.8&amp;sourceID=14","4.8")</f>
        <v>4.8</v>
      </c>
      <c r="G6622" s="4" t="str">
        <f>HYPERLINK("http://141.218.60.56/~jnz1568/getInfo.php?workbook=14_04.xlsx&amp;sheet=U0&amp;row=6622&amp;col=7&amp;number=0.00404&amp;sourceID=14","0.00404")</f>
        <v>0.00404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HYPERLINK("http://141.218.60.56/~jnz1568/getInfo.php?workbook=14_04.xlsx&amp;sheet=U0&amp;row=6623&amp;col=6&amp;number=4.9&amp;sourceID=14","4.9")</f>
        <v>4.9</v>
      </c>
      <c r="G6623" s="4" t="str">
        <f>HYPERLINK("http://141.218.60.56/~jnz1568/getInfo.php?workbook=14_04.xlsx&amp;sheet=U0&amp;row=6623&amp;col=7&amp;number=0.00404&amp;sourceID=14","0.00404")</f>
        <v>0.00404</v>
      </c>
    </row>
    <row r="6624" spans="1:7">
      <c r="A6624" s="3">
        <v>14</v>
      </c>
      <c r="B6624" s="3">
        <v>4</v>
      </c>
      <c r="C6624" s="3">
        <v>4</v>
      </c>
      <c r="D6624" s="3">
        <v>51</v>
      </c>
      <c r="E6624" s="3">
        <v>1</v>
      </c>
      <c r="F6624" s="4" t="str">
        <f>HYPERLINK("http://141.218.60.56/~jnz1568/getInfo.php?workbook=14_04.xlsx&amp;sheet=U0&amp;row=6624&amp;col=6&amp;number=3&amp;sourceID=14","3")</f>
        <v>3</v>
      </c>
      <c r="G6624" s="4" t="str">
        <f>HYPERLINK("http://141.218.60.56/~jnz1568/getInfo.php?workbook=14_04.xlsx&amp;sheet=U0&amp;row=6624&amp;col=7&amp;number=0.0328&amp;sourceID=14","0.0328")</f>
        <v>0.0328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HYPERLINK("http://141.218.60.56/~jnz1568/getInfo.php?workbook=14_04.xlsx&amp;sheet=U0&amp;row=6625&amp;col=6&amp;number=3.1&amp;sourceID=14","3.1")</f>
        <v>3.1</v>
      </c>
      <c r="G6625" s="4" t="str">
        <f>HYPERLINK("http://141.218.60.56/~jnz1568/getInfo.php?workbook=14_04.xlsx&amp;sheet=U0&amp;row=6625&amp;col=7&amp;number=0.0328&amp;sourceID=14","0.0328")</f>
        <v>0.0328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HYPERLINK("http://141.218.60.56/~jnz1568/getInfo.php?workbook=14_04.xlsx&amp;sheet=U0&amp;row=6626&amp;col=6&amp;number=3.2&amp;sourceID=14","3.2")</f>
        <v>3.2</v>
      </c>
      <c r="G6626" s="4" t="str">
        <f>HYPERLINK("http://141.218.60.56/~jnz1568/getInfo.php?workbook=14_04.xlsx&amp;sheet=U0&amp;row=6626&amp;col=7&amp;number=0.0328&amp;sourceID=14","0.0328")</f>
        <v>0.0328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HYPERLINK("http://141.218.60.56/~jnz1568/getInfo.php?workbook=14_04.xlsx&amp;sheet=U0&amp;row=6627&amp;col=6&amp;number=3.3&amp;sourceID=14","3.3")</f>
        <v>3.3</v>
      </c>
      <c r="G6627" s="4" t="str">
        <f>HYPERLINK("http://141.218.60.56/~jnz1568/getInfo.php?workbook=14_04.xlsx&amp;sheet=U0&amp;row=6627&amp;col=7&amp;number=0.0328&amp;sourceID=14","0.0328")</f>
        <v>0.0328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HYPERLINK("http://141.218.60.56/~jnz1568/getInfo.php?workbook=14_04.xlsx&amp;sheet=U0&amp;row=6628&amp;col=6&amp;number=3.4&amp;sourceID=14","3.4")</f>
        <v>3.4</v>
      </c>
      <c r="G6628" s="4" t="str">
        <f>HYPERLINK("http://141.218.60.56/~jnz1568/getInfo.php?workbook=14_04.xlsx&amp;sheet=U0&amp;row=6628&amp;col=7&amp;number=0.0328&amp;sourceID=14","0.0328")</f>
        <v>0.0328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HYPERLINK("http://141.218.60.56/~jnz1568/getInfo.php?workbook=14_04.xlsx&amp;sheet=U0&amp;row=6629&amp;col=6&amp;number=3.5&amp;sourceID=14","3.5")</f>
        <v>3.5</v>
      </c>
      <c r="G6629" s="4" t="str">
        <f>HYPERLINK("http://141.218.60.56/~jnz1568/getInfo.php?workbook=14_04.xlsx&amp;sheet=U0&amp;row=6629&amp;col=7&amp;number=0.0328&amp;sourceID=14","0.0328")</f>
        <v>0.0328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HYPERLINK("http://141.218.60.56/~jnz1568/getInfo.php?workbook=14_04.xlsx&amp;sheet=U0&amp;row=6630&amp;col=6&amp;number=3.6&amp;sourceID=14","3.6")</f>
        <v>3.6</v>
      </c>
      <c r="G6630" s="4" t="str">
        <f>HYPERLINK("http://141.218.60.56/~jnz1568/getInfo.php?workbook=14_04.xlsx&amp;sheet=U0&amp;row=6630&amp;col=7&amp;number=0.0328&amp;sourceID=14","0.0328")</f>
        <v>0.0328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HYPERLINK("http://141.218.60.56/~jnz1568/getInfo.php?workbook=14_04.xlsx&amp;sheet=U0&amp;row=6631&amp;col=6&amp;number=3.7&amp;sourceID=14","3.7")</f>
        <v>3.7</v>
      </c>
      <c r="G6631" s="4" t="str">
        <f>HYPERLINK("http://141.218.60.56/~jnz1568/getInfo.php?workbook=14_04.xlsx&amp;sheet=U0&amp;row=6631&amp;col=7&amp;number=0.0328&amp;sourceID=14","0.0328")</f>
        <v>0.0328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HYPERLINK("http://141.218.60.56/~jnz1568/getInfo.php?workbook=14_04.xlsx&amp;sheet=U0&amp;row=6632&amp;col=6&amp;number=3.8&amp;sourceID=14","3.8")</f>
        <v>3.8</v>
      </c>
      <c r="G6632" s="4" t="str">
        <f>HYPERLINK("http://141.218.60.56/~jnz1568/getInfo.php?workbook=14_04.xlsx&amp;sheet=U0&amp;row=6632&amp;col=7&amp;number=0.0328&amp;sourceID=14","0.0328")</f>
        <v>0.0328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HYPERLINK("http://141.218.60.56/~jnz1568/getInfo.php?workbook=14_04.xlsx&amp;sheet=U0&amp;row=6633&amp;col=6&amp;number=3.9&amp;sourceID=14","3.9")</f>
        <v>3.9</v>
      </c>
      <c r="G6633" s="4" t="str">
        <f>HYPERLINK("http://141.218.60.56/~jnz1568/getInfo.php?workbook=14_04.xlsx&amp;sheet=U0&amp;row=6633&amp;col=7&amp;number=0.0328&amp;sourceID=14","0.0328")</f>
        <v>0.0328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HYPERLINK("http://141.218.60.56/~jnz1568/getInfo.php?workbook=14_04.xlsx&amp;sheet=U0&amp;row=6634&amp;col=6&amp;number=4&amp;sourceID=14","4")</f>
        <v>4</v>
      </c>
      <c r="G6634" s="4" t="str">
        <f>HYPERLINK("http://141.218.60.56/~jnz1568/getInfo.php?workbook=14_04.xlsx&amp;sheet=U0&amp;row=6634&amp;col=7&amp;number=0.0328&amp;sourceID=14","0.0328")</f>
        <v>0.0328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HYPERLINK("http://141.218.60.56/~jnz1568/getInfo.php?workbook=14_04.xlsx&amp;sheet=U0&amp;row=6635&amp;col=6&amp;number=4.1&amp;sourceID=14","4.1")</f>
        <v>4.1</v>
      </c>
      <c r="G6635" s="4" t="str">
        <f>HYPERLINK("http://141.218.60.56/~jnz1568/getInfo.php?workbook=14_04.xlsx&amp;sheet=U0&amp;row=6635&amp;col=7&amp;number=0.0328&amp;sourceID=14","0.0328")</f>
        <v>0.0328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HYPERLINK("http://141.218.60.56/~jnz1568/getInfo.php?workbook=14_04.xlsx&amp;sheet=U0&amp;row=6636&amp;col=6&amp;number=4.2&amp;sourceID=14","4.2")</f>
        <v>4.2</v>
      </c>
      <c r="G6636" s="4" t="str">
        <f>HYPERLINK("http://141.218.60.56/~jnz1568/getInfo.php?workbook=14_04.xlsx&amp;sheet=U0&amp;row=6636&amp;col=7&amp;number=0.0328&amp;sourceID=14","0.0328")</f>
        <v>0.0328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HYPERLINK("http://141.218.60.56/~jnz1568/getInfo.php?workbook=14_04.xlsx&amp;sheet=U0&amp;row=6637&amp;col=6&amp;number=4.3&amp;sourceID=14","4.3")</f>
        <v>4.3</v>
      </c>
      <c r="G6637" s="4" t="str">
        <f>HYPERLINK("http://141.218.60.56/~jnz1568/getInfo.php?workbook=14_04.xlsx&amp;sheet=U0&amp;row=6637&amp;col=7&amp;number=0.0328&amp;sourceID=14","0.0328")</f>
        <v>0.0328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HYPERLINK("http://141.218.60.56/~jnz1568/getInfo.php?workbook=14_04.xlsx&amp;sheet=U0&amp;row=6638&amp;col=6&amp;number=4.4&amp;sourceID=14","4.4")</f>
        <v>4.4</v>
      </c>
      <c r="G6638" s="4" t="str">
        <f>HYPERLINK("http://141.218.60.56/~jnz1568/getInfo.php?workbook=14_04.xlsx&amp;sheet=U0&amp;row=6638&amp;col=7&amp;number=0.0328&amp;sourceID=14","0.0328")</f>
        <v>0.0328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HYPERLINK("http://141.218.60.56/~jnz1568/getInfo.php?workbook=14_04.xlsx&amp;sheet=U0&amp;row=6639&amp;col=6&amp;number=4.5&amp;sourceID=14","4.5")</f>
        <v>4.5</v>
      </c>
      <c r="G6639" s="4" t="str">
        <f>HYPERLINK("http://141.218.60.56/~jnz1568/getInfo.php?workbook=14_04.xlsx&amp;sheet=U0&amp;row=6639&amp;col=7&amp;number=0.0328&amp;sourceID=14","0.0328")</f>
        <v>0.0328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HYPERLINK("http://141.218.60.56/~jnz1568/getInfo.php?workbook=14_04.xlsx&amp;sheet=U0&amp;row=6640&amp;col=6&amp;number=4.6&amp;sourceID=14","4.6")</f>
        <v>4.6</v>
      </c>
      <c r="G6640" s="4" t="str">
        <f>HYPERLINK("http://141.218.60.56/~jnz1568/getInfo.php?workbook=14_04.xlsx&amp;sheet=U0&amp;row=6640&amp;col=7&amp;number=0.0328&amp;sourceID=14","0.0328")</f>
        <v>0.0328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HYPERLINK("http://141.218.60.56/~jnz1568/getInfo.php?workbook=14_04.xlsx&amp;sheet=U0&amp;row=6641&amp;col=6&amp;number=4.7&amp;sourceID=14","4.7")</f>
        <v>4.7</v>
      </c>
      <c r="G6641" s="4" t="str">
        <f>HYPERLINK("http://141.218.60.56/~jnz1568/getInfo.php?workbook=14_04.xlsx&amp;sheet=U0&amp;row=6641&amp;col=7&amp;number=0.0328&amp;sourceID=14","0.0328")</f>
        <v>0.0328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HYPERLINK("http://141.218.60.56/~jnz1568/getInfo.php?workbook=14_04.xlsx&amp;sheet=U0&amp;row=6642&amp;col=6&amp;number=4.8&amp;sourceID=14","4.8")</f>
        <v>4.8</v>
      </c>
      <c r="G6642" s="4" t="str">
        <f>HYPERLINK("http://141.218.60.56/~jnz1568/getInfo.php?workbook=14_04.xlsx&amp;sheet=U0&amp;row=6642&amp;col=7&amp;number=0.0328&amp;sourceID=14","0.0328")</f>
        <v>0.0328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HYPERLINK("http://141.218.60.56/~jnz1568/getInfo.php?workbook=14_04.xlsx&amp;sheet=U0&amp;row=6643&amp;col=6&amp;number=4.9&amp;sourceID=14","4.9")</f>
        <v>4.9</v>
      </c>
      <c r="G6643" s="4" t="str">
        <f>HYPERLINK("http://141.218.60.56/~jnz1568/getInfo.php?workbook=14_04.xlsx&amp;sheet=U0&amp;row=6643&amp;col=7&amp;number=0.0328&amp;sourceID=14","0.0328")</f>
        <v>0.0328</v>
      </c>
    </row>
    <row r="6644" spans="1:7">
      <c r="A6644" s="3">
        <v>14</v>
      </c>
      <c r="B6644" s="3">
        <v>4</v>
      </c>
      <c r="C6644" s="3">
        <v>4</v>
      </c>
      <c r="D6644" s="3">
        <v>52</v>
      </c>
      <c r="E6644" s="3">
        <v>1</v>
      </c>
      <c r="F6644" s="4" t="str">
        <f>HYPERLINK("http://141.218.60.56/~jnz1568/getInfo.php?workbook=14_04.xlsx&amp;sheet=U0&amp;row=6644&amp;col=6&amp;number=3&amp;sourceID=14","3")</f>
        <v>3</v>
      </c>
      <c r="G6644" s="4" t="str">
        <f>HYPERLINK("http://141.218.60.56/~jnz1568/getInfo.php?workbook=14_04.xlsx&amp;sheet=U0&amp;row=6644&amp;col=7&amp;number=0.00403&amp;sourceID=14","0.00403")</f>
        <v>0.00403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HYPERLINK("http://141.218.60.56/~jnz1568/getInfo.php?workbook=14_04.xlsx&amp;sheet=U0&amp;row=6645&amp;col=6&amp;number=3.1&amp;sourceID=14","3.1")</f>
        <v>3.1</v>
      </c>
      <c r="G6645" s="4" t="str">
        <f>HYPERLINK("http://141.218.60.56/~jnz1568/getInfo.php?workbook=14_04.xlsx&amp;sheet=U0&amp;row=6645&amp;col=7&amp;number=0.00403&amp;sourceID=14","0.00403")</f>
        <v>0.00403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HYPERLINK("http://141.218.60.56/~jnz1568/getInfo.php?workbook=14_04.xlsx&amp;sheet=U0&amp;row=6646&amp;col=6&amp;number=3.2&amp;sourceID=14","3.2")</f>
        <v>3.2</v>
      </c>
      <c r="G6646" s="4" t="str">
        <f>HYPERLINK("http://141.218.60.56/~jnz1568/getInfo.php?workbook=14_04.xlsx&amp;sheet=U0&amp;row=6646&amp;col=7&amp;number=0.00403&amp;sourceID=14","0.00403")</f>
        <v>0.00403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HYPERLINK("http://141.218.60.56/~jnz1568/getInfo.php?workbook=14_04.xlsx&amp;sheet=U0&amp;row=6647&amp;col=6&amp;number=3.3&amp;sourceID=14","3.3")</f>
        <v>3.3</v>
      </c>
      <c r="G6647" s="4" t="str">
        <f>HYPERLINK("http://141.218.60.56/~jnz1568/getInfo.php?workbook=14_04.xlsx&amp;sheet=U0&amp;row=6647&amp;col=7&amp;number=0.00403&amp;sourceID=14","0.00403")</f>
        <v>0.00403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HYPERLINK("http://141.218.60.56/~jnz1568/getInfo.php?workbook=14_04.xlsx&amp;sheet=U0&amp;row=6648&amp;col=6&amp;number=3.4&amp;sourceID=14","3.4")</f>
        <v>3.4</v>
      </c>
      <c r="G6648" s="4" t="str">
        <f>HYPERLINK("http://141.218.60.56/~jnz1568/getInfo.php?workbook=14_04.xlsx&amp;sheet=U0&amp;row=6648&amp;col=7&amp;number=0.00403&amp;sourceID=14","0.00403")</f>
        <v>0.00403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HYPERLINK("http://141.218.60.56/~jnz1568/getInfo.php?workbook=14_04.xlsx&amp;sheet=U0&amp;row=6649&amp;col=6&amp;number=3.5&amp;sourceID=14","3.5")</f>
        <v>3.5</v>
      </c>
      <c r="G6649" s="4" t="str">
        <f>HYPERLINK("http://141.218.60.56/~jnz1568/getInfo.php?workbook=14_04.xlsx&amp;sheet=U0&amp;row=6649&amp;col=7&amp;number=0.00403&amp;sourceID=14","0.00403")</f>
        <v>0.00403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HYPERLINK("http://141.218.60.56/~jnz1568/getInfo.php?workbook=14_04.xlsx&amp;sheet=U0&amp;row=6650&amp;col=6&amp;number=3.6&amp;sourceID=14","3.6")</f>
        <v>3.6</v>
      </c>
      <c r="G6650" s="4" t="str">
        <f>HYPERLINK("http://141.218.60.56/~jnz1568/getInfo.php?workbook=14_04.xlsx&amp;sheet=U0&amp;row=6650&amp;col=7&amp;number=0.00403&amp;sourceID=14","0.00403")</f>
        <v>0.00403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HYPERLINK("http://141.218.60.56/~jnz1568/getInfo.php?workbook=14_04.xlsx&amp;sheet=U0&amp;row=6651&amp;col=6&amp;number=3.7&amp;sourceID=14","3.7")</f>
        <v>3.7</v>
      </c>
      <c r="G6651" s="4" t="str">
        <f>HYPERLINK("http://141.218.60.56/~jnz1568/getInfo.php?workbook=14_04.xlsx&amp;sheet=U0&amp;row=6651&amp;col=7&amp;number=0.00403&amp;sourceID=14","0.00403")</f>
        <v>0.00403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HYPERLINK("http://141.218.60.56/~jnz1568/getInfo.php?workbook=14_04.xlsx&amp;sheet=U0&amp;row=6652&amp;col=6&amp;number=3.8&amp;sourceID=14","3.8")</f>
        <v>3.8</v>
      </c>
      <c r="G6652" s="4" t="str">
        <f>HYPERLINK("http://141.218.60.56/~jnz1568/getInfo.php?workbook=14_04.xlsx&amp;sheet=U0&amp;row=6652&amp;col=7&amp;number=0.00403&amp;sourceID=14","0.00403")</f>
        <v>0.00403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HYPERLINK("http://141.218.60.56/~jnz1568/getInfo.php?workbook=14_04.xlsx&amp;sheet=U0&amp;row=6653&amp;col=6&amp;number=3.9&amp;sourceID=14","3.9")</f>
        <v>3.9</v>
      </c>
      <c r="G6653" s="4" t="str">
        <f>HYPERLINK("http://141.218.60.56/~jnz1568/getInfo.php?workbook=14_04.xlsx&amp;sheet=U0&amp;row=6653&amp;col=7&amp;number=0.00403&amp;sourceID=14","0.00403")</f>
        <v>0.00403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HYPERLINK("http://141.218.60.56/~jnz1568/getInfo.php?workbook=14_04.xlsx&amp;sheet=U0&amp;row=6654&amp;col=6&amp;number=4&amp;sourceID=14","4")</f>
        <v>4</v>
      </c>
      <c r="G6654" s="4" t="str">
        <f>HYPERLINK("http://141.218.60.56/~jnz1568/getInfo.php?workbook=14_04.xlsx&amp;sheet=U0&amp;row=6654&amp;col=7&amp;number=0.00403&amp;sourceID=14","0.00403")</f>
        <v>0.00403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HYPERLINK("http://141.218.60.56/~jnz1568/getInfo.php?workbook=14_04.xlsx&amp;sheet=U0&amp;row=6655&amp;col=6&amp;number=4.1&amp;sourceID=14","4.1")</f>
        <v>4.1</v>
      </c>
      <c r="G6655" s="4" t="str">
        <f>HYPERLINK("http://141.218.60.56/~jnz1568/getInfo.php?workbook=14_04.xlsx&amp;sheet=U0&amp;row=6655&amp;col=7&amp;number=0.00402&amp;sourceID=14","0.00402")</f>
        <v>0.00402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HYPERLINK("http://141.218.60.56/~jnz1568/getInfo.php?workbook=14_04.xlsx&amp;sheet=U0&amp;row=6656&amp;col=6&amp;number=4.2&amp;sourceID=14","4.2")</f>
        <v>4.2</v>
      </c>
      <c r="G6656" s="4" t="str">
        <f>HYPERLINK("http://141.218.60.56/~jnz1568/getInfo.php?workbook=14_04.xlsx&amp;sheet=U0&amp;row=6656&amp;col=7&amp;number=0.00402&amp;sourceID=14","0.00402")</f>
        <v>0.00402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HYPERLINK("http://141.218.60.56/~jnz1568/getInfo.php?workbook=14_04.xlsx&amp;sheet=U0&amp;row=6657&amp;col=6&amp;number=4.3&amp;sourceID=14","4.3")</f>
        <v>4.3</v>
      </c>
      <c r="G6657" s="4" t="str">
        <f>HYPERLINK("http://141.218.60.56/~jnz1568/getInfo.php?workbook=14_04.xlsx&amp;sheet=U0&amp;row=6657&amp;col=7&amp;number=0.00402&amp;sourceID=14","0.00402")</f>
        <v>0.00402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HYPERLINK("http://141.218.60.56/~jnz1568/getInfo.php?workbook=14_04.xlsx&amp;sheet=U0&amp;row=6658&amp;col=6&amp;number=4.4&amp;sourceID=14","4.4")</f>
        <v>4.4</v>
      </c>
      <c r="G6658" s="4" t="str">
        <f>HYPERLINK("http://141.218.60.56/~jnz1568/getInfo.php?workbook=14_04.xlsx&amp;sheet=U0&amp;row=6658&amp;col=7&amp;number=0.00402&amp;sourceID=14","0.00402")</f>
        <v>0.00402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HYPERLINK("http://141.218.60.56/~jnz1568/getInfo.php?workbook=14_04.xlsx&amp;sheet=U0&amp;row=6659&amp;col=6&amp;number=4.5&amp;sourceID=14","4.5")</f>
        <v>4.5</v>
      </c>
      <c r="G6659" s="4" t="str">
        <f>HYPERLINK("http://141.218.60.56/~jnz1568/getInfo.php?workbook=14_04.xlsx&amp;sheet=U0&amp;row=6659&amp;col=7&amp;number=0.00401&amp;sourceID=14","0.00401")</f>
        <v>0.00401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HYPERLINK("http://141.218.60.56/~jnz1568/getInfo.php?workbook=14_04.xlsx&amp;sheet=U0&amp;row=6660&amp;col=6&amp;number=4.6&amp;sourceID=14","4.6")</f>
        <v>4.6</v>
      </c>
      <c r="G6660" s="4" t="str">
        <f>HYPERLINK("http://141.218.60.56/~jnz1568/getInfo.php?workbook=14_04.xlsx&amp;sheet=U0&amp;row=6660&amp;col=7&amp;number=0.004&amp;sourceID=14","0.004")</f>
        <v>0.004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HYPERLINK("http://141.218.60.56/~jnz1568/getInfo.php?workbook=14_04.xlsx&amp;sheet=U0&amp;row=6661&amp;col=6&amp;number=4.7&amp;sourceID=14","4.7")</f>
        <v>4.7</v>
      </c>
      <c r="G6661" s="4" t="str">
        <f>HYPERLINK("http://141.218.60.56/~jnz1568/getInfo.php?workbook=14_04.xlsx&amp;sheet=U0&amp;row=6661&amp;col=7&amp;number=0.004&amp;sourceID=14","0.004")</f>
        <v>0.004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HYPERLINK("http://141.218.60.56/~jnz1568/getInfo.php?workbook=14_04.xlsx&amp;sheet=U0&amp;row=6662&amp;col=6&amp;number=4.8&amp;sourceID=14","4.8")</f>
        <v>4.8</v>
      </c>
      <c r="G6662" s="4" t="str">
        <f>HYPERLINK("http://141.218.60.56/~jnz1568/getInfo.php?workbook=14_04.xlsx&amp;sheet=U0&amp;row=6662&amp;col=7&amp;number=0.00399&amp;sourceID=14","0.00399")</f>
        <v>0.00399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HYPERLINK("http://141.218.60.56/~jnz1568/getInfo.php?workbook=14_04.xlsx&amp;sheet=U0&amp;row=6663&amp;col=6&amp;number=4.9&amp;sourceID=14","4.9")</f>
        <v>4.9</v>
      </c>
      <c r="G6663" s="4" t="str">
        <f>HYPERLINK("http://141.218.60.56/~jnz1568/getInfo.php?workbook=14_04.xlsx&amp;sheet=U0&amp;row=6663&amp;col=7&amp;number=0.00397&amp;sourceID=14","0.00397")</f>
        <v>0.00397</v>
      </c>
    </row>
    <row r="6664" spans="1:7">
      <c r="A6664" s="3">
        <v>14</v>
      </c>
      <c r="B6664" s="3">
        <v>4</v>
      </c>
      <c r="C6664" s="3">
        <v>4</v>
      </c>
      <c r="D6664" s="3">
        <v>53</v>
      </c>
      <c r="E6664" s="3">
        <v>1</v>
      </c>
      <c r="F6664" s="4" t="str">
        <f>HYPERLINK("http://141.218.60.56/~jnz1568/getInfo.php?workbook=14_04.xlsx&amp;sheet=U0&amp;row=6664&amp;col=6&amp;number=3&amp;sourceID=14","3")</f>
        <v>3</v>
      </c>
      <c r="G6664" s="4" t="str">
        <f>HYPERLINK("http://141.218.60.56/~jnz1568/getInfo.php?workbook=14_04.xlsx&amp;sheet=U0&amp;row=6664&amp;col=7&amp;number=0.00492&amp;sourceID=14","0.00492")</f>
        <v>0.00492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HYPERLINK("http://141.218.60.56/~jnz1568/getInfo.php?workbook=14_04.xlsx&amp;sheet=U0&amp;row=6665&amp;col=6&amp;number=3.1&amp;sourceID=14","3.1")</f>
        <v>3.1</v>
      </c>
      <c r="G6665" s="4" t="str">
        <f>HYPERLINK("http://141.218.60.56/~jnz1568/getInfo.php?workbook=14_04.xlsx&amp;sheet=U0&amp;row=6665&amp;col=7&amp;number=0.00492&amp;sourceID=14","0.00492")</f>
        <v>0.00492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HYPERLINK("http://141.218.60.56/~jnz1568/getInfo.php?workbook=14_04.xlsx&amp;sheet=U0&amp;row=6666&amp;col=6&amp;number=3.2&amp;sourceID=14","3.2")</f>
        <v>3.2</v>
      </c>
      <c r="G6666" s="4" t="str">
        <f>HYPERLINK("http://141.218.60.56/~jnz1568/getInfo.php?workbook=14_04.xlsx&amp;sheet=U0&amp;row=6666&amp;col=7&amp;number=0.00492&amp;sourceID=14","0.00492")</f>
        <v>0.00492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HYPERLINK("http://141.218.60.56/~jnz1568/getInfo.php?workbook=14_04.xlsx&amp;sheet=U0&amp;row=6667&amp;col=6&amp;number=3.3&amp;sourceID=14","3.3")</f>
        <v>3.3</v>
      </c>
      <c r="G6667" s="4" t="str">
        <f>HYPERLINK("http://141.218.60.56/~jnz1568/getInfo.php?workbook=14_04.xlsx&amp;sheet=U0&amp;row=6667&amp;col=7&amp;number=0.00492&amp;sourceID=14","0.00492")</f>
        <v>0.00492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HYPERLINK("http://141.218.60.56/~jnz1568/getInfo.php?workbook=14_04.xlsx&amp;sheet=U0&amp;row=6668&amp;col=6&amp;number=3.4&amp;sourceID=14","3.4")</f>
        <v>3.4</v>
      </c>
      <c r="G6668" s="4" t="str">
        <f>HYPERLINK("http://141.218.60.56/~jnz1568/getInfo.php?workbook=14_04.xlsx&amp;sheet=U0&amp;row=6668&amp;col=7&amp;number=0.00492&amp;sourceID=14","0.00492")</f>
        <v>0.00492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HYPERLINK("http://141.218.60.56/~jnz1568/getInfo.php?workbook=14_04.xlsx&amp;sheet=U0&amp;row=6669&amp;col=6&amp;number=3.5&amp;sourceID=14","3.5")</f>
        <v>3.5</v>
      </c>
      <c r="G6669" s="4" t="str">
        <f>HYPERLINK("http://141.218.60.56/~jnz1568/getInfo.php?workbook=14_04.xlsx&amp;sheet=U0&amp;row=6669&amp;col=7&amp;number=0.00492&amp;sourceID=14","0.00492")</f>
        <v>0.00492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HYPERLINK("http://141.218.60.56/~jnz1568/getInfo.php?workbook=14_04.xlsx&amp;sheet=U0&amp;row=6670&amp;col=6&amp;number=3.6&amp;sourceID=14","3.6")</f>
        <v>3.6</v>
      </c>
      <c r="G6670" s="4" t="str">
        <f>HYPERLINK("http://141.218.60.56/~jnz1568/getInfo.php?workbook=14_04.xlsx&amp;sheet=U0&amp;row=6670&amp;col=7&amp;number=0.00492&amp;sourceID=14","0.00492")</f>
        <v>0.00492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HYPERLINK("http://141.218.60.56/~jnz1568/getInfo.php?workbook=14_04.xlsx&amp;sheet=U0&amp;row=6671&amp;col=6&amp;number=3.7&amp;sourceID=14","3.7")</f>
        <v>3.7</v>
      </c>
      <c r="G6671" s="4" t="str">
        <f>HYPERLINK("http://141.218.60.56/~jnz1568/getInfo.php?workbook=14_04.xlsx&amp;sheet=U0&amp;row=6671&amp;col=7&amp;number=0.00492&amp;sourceID=14","0.00492")</f>
        <v>0.00492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HYPERLINK("http://141.218.60.56/~jnz1568/getInfo.php?workbook=14_04.xlsx&amp;sheet=U0&amp;row=6672&amp;col=6&amp;number=3.8&amp;sourceID=14","3.8")</f>
        <v>3.8</v>
      </c>
      <c r="G6672" s="4" t="str">
        <f>HYPERLINK("http://141.218.60.56/~jnz1568/getInfo.php?workbook=14_04.xlsx&amp;sheet=U0&amp;row=6672&amp;col=7&amp;number=0.00492&amp;sourceID=14","0.00492")</f>
        <v>0.00492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HYPERLINK("http://141.218.60.56/~jnz1568/getInfo.php?workbook=14_04.xlsx&amp;sheet=U0&amp;row=6673&amp;col=6&amp;number=3.9&amp;sourceID=14","3.9")</f>
        <v>3.9</v>
      </c>
      <c r="G6673" s="4" t="str">
        <f>HYPERLINK("http://141.218.60.56/~jnz1568/getInfo.php?workbook=14_04.xlsx&amp;sheet=U0&amp;row=6673&amp;col=7&amp;number=0.00492&amp;sourceID=14","0.00492")</f>
        <v>0.00492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HYPERLINK("http://141.218.60.56/~jnz1568/getInfo.php?workbook=14_04.xlsx&amp;sheet=U0&amp;row=6674&amp;col=6&amp;number=4&amp;sourceID=14","4")</f>
        <v>4</v>
      </c>
      <c r="G6674" s="4" t="str">
        <f>HYPERLINK("http://141.218.60.56/~jnz1568/getInfo.php?workbook=14_04.xlsx&amp;sheet=U0&amp;row=6674&amp;col=7&amp;number=0.00492&amp;sourceID=14","0.00492")</f>
        <v>0.00492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HYPERLINK("http://141.218.60.56/~jnz1568/getInfo.php?workbook=14_04.xlsx&amp;sheet=U0&amp;row=6675&amp;col=6&amp;number=4.1&amp;sourceID=14","4.1")</f>
        <v>4.1</v>
      </c>
      <c r="G6675" s="4" t="str">
        <f>HYPERLINK("http://141.218.60.56/~jnz1568/getInfo.php?workbook=14_04.xlsx&amp;sheet=U0&amp;row=6675&amp;col=7&amp;number=0.00492&amp;sourceID=14","0.00492")</f>
        <v>0.00492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HYPERLINK("http://141.218.60.56/~jnz1568/getInfo.php?workbook=14_04.xlsx&amp;sheet=U0&amp;row=6676&amp;col=6&amp;number=4.2&amp;sourceID=14","4.2")</f>
        <v>4.2</v>
      </c>
      <c r="G6676" s="4" t="str">
        <f>HYPERLINK("http://141.218.60.56/~jnz1568/getInfo.php?workbook=14_04.xlsx&amp;sheet=U0&amp;row=6676&amp;col=7&amp;number=0.00491&amp;sourceID=14","0.00491")</f>
        <v>0.00491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HYPERLINK("http://141.218.60.56/~jnz1568/getInfo.php?workbook=14_04.xlsx&amp;sheet=U0&amp;row=6677&amp;col=6&amp;number=4.3&amp;sourceID=14","4.3")</f>
        <v>4.3</v>
      </c>
      <c r="G6677" s="4" t="str">
        <f>HYPERLINK("http://141.218.60.56/~jnz1568/getInfo.php?workbook=14_04.xlsx&amp;sheet=U0&amp;row=6677&amp;col=7&amp;number=0.00491&amp;sourceID=14","0.00491")</f>
        <v>0.00491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HYPERLINK("http://141.218.60.56/~jnz1568/getInfo.php?workbook=14_04.xlsx&amp;sheet=U0&amp;row=6678&amp;col=6&amp;number=4.4&amp;sourceID=14","4.4")</f>
        <v>4.4</v>
      </c>
      <c r="G6678" s="4" t="str">
        <f>HYPERLINK("http://141.218.60.56/~jnz1568/getInfo.php?workbook=14_04.xlsx&amp;sheet=U0&amp;row=6678&amp;col=7&amp;number=0.00491&amp;sourceID=14","0.00491")</f>
        <v>0.00491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HYPERLINK("http://141.218.60.56/~jnz1568/getInfo.php?workbook=14_04.xlsx&amp;sheet=U0&amp;row=6679&amp;col=6&amp;number=4.5&amp;sourceID=14","4.5")</f>
        <v>4.5</v>
      </c>
      <c r="G6679" s="4" t="str">
        <f>HYPERLINK("http://141.218.60.56/~jnz1568/getInfo.php?workbook=14_04.xlsx&amp;sheet=U0&amp;row=6679&amp;col=7&amp;number=0.00491&amp;sourceID=14","0.00491")</f>
        <v>0.00491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HYPERLINK("http://141.218.60.56/~jnz1568/getInfo.php?workbook=14_04.xlsx&amp;sheet=U0&amp;row=6680&amp;col=6&amp;number=4.6&amp;sourceID=14","4.6")</f>
        <v>4.6</v>
      </c>
      <c r="G6680" s="4" t="str">
        <f>HYPERLINK("http://141.218.60.56/~jnz1568/getInfo.php?workbook=14_04.xlsx&amp;sheet=U0&amp;row=6680&amp;col=7&amp;number=0.0049&amp;sourceID=14","0.0049")</f>
        <v>0.0049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HYPERLINK("http://141.218.60.56/~jnz1568/getInfo.php?workbook=14_04.xlsx&amp;sheet=U0&amp;row=6681&amp;col=6&amp;number=4.7&amp;sourceID=14","4.7")</f>
        <v>4.7</v>
      </c>
      <c r="G6681" s="4" t="str">
        <f>HYPERLINK("http://141.218.60.56/~jnz1568/getInfo.php?workbook=14_04.xlsx&amp;sheet=U0&amp;row=6681&amp;col=7&amp;number=0.0049&amp;sourceID=14","0.0049")</f>
        <v>0.0049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HYPERLINK("http://141.218.60.56/~jnz1568/getInfo.php?workbook=14_04.xlsx&amp;sheet=U0&amp;row=6682&amp;col=6&amp;number=4.8&amp;sourceID=14","4.8")</f>
        <v>4.8</v>
      </c>
      <c r="G6682" s="4" t="str">
        <f>HYPERLINK("http://141.218.60.56/~jnz1568/getInfo.php?workbook=14_04.xlsx&amp;sheet=U0&amp;row=6682&amp;col=7&amp;number=0.00489&amp;sourceID=14","0.00489")</f>
        <v>0.00489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HYPERLINK("http://141.218.60.56/~jnz1568/getInfo.php?workbook=14_04.xlsx&amp;sheet=U0&amp;row=6683&amp;col=6&amp;number=4.9&amp;sourceID=14","4.9")</f>
        <v>4.9</v>
      </c>
      <c r="G6683" s="4" t="str">
        <f>HYPERLINK("http://141.218.60.56/~jnz1568/getInfo.php?workbook=14_04.xlsx&amp;sheet=U0&amp;row=6683&amp;col=7&amp;number=0.00489&amp;sourceID=14","0.00489")</f>
        <v>0.00489</v>
      </c>
    </row>
    <row r="6684" spans="1:7">
      <c r="A6684" s="3">
        <v>14</v>
      </c>
      <c r="B6684" s="3">
        <v>4</v>
      </c>
      <c r="C6684" s="3">
        <v>4</v>
      </c>
      <c r="D6684" s="3">
        <v>54</v>
      </c>
      <c r="E6684" s="3">
        <v>1</v>
      </c>
      <c r="F6684" s="4" t="str">
        <f>HYPERLINK("http://141.218.60.56/~jnz1568/getInfo.php?workbook=14_04.xlsx&amp;sheet=U0&amp;row=6684&amp;col=6&amp;number=3&amp;sourceID=14","3")</f>
        <v>3</v>
      </c>
      <c r="G6684" s="4" t="str">
        <f>HYPERLINK("http://141.218.60.56/~jnz1568/getInfo.php?workbook=14_04.xlsx&amp;sheet=U0&amp;row=6684&amp;col=7&amp;number=0.017&amp;sourceID=14","0.017")</f>
        <v>0.017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HYPERLINK("http://141.218.60.56/~jnz1568/getInfo.php?workbook=14_04.xlsx&amp;sheet=U0&amp;row=6685&amp;col=6&amp;number=3.1&amp;sourceID=14","3.1")</f>
        <v>3.1</v>
      </c>
      <c r="G6685" s="4" t="str">
        <f>HYPERLINK("http://141.218.60.56/~jnz1568/getInfo.php?workbook=14_04.xlsx&amp;sheet=U0&amp;row=6685&amp;col=7&amp;number=0.017&amp;sourceID=14","0.017")</f>
        <v>0.017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HYPERLINK("http://141.218.60.56/~jnz1568/getInfo.php?workbook=14_04.xlsx&amp;sheet=U0&amp;row=6686&amp;col=6&amp;number=3.2&amp;sourceID=14","3.2")</f>
        <v>3.2</v>
      </c>
      <c r="G6686" s="4" t="str">
        <f>HYPERLINK("http://141.218.60.56/~jnz1568/getInfo.php?workbook=14_04.xlsx&amp;sheet=U0&amp;row=6686&amp;col=7&amp;number=0.017&amp;sourceID=14","0.017")</f>
        <v>0.017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HYPERLINK("http://141.218.60.56/~jnz1568/getInfo.php?workbook=14_04.xlsx&amp;sheet=U0&amp;row=6687&amp;col=6&amp;number=3.3&amp;sourceID=14","3.3")</f>
        <v>3.3</v>
      </c>
      <c r="G6687" s="4" t="str">
        <f>HYPERLINK("http://141.218.60.56/~jnz1568/getInfo.php?workbook=14_04.xlsx&amp;sheet=U0&amp;row=6687&amp;col=7&amp;number=0.017&amp;sourceID=14","0.017")</f>
        <v>0.017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HYPERLINK("http://141.218.60.56/~jnz1568/getInfo.php?workbook=14_04.xlsx&amp;sheet=U0&amp;row=6688&amp;col=6&amp;number=3.4&amp;sourceID=14","3.4")</f>
        <v>3.4</v>
      </c>
      <c r="G6688" s="4" t="str">
        <f>HYPERLINK("http://141.218.60.56/~jnz1568/getInfo.php?workbook=14_04.xlsx&amp;sheet=U0&amp;row=6688&amp;col=7&amp;number=0.017&amp;sourceID=14","0.017")</f>
        <v>0.017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HYPERLINK("http://141.218.60.56/~jnz1568/getInfo.php?workbook=14_04.xlsx&amp;sheet=U0&amp;row=6689&amp;col=6&amp;number=3.5&amp;sourceID=14","3.5")</f>
        <v>3.5</v>
      </c>
      <c r="G6689" s="4" t="str">
        <f>HYPERLINK("http://141.218.60.56/~jnz1568/getInfo.php?workbook=14_04.xlsx&amp;sheet=U0&amp;row=6689&amp;col=7&amp;number=0.017&amp;sourceID=14","0.017")</f>
        <v>0.017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HYPERLINK("http://141.218.60.56/~jnz1568/getInfo.php?workbook=14_04.xlsx&amp;sheet=U0&amp;row=6690&amp;col=6&amp;number=3.6&amp;sourceID=14","3.6")</f>
        <v>3.6</v>
      </c>
      <c r="G6690" s="4" t="str">
        <f>HYPERLINK("http://141.218.60.56/~jnz1568/getInfo.php?workbook=14_04.xlsx&amp;sheet=U0&amp;row=6690&amp;col=7&amp;number=0.017&amp;sourceID=14","0.017")</f>
        <v>0.017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HYPERLINK("http://141.218.60.56/~jnz1568/getInfo.php?workbook=14_04.xlsx&amp;sheet=U0&amp;row=6691&amp;col=6&amp;number=3.7&amp;sourceID=14","3.7")</f>
        <v>3.7</v>
      </c>
      <c r="G6691" s="4" t="str">
        <f>HYPERLINK("http://141.218.60.56/~jnz1568/getInfo.php?workbook=14_04.xlsx&amp;sheet=U0&amp;row=6691&amp;col=7&amp;number=0.017&amp;sourceID=14","0.017")</f>
        <v>0.017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HYPERLINK("http://141.218.60.56/~jnz1568/getInfo.php?workbook=14_04.xlsx&amp;sheet=U0&amp;row=6692&amp;col=6&amp;number=3.8&amp;sourceID=14","3.8")</f>
        <v>3.8</v>
      </c>
      <c r="G6692" s="4" t="str">
        <f>HYPERLINK("http://141.218.60.56/~jnz1568/getInfo.php?workbook=14_04.xlsx&amp;sheet=U0&amp;row=6692&amp;col=7&amp;number=0.017&amp;sourceID=14","0.017")</f>
        <v>0.017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HYPERLINK("http://141.218.60.56/~jnz1568/getInfo.php?workbook=14_04.xlsx&amp;sheet=U0&amp;row=6693&amp;col=6&amp;number=3.9&amp;sourceID=14","3.9")</f>
        <v>3.9</v>
      </c>
      <c r="G6693" s="4" t="str">
        <f>HYPERLINK("http://141.218.60.56/~jnz1568/getInfo.php?workbook=14_04.xlsx&amp;sheet=U0&amp;row=6693&amp;col=7&amp;number=0.017&amp;sourceID=14","0.017")</f>
        <v>0.017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HYPERLINK("http://141.218.60.56/~jnz1568/getInfo.php?workbook=14_04.xlsx&amp;sheet=U0&amp;row=6694&amp;col=6&amp;number=4&amp;sourceID=14","4")</f>
        <v>4</v>
      </c>
      <c r="G6694" s="4" t="str">
        <f>HYPERLINK("http://141.218.60.56/~jnz1568/getInfo.php?workbook=14_04.xlsx&amp;sheet=U0&amp;row=6694&amp;col=7&amp;number=0.017&amp;sourceID=14","0.017")</f>
        <v>0.017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HYPERLINK("http://141.218.60.56/~jnz1568/getInfo.php?workbook=14_04.xlsx&amp;sheet=U0&amp;row=6695&amp;col=6&amp;number=4.1&amp;sourceID=14","4.1")</f>
        <v>4.1</v>
      </c>
      <c r="G6695" s="4" t="str">
        <f>HYPERLINK("http://141.218.60.56/~jnz1568/getInfo.php?workbook=14_04.xlsx&amp;sheet=U0&amp;row=6695&amp;col=7&amp;number=0.017&amp;sourceID=14","0.017")</f>
        <v>0.017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HYPERLINK("http://141.218.60.56/~jnz1568/getInfo.php?workbook=14_04.xlsx&amp;sheet=U0&amp;row=6696&amp;col=6&amp;number=4.2&amp;sourceID=14","4.2")</f>
        <v>4.2</v>
      </c>
      <c r="G6696" s="4" t="str">
        <f>HYPERLINK("http://141.218.60.56/~jnz1568/getInfo.php?workbook=14_04.xlsx&amp;sheet=U0&amp;row=6696&amp;col=7&amp;number=0.017&amp;sourceID=14","0.017")</f>
        <v>0.017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HYPERLINK("http://141.218.60.56/~jnz1568/getInfo.php?workbook=14_04.xlsx&amp;sheet=U0&amp;row=6697&amp;col=6&amp;number=4.3&amp;sourceID=14","4.3")</f>
        <v>4.3</v>
      </c>
      <c r="G6697" s="4" t="str">
        <f>HYPERLINK("http://141.218.60.56/~jnz1568/getInfo.php?workbook=14_04.xlsx&amp;sheet=U0&amp;row=6697&amp;col=7&amp;number=0.0171&amp;sourceID=14","0.0171")</f>
        <v>0.0171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HYPERLINK("http://141.218.60.56/~jnz1568/getInfo.php?workbook=14_04.xlsx&amp;sheet=U0&amp;row=6698&amp;col=6&amp;number=4.4&amp;sourceID=14","4.4")</f>
        <v>4.4</v>
      </c>
      <c r="G6698" s="4" t="str">
        <f>HYPERLINK("http://141.218.60.56/~jnz1568/getInfo.php?workbook=14_04.xlsx&amp;sheet=U0&amp;row=6698&amp;col=7&amp;number=0.0171&amp;sourceID=14","0.0171")</f>
        <v>0.0171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HYPERLINK("http://141.218.60.56/~jnz1568/getInfo.php?workbook=14_04.xlsx&amp;sheet=U0&amp;row=6699&amp;col=6&amp;number=4.5&amp;sourceID=14","4.5")</f>
        <v>4.5</v>
      </c>
      <c r="G6699" s="4" t="str">
        <f>HYPERLINK("http://141.218.60.56/~jnz1568/getInfo.php?workbook=14_04.xlsx&amp;sheet=U0&amp;row=6699&amp;col=7&amp;number=0.0171&amp;sourceID=14","0.0171")</f>
        <v>0.0171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HYPERLINK("http://141.218.60.56/~jnz1568/getInfo.php?workbook=14_04.xlsx&amp;sheet=U0&amp;row=6700&amp;col=6&amp;number=4.6&amp;sourceID=14","4.6")</f>
        <v>4.6</v>
      </c>
      <c r="G6700" s="4" t="str">
        <f>HYPERLINK("http://141.218.60.56/~jnz1568/getInfo.php?workbook=14_04.xlsx&amp;sheet=U0&amp;row=6700&amp;col=7&amp;number=0.0171&amp;sourceID=14","0.0171")</f>
        <v>0.0171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HYPERLINK("http://141.218.60.56/~jnz1568/getInfo.php?workbook=14_04.xlsx&amp;sheet=U0&amp;row=6701&amp;col=6&amp;number=4.7&amp;sourceID=14","4.7")</f>
        <v>4.7</v>
      </c>
      <c r="G6701" s="4" t="str">
        <f>HYPERLINK("http://141.218.60.56/~jnz1568/getInfo.php?workbook=14_04.xlsx&amp;sheet=U0&amp;row=6701&amp;col=7&amp;number=0.0171&amp;sourceID=14","0.0171")</f>
        <v>0.0171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HYPERLINK("http://141.218.60.56/~jnz1568/getInfo.php?workbook=14_04.xlsx&amp;sheet=U0&amp;row=6702&amp;col=6&amp;number=4.8&amp;sourceID=14","4.8")</f>
        <v>4.8</v>
      </c>
      <c r="G6702" s="4" t="str">
        <f>HYPERLINK("http://141.218.60.56/~jnz1568/getInfo.php?workbook=14_04.xlsx&amp;sheet=U0&amp;row=6702&amp;col=7&amp;number=0.0171&amp;sourceID=14","0.0171")</f>
        <v>0.0171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HYPERLINK("http://141.218.60.56/~jnz1568/getInfo.php?workbook=14_04.xlsx&amp;sheet=U0&amp;row=6703&amp;col=6&amp;number=4.9&amp;sourceID=14","4.9")</f>
        <v>4.9</v>
      </c>
      <c r="G6703" s="4" t="str">
        <f>HYPERLINK("http://141.218.60.56/~jnz1568/getInfo.php?workbook=14_04.xlsx&amp;sheet=U0&amp;row=6703&amp;col=7&amp;number=0.0171&amp;sourceID=14","0.0171")</f>
        <v>0.0171</v>
      </c>
    </row>
    <row r="6704" spans="1:7">
      <c r="A6704" s="3">
        <v>14</v>
      </c>
      <c r="B6704" s="3">
        <v>4</v>
      </c>
      <c r="C6704" s="3">
        <v>4</v>
      </c>
      <c r="D6704" s="3">
        <v>55</v>
      </c>
      <c r="E6704" s="3">
        <v>1</v>
      </c>
      <c r="F6704" s="4" t="str">
        <f>HYPERLINK("http://141.218.60.56/~jnz1568/getInfo.php?workbook=14_04.xlsx&amp;sheet=U0&amp;row=6704&amp;col=6&amp;number=3&amp;sourceID=14","3")</f>
        <v>3</v>
      </c>
      <c r="G6704" s="4" t="str">
        <f>HYPERLINK("http://141.218.60.56/~jnz1568/getInfo.php?workbook=14_04.xlsx&amp;sheet=U0&amp;row=6704&amp;col=7&amp;number=0.0602&amp;sourceID=14","0.0602")</f>
        <v>0.0602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HYPERLINK("http://141.218.60.56/~jnz1568/getInfo.php?workbook=14_04.xlsx&amp;sheet=U0&amp;row=6705&amp;col=6&amp;number=3.1&amp;sourceID=14","3.1")</f>
        <v>3.1</v>
      </c>
      <c r="G6705" s="4" t="str">
        <f>HYPERLINK("http://141.218.60.56/~jnz1568/getInfo.php?workbook=14_04.xlsx&amp;sheet=U0&amp;row=6705&amp;col=7&amp;number=0.0602&amp;sourceID=14","0.0602")</f>
        <v>0.0602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HYPERLINK("http://141.218.60.56/~jnz1568/getInfo.php?workbook=14_04.xlsx&amp;sheet=U0&amp;row=6706&amp;col=6&amp;number=3.2&amp;sourceID=14","3.2")</f>
        <v>3.2</v>
      </c>
      <c r="G6706" s="4" t="str">
        <f>HYPERLINK("http://141.218.60.56/~jnz1568/getInfo.php?workbook=14_04.xlsx&amp;sheet=U0&amp;row=6706&amp;col=7&amp;number=0.0602&amp;sourceID=14","0.0602")</f>
        <v>0.0602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HYPERLINK("http://141.218.60.56/~jnz1568/getInfo.php?workbook=14_04.xlsx&amp;sheet=U0&amp;row=6707&amp;col=6&amp;number=3.3&amp;sourceID=14","3.3")</f>
        <v>3.3</v>
      </c>
      <c r="G6707" s="4" t="str">
        <f>HYPERLINK("http://141.218.60.56/~jnz1568/getInfo.php?workbook=14_04.xlsx&amp;sheet=U0&amp;row=6707&amp;col=7&amp;number=0.0602&amp;sourceID=14","0.0602")</f>
        <v>0.0602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HYPERLINK("http://141.218.60.56/~jnz1568/getInfo.php?workbook=14_04.xlsx&amp;sheet=U0&amp;row=6708&amp;col=6&amp;number=3.4&amp;sourceID=14","3.4")</f>
        <v>3.4</v>
      </c>
      <c r="G6708" s="4" t="str">
        <f>HYPERLINK("http://141.218.60.56/~jnz1568/getInfo.php?workbook=14_04.xlsx&amp;sheet=U0&amp;row=6708&amp;col=7&amp;number=0.0602&amp;sourceID=14","0.0602")</f>
        <v>0.0602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HYPERLINK("http://141.218.60.56/~jnz1568/getInfo.php?workbook=14_04.xlsx&amp;sheet=U0&amp;row=6709&amp;col=6&amp;number=3.5&amp;sourceID=14","3.5")</f>
        <v>3.5</v>
      </c>
      <c r="G6709" s="4" t="str">
        <f>HYPERLINK("http://141.218.60.56/~jnz1568/getInfo.php?workbook=14_04.xlsx&amp;sheet=U0&amp;row=6709&amp;col=7&amp;number=0.0602&amp;sourceID=14","0.0602")</f>
        <v>0.0602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HYPERLINK("http://141.218.60.56/~jnz1568/getInfo.php?workbook=14_04.xlsx&amp;sheet=U0&amp;row=6710&amp;col=6&amp;number=3.6&amp;sourceID=14","3.6")</f>
        <v>3.6</v>
      </c>
      <c r="G6710" s="4" t="str">
        <f>HYPERLINK("http://141.218.60.56/~jnz1568/getInfo.php?workbook=14_04.xlsx&amp;sheet=U0&amp;row=6710&amp;col=7&amp;number=0.0603&amp;sourceID=14","0.0603")</f>
        <v>0.0603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HYPERLINK("http://141.218.60.56/~jnz1568/getInfo.php?workbook=14_04.xlsx&amp;sheet=U0&amp;row=6711&amp;col=6&amp;number=3.7&amp;sourceID=14","3.7")</f>
        <v>3.7</v>
      </c>
      <c r="G6711" s="4" t="str">
        <f>HYPERLINK("http://141.218.60.56/~jnz1568/getInfo.php?workbook=14_04.xlsx&amp;sheet=U0&amp;row=6711&amp;col=7&amp;number=0.0603&amp;sourceID=14","0.0603")</f>
        <v>0.0603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HYPERLINK("http://141.218.60.56/~jnz1568/getInfo.php?workbook=14_04.xlsx&amp;sheet=U0&amp;row=6712&amp;col=6&amp;number=3.8&amp;sourceID=14","3.8")</f>
        <v>3.8</v>
      </c>
      <c r="G6712" s="4" t="str">
        <f>HYPERLINK("http://141.218.60.56/~jnz1568/getInfo.php?workbook=14_04.xlsx&amp;sheet=U0&amp;row=6712&amp;col=7&amp;number=0.0603&amp;sourceID=14","0.0603")</f>
        <v>0.0603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HYPERLINK("http://141.218.60.56/~jnz1568/getInfo.php?workbook=14_04.xlsx&amp;sheet=U0&amp;row=6713&amp;col=6&amp;number=3.9&amp;sourceID=14","3.9")</f>
        <v>3.9</v>
      </c>
      <c r="G6713" s="4" t="str">
        <f>HYPERLINK("http://141.218.60.56/~jnz1568/getInfo.php?workbook=14_04.xlsx&amp;sheet=U0&amp;row=6713&amp;col=7&amp;number=0.0603&amp;sourceID=14","0.0603")</f>
        <v>0.0603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HYPERLINK("http://141.218.60.56/~jnz1568/getInfo.php?workbook=14_04.xlsx&amp;sheet=U0&amp;row=6714&amp;col=6&amp;number=4&amp;sourceID=14","4")</f>
        <v>4</v>
      </c>
      <c r="G6714" s="4" t="str">
        <f>HYPERLINK("http://141.218.60.56/~jnz1568/getInfo.php?workbook=14_04.xlsx&amp;sheet=U0&amp;row=6714&amp;col=7&amp;number=0.0603&amp;sourceID=14","0.0603")</f>
        <v>0.0603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HYPERLINK("http://141.218.60.56/~jnz1568/getInfo.php?workbook=14_04.xlsx&amp;sheet=U0&amp;row=6715&amp;col=6&amp;number=4.1&amp;sourceID=14","4.1")</f>
        <v>4.1</v>
      </c>
      <c r="G6715" s="4" t="str">
        <f>HYPERLINK("http://141.218.60.56/~jnz1568/getInfo.php?workbook=14_04.xlsx&amp;sheet=U0&amp;row=6715&amp;col=7&amp;number=0.0604&amp;sourceID=14","0.0604")</f>
        <v>0.0604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HYPERLINK("http://141.218.60.56/~jnz1568/getInfo.php?workbook=14_04.xlsx&amp;sheet=U0&amp;row=6716&amp;col=6&amp;number=4.2&amp;sourceID=14","4.2")</f>
        <v>4.2</v>
      </c>
      <c r="G6716" s="4" t="str">
        <f>HYPERLINK("http://141.218.60.56/~jnz1568/getInfo.php?workbook=14_04.xlsx&amp;sheet=U0&amp;row=6716&amp;col=7&amp;number=0.0604&amp;sourceID=14","0.0604")</f>
        <v>0.0604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HYPERLINK("http://141.218.60.56/~jnz1568/getInfo.php?workbook=14_04.xlsx&amp;sheet=U0&amp;row=6717&amp;col=6&amp;number=4.3&amp;sourceID=14","4.3")</f>
        <v>4.3</v>
      </c>
      <c r="G6717" s="4" t="str">
        <f>HYPERLINK("http://141.218.60.56/~jnz1568/getInfo.php?workbook=14_04.xlsx&amp;sheet=U0&amp;row=6717&amp;col=7&amp;number=0.0605&amp;sourceID=14","0.0605")</f>
        <v>0.0605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HYPERLINK("http://141.218.60.56/~jnz1568/getInfo.php?workbook=14_04.xlsx&amp;sheet=U0&amp;row=6718&amp;col=6&amp;number=4.4&amp;sourceID=14","4.4")</f>
        <v>4.4</v>
      </c>
      <c r="G6718" s="4" t="str">
        <f>HYPERLINK("http://141.218.60.56/~jnz1568/getInfo.php?workbook=14_04.xlsx&amp;sheet=U0&amp;row=6718&amp;col=7&amp;number=0.0605&amp;sourceID=14","0.0605")</f>
        <v>0.0605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HYPERLINK("http://141.218.60.56/~jnz1568/getInfo.php?workbook=14_04.xlsx&amp;sheet=U0&amp;row=6719&amp;col=6&amp;number=4.5&amp;sourceID=14","4.5")</f>
        <v>4.5</v>
      </c>
      <c r="G6719" s="4" t="str">
        <f>HYPERLINK("http://141.218.60.56/~jnz1568/getInfo.php?workbook=14_04.xlsx&amp;sheet=U0&amp;row=6719&amp;col=7&amp;number=0.0606&amp;sourceID=14","0.0606")</f>
        <v>0.0606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HYPERLINK("http://141.218.60.56/~jnz1568/getInfo.php?workbook=14_04.xlsx&amp;sheet=U0&amp;row=6720&amp;col=6&amp;number=4.6&amp;sourceID=14","4.6")</f>
        <v>4.6</v>
      </c>
      <c r="G6720" s="4" t="str">
        <f>HYPERLINK("http://141.218.60.56/~jnz1568/getInfo.php?workbook=14_04.xlsx&amp;sheet=U0&amp;row=6720&amp;col=7&amp;number=0.0607&amp;sourceID=14","0.0607")</f>
        <v>0.0607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HYPERLINK("http://141.218.60.56/~jnz1568/getInfo.php?workbook=14_04.xlsx&amp;sheet=U0&amp;row=6721&amp;col=6&amp;number=4.7&amp;sourceID=14","4.7")</f>
        <v>4.7</v>
      </c>
      <c r="G6721" s="4" t="str">
        <f>HYPERLINK("http://141.218.60.56/~jnz1568/getInfo.php?workbook=14_04.xlsx&amp;sheet=U0&amp;row=6721&amp;col=7&amp;number=0.0608&amp;sourceID=14","0.0608")</f>
        <v>0.0608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HYPERLINK("http://141.218.60.56/~jnz1568/getInfo.php?workbook=14_04.xlsx&amp;sheet=U0&amp;row=6722&amp;col=6&amp;number=4.8&amp;sourceID=14","4.8")</f>
        <v>4.8</v>
      </c>
      <c r="G6722" s="4" t="str">
        <f>HYPERLINK("http://141.218.60.56/~jnz1568/getInfo.php?workbook=14_04.xlsx&amp;sheet=U0&amp;row=6722&amp;col=7&amp;number=0.061&amp;sourceID=14","0.061")</f>
        <v>0.061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HYPERLINK("http://141.218.60.56/~jnz1568/getInfo.php?workbook=14_04.xlsx&amp;sheet=U0&amp;row=6723&amp;col=6&amp;number=4.9&amp;sourceID=14","4.9")</f>
        <v>4.9</v>
      </c>
      <c r="G6723" s="4" t="str">
        <f>HYPERLINK("http://141.218.60.56/~jnz1568/getInfo.php?workbook=14_04.xlsx&amp;sheet=U0&amp;row=6723&amp;col=7&amp;number=0.0612&amp;sourceID=14","0.0612")</f>
        <v>0.0612</v>
      </c>
    </row>
    <row r="6724" spans="1:7">
      <c r="A6724" s="3">
        <v>14</v>
      </c>
      <c r="B6724" s="3">
        <v>4</v>
      </c>
      <c r="C6724" s="3">
        <v>4</v>
      </c>
      <c r="D6724" s="3">
        <v>56</v>
      </c>
      <c r="E6724" s="3">
        <v>1</v>
      </c>
      <c r="F6724" s="4" t="str">
        <f>HYPERLINK("http://141.218.60.56/~jnz1568/getInfo.php?workbook=14_04.xlsx&amp;sheet=U0&amp;row=6724&amp;col=6&amp;number=3&amp;sourceID=14","3")</f>
        <v>3</v>
      </c>
      <c r="G6724" s="4" t="str">
        <f>HYPERLINK("http://141.218.60.56/~jnz1568/getInfo.php?workbook=14_04.xlsx&amp;sheet=U0&amp;row=6724&amp;col=7&amp;number=0.0147&amp;sourceID=14","0.0147")</f>
        <v>0.0147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HYPERLINK("http://141.218.60.56/~jnz1568/getInfo.php?workbook=14_04.xlsx&amp;sheet=U0&amp;row=6725&amp;col=6&amp;number=3.1&amp;sourceID=14","3.1")</f>
        <v>3.1</v>
      </c>
      <c r="G6725" s="4" t="str">
        <f>HYPERLINK("http://141.218.60.56/~jnz1568/getInfo.php?workbook=14_04.xlsx&amp;sheet=U0&amp;row=6725&amp;col=7&amp;number=0.0147&amp;sourceID=14","0.0147")</f>
        <v>0.0147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HYPERLINK("http://141.218.60.56/~jnz1568/getInfo.php?workbook=14_04.xlsx&amp;sheet=U0&amp;row=6726&amp;col=6&amp;number=3.2&amp;sourceID=14","3.2")</f>
        <v>3.2</v>
      </c>
      <c r="G6726" s="4" t="str">
        <f>HYPERLINK("http://141.218.60.56/~jnz1568/getInfo.php?workbook=14_04.xlsx&amp;sheet=U0&amp;row=6726&amp;col=7&amp;number=0.0147&amp;sourceID=14","0.0147")</f>
        <v>0.0147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HYPERLINK("http://141.218.60.56/~jnz1568/getInfo.php?workbook=14_04.xlsx&amp;sheet=U0&amp;row=6727&amp;col=6&amp;number=3.3&amp;sourceID=14","3.3")</f>
        <v>3.3</v>
      </c>
      <c r="G6727" s="4" t="str">
        <f>HYPERLINK("http://141.218.60.56/~jnz1568/getInfo.php?workbook=14_04.xlsx&amp;sheet=U0&amp;row=6727&amp;col=7&amp;number=0.0147&amp;sourceID=14","0.0147")</f>
        <v>0.0147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HYPERLINK("http://141.218.60.56/~jnz1568/getInfo.php?workbook=14_04.xlsx&amp;sheet=U0&amp;row=6728&amp;col=6&amp;number=3.4&amp;sourceID=14","3.4")</f>
        <v>3.4</v>
      </c>
      <c r="G6728" s="4" t="str">
        <f>HYPERLINK("http://141.218.60.56/~jnz1568/getInfo.php?workbook=14_04.xlsx&amp;sheet=U0&amp;row=6728&amp;col=7&amp;number=0.0147&amp;sourceID=14","0.0147")</f>
        <v>0.0147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HYPERLINK("http://141.218.60.56/~jnz1568/getInfo.php?workbook=14_04.xlsx&amp;sheet=U0&amp;row=6729&amp;col=6&amp;number=3.5&amp;sourceID=14","3.5")</f>
        <v>3.5</v>
      </c>
      <c r="G6729" s="4" t="str">
        <f>HYPERLINK("http://141.218.60.56/~jnz1568/getInfo.php?workbook=14_04.xlsx&amp;sheet=U0&amp;row=6729&amp;col=7&amp;number=0.0147&amp;sourceID=14","0.0147")</f>
        <v>0.0147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HYPERLINK("http://141.218.60.56/~jnz1568/getInfo.php?workbook=14_04.xlsx&amp;sheet=U0&amp;row=6730&amp;col=6&amp;number=3.6&amp;sourceID=14","3.6")</f>
        <v>3.6</v>
      </c>
      <c r="G6730" s="4" t="str">
        <f>HYPERLINK("http://141.218.60.56/~jnz1568/getInfo.php?workbook=14_04.xlsx&amp;sheet=U0&amp;row=6730&amp;col=7&amp;number=0.0147&amp;sourceID=14","0.0147")</f>
        <v>0.0147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HYPERLINK("http://141.218.60.56/~jnz1568/getInfo.php?workbook=14_04.xlsx&amp;sheet=U0&amp;row=6731&amp;col=6&amp;number=3.7&amp;sourceID=14","3.7")</f>
        <v>3.7</v>
      </c>
      <c r="G6731" s="4" t="str">
        <f>HYPERLINK("http://141.218.60.56/~jnz1568/getInfo.php?workbook=14_04.xlsx&amp;sheet=U0&amp;row=6731&amp;col=7&amp;number=0.0147&amp;sourceID=14","0.0147")</f>
        <v>0.0147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HYPERLINK("http://141.218.60.56/~jnz1568/getInfo.php?workbook=14_04.xlsx&amp;sheet=U0&amp;row=6732&amp;col=6&amp;number=3.8&amp;sourceID=14","3.8")</f>
        <v>3.8</v>
      </c>
      <c r="G6732" s="4" t="str">
        <f>HYPERLINK("http://141.218.60.56/~jnz1568/getInfo.php?workbook=14_04.xlsx&amp;sheet=U0&amp;row=6732&amp;col=7&amp;number=0.0146&amp;sourceID=14","0.0146")</f>
        <v>0.0146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HYPERLINK("http://141.218.60.56/~jnz1568/getInfo.php?workbook=14_04.xlsx&amp;sheet=U0&amp;row=6733&amp;col=6&amp;number=3.9&amp;sourceID=14","3.9")</f>
        <v>3.9</v>
      </c>
      <c r="G6733" s="4" t="str">
        <f>HYPERLINK("http://141.218.60.56/~jnz1568/getInfo.php?workbook=14_04.xlsx&amp;sheet=U0&amp;row=6733&amp;col=7&amp;number=0.0146&amp;sourceID=14","0.0146")</f>
        <v>0.0146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HYPERLINK("http://141.218.60.56/~jnz1568/getInfo.php?workbook=14_04.xlsx&amp;sheet=U0&amp;row=6734&amp;col=6&amp;number=4&amp;sourceID=14","4")</f>
        <v>4</v>
      </c>
      <c r="G6734" s="4" t="str">
        <f>HYPERLINK("http://141.218.60.56/~jnz1568/getInfo.php?workbook=14_04.xlsx&amp;sheet=U0&amp;row=6734&amp;col=7&amp;number=0.0146&amp;sourceID=14","0.0146")</f>
        <v>0.0146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HYPERLINK("http://141.218.60.56/~jnz1568/getInfo.php?workbook=14_04.xlsx&amp;sheet=U0&amp;row=6735&amp;col=6&amp;number=4.1&amp;sourceID=14","4.1")</f>
        <v>4.1</v>
      </c>
      <c r="G6735" s="4" t="str">
        <f>HYPERLINK("http://141.218.60.56/~jnz1568/getInfo.php?workbook=14_04.xlsx&amp;sheet=U0&amp;row=6735&amp;col=7&amp;number=0.0146&amp;sourceID=14","0.0146")</f>
        <v>0.0146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HYPERLINK("http://141.218.60.56/~jnz1568/getInfo.php?workbook=14_04.xlsx&amp;sheet=U0&amp;row=6736&amp;col=6&amp;number=4.2&amp;sourceID=14","4.2")</f>
        <v>4.2</v>
      </c>
      <c r="G6736" s="4" t="str">
        <f>HYPERLINK("http://141.218.60.56/~jnz1568/getInfo.php?workbook=14_04.xlsx&amp;sheet=U0&amp;row=6736&amp;col=7&amp;number=0.0146&amp;sourceID=14","0.0146")</f>
        <v>0.0146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HYPERLINK("http://141.218.60.56/~jnz1568/getInfo.php?workbook=14_04.xlsx&amp;sheet=U0&amp;row=6737&amp;col=6&amp;number=4.3&amp;sourceID=14","4.3")</f>
        <v>4.3</v>
      </c>
      <c r="G6737" s="4" t="str">
        <f>HYPERLINK("http://141.218.60.56/~jnz1568/getInfo.php?workbook=14_04.xlsx&amp;sheet=U0&amp;row=6737&amp;col=7&amp;number=0.0146&amp;sourceID=14","0.0146")</f>
        <v>0.0146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HYPERLINK("http://141.218.60.56/~jnz1568/getInfo.php?workbook=14_04.xlsx&amp;sheet=U0&amp;row=6738&amp;col=6&amp;number=4.4&amp;sourceID=14","4.4")</f>
        <v>4.4</v>
      </c>
      <c r="G6738" s="4" t="str">
        <f>HYPERLINK("http://141.218.60.56/~jnz1568/getInfo.php?workbook=14_04.xlsx&amp;sheet=U0&amp;row=6738&amp;col=7&amp;number=0.0145&amp;sourceID=14","0.0145")</f>
        <v>0.0145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HYPERLINK("http://141.218.60.56/~jnz1568/getInfo.php?workbook=14_04.xlsx&amp;sheet=U0&amp;row=6739&amp;col=6&amp;number=4.5&amp;sourceID=14","4.5")</f>
        <v>4.5</v>
      </c>
      <c r="G6739" s="4" t="str">
        <f>HYPERLINK("http://141.218.60.56/~jnz1568/getInfo.php?workbook=14_04.xlsx&amp;sheet=U0&amp;row=6739&amp;col=7&amp;number=0.0145&amp;sourceID=14","0.0145")</f>
        <v>0.0145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HYPERLINK("http://141.218.60.56/~jnz1568/getInfo.php?workbook=14_04.xlsx&amp;sheet=U0&amp;row=6740&amp;col=6&amp;number=4.6&amp;sourceID=14","4.6")</f>
        <v>4.6</v>
      </c>
      <c r="G6740" s="4" t="str">
        <f>HYPERLINK("http://141.218.60.56/~jnz1568/getInfo.php?workbook=14_04.xlsx&amp;sheet=U0&amp;row=6740&amp;col=7&amp;number=0.0145&amp;sourceID=14","0.0145")</f>
        <v>0.0145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HYPERLINK("http://141.218.60.56/~jnz1568/getInfo.php?workbook=14_04.xlsx&amp;sheet=U0&amp;row=6741&amp;col=6&amp;number=4.7&amp;sourceID=14","4.7")</f>
        <v>4.7</v>
      </c>
      <c r="G6741" s="4" t="str">
        <f>HYPERLINK("http://141.218.60.56/~jnz1568/getInfo.php?workbook=14_04.xlsx&amp;sheet=U0&amp;row=6741&amp;col=7&amp;number=0.0144&amp;sourceID=14","0.0144")</f>
        <v>0.0144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HYPERLINK("http://141.218.60.56/~jnz1568/getInfo.php?workbook=14_04.xlsx&amp;sheet=U0&amp;row=6742&amp;col=6&amp;number=4.8&amp;sourceID=14","4.8")</f>
        <v>4.8</v>
      </c>
      <c r="G6742" s="4" t="str">
        <f>HYPERLINK("http://141.218.60.56/~jnz1568/getInfo.php?workbook=14_04.xlsx&amp;sheet=U0&amp;row=6742&amp;col=7&amp;number=0.0143&amp;sourceID=14","0.0143")</f>
        <v>0.0143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HYPERLINK("http://141.218.60.56/~jnz1568/getInfo.php?workbook=14_04.xlsx&amp;sheet=U0&amp;row=6743&amp;col=6&amp;number=4.9&amp;sourceID=14","4.9")</f>
        <v>4.9</v>
      </c>
      <c r="G6743" s="4" t="str">
        <f>HYPERLINK("http://141.218.60.56/~jnz1568/getInfo.php?workbook=14_04.xlsx&amp;sheet=U0&amp;row=6743&amp;col=7&amp;number=0.0143&amp;sourceID=14","0.0143")</f>
        <v>0.0143</v>
      </c>
    </row>
    <row r="6744" spans="1:7">
      <c r="A6744" s="3">
        <v>14</v>
      </c>
      <c r="B6744" s="3">
        <v>4</v>
      </c>
      <c r="C6744" s="3">
        <v>4</v>
      </c>
      <c r="D6744" s="3">
        <v>57</v>
      </c>
      <c r="E6744" s="3">
        <v>1</v>
      </c>
      <c r="F6744" s="4" t="str">
        <f>HYPERLINK("http://141.218.60.56/~jnz1568/getInfo.php?workbook=14_04.xlsx&amp;sheet=U0&amp;row=6744&amp;col=6&amp;number=3&amp;sourceID=14","3")</f>
        <v>3</v>
      </c>
      <c r="G6744" s="4" t="str">
        <f>HYPERLINK("http://141.218.60.56/~jnz1568/getInfo.php?workbook=14_04.xlsx&amp;sheet=U0&amp;row=6744&amp;col=7&amp;number=1.41e-05&amp;sourceID=14","1.41e-05")</f>
        <v>1.41e-05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HYPERLINK("http://141.218.60.56/~jnz1568/getInfo.php?workbook=14_04.xlsx&amp;sheet=U0&amp;row=6745&amp;col=6&amp;number=3.1&amp;sourceID=14","3.1")</f>
        <v>3.1</v>
      </c>
      <c r="G6745" s="4" t="str">
        <f>HYPERLINK("http://141.218.60.56/~jnz1568/getInfo.php?workbook=14_04.xlsx&amp;sheet=U0&amp;row=6745&amp;col=7&amp;number=1.41e-05&amp;sourceID=14","1.41e-05")</f>
        <v>1.41e-05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HYPERLINK("http://141.218.60.56/~jnz1568/getInfo.php?workbook=14_04.xlsx&amp;sheet=U0&amp;row=6746&amp;col=6&amp;number=3.2&amp;sourceID=14","3.2")</f>
        <v>3.2</v>
      </c>
      <c r="G6746" s="4" t="str">
        <f>HYPERLINK("http://141.218.60.56/~jnz1568/getInfo.php?workbook=14_04.xlsx&amp;sheet=U0&amp;row=6746&amp;col=7&amp;number=1.41e-05&amp;sourceID=14","1.41e-05")</f>
        <v>1.41e-05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HYPERLINK("http://141.218.60.56/~jnz1568/getInfo.php?workbook=14_04.xlsx&amp;sheet=U0&amp;row=6747&amp;col=6&amp;number=3.3&amp;sourceID=14","3.3")</f>
        <v>3.3</v>
      </c>
      <c r="G6747" s="4" t="str">
        <f>HYPERLINK("http://141.218.60.56/~jnz1568/getInfo.php?workbook=14_04.xlsx&amp;sheet=U0&amp;row=6747&amp;col=7&amp;number=1.41e-05&amp;sourceID=14","1.41e-05")</f>
        <v>1.41e-05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HYPERLINK("http://141.218.60.56/~jnz1568/getInfo.php?workbook=14_04.xlsx&amp;sheet=U0&amp;row=6748&amp;col=6&amp;number=3.4&amp;sourceID=14","3.4")</f>
        <v>3.4</v>
      </c>
      <c r="G6748" s="4" t="str">
        <f>HYPERLINK("http://141.218.60.56/~jnz1568/getInfo.php?workbook=14_04.xlsx&amp;sheet=U0&amp;row=6748&amp;col=7&amp;number=1.41e-05&amp;sourceID=14","1.41e-05")</f>
        <v>1.41e-05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HYPERLINK("http://141.218.60.56/~jnz1568/getInfo.php?workbook=14_04.xlsx&amp;sheet=U0&amp;row=6749&amp;col=6&amp;number=3.5&amp;sourceID=14","3.5")</f>
        <v>3.5</v>
      </c>
      <c r="G6749" s="4" t="str">
        <f>HYPERLINK("http://141.218.60.56/~jnz1568/getInfo.php?workbook=14_04.xlsx&amp;sheet=U0&amp;row=6749&amp;col=7&amp;number=1.41e-05&amp;sourceID=14","1.41e-05")</f>
        <v>1.41e-05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HYPERLINK("http://141.218.60.56/~jnz1568/getInfo.php?workbook=14_04.xlsx&amp;sheet=U0&amp;row=6750&amp;col=6&amp;number=3.6&amp;sourceID=14","3.6")</f>
        <v>3.6</v>
      </c>
      <c r="G6750" s="4" t="str">
        <f>HYPERLINK("http://141.218.60.56/~jnz1568/getInfo.php?workbook=14_04.xlsx&amp;sheet=U0&amp;row=6750&amp;col=7&amp;number=1.41e-05&amp;sourceID=14","1.41e-05")</f>
        <v>1.41e-05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HYPERLINK("http://141.218.60.56/~jnz1568/getInfo.php?workbook=14_04.xlsx&amp;sheet=U0&amp;row=6751&amp;col=6&amp;number=3.7&amp;sourceID=14","3.7")</f>
        <v>3.7</v>
      </c>
      <c r="G6751" s="4" t="str">
        <f>HYPERLINK("http://141.218.60.56/~jnz1568/getInfo.php?workbook=14_04.xlsx&amp;sheet=U0&amp;row=6751&amp;col=7&amp;number=1.41e-05&amp;sourceID=14","1.41e-05")</f>
        <v>1.41e-05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HYPERLINK("http://141.218.60.56/~jnz1568/getInfo.php?workbook=14_04.xlsx&amp;sheet=U0&amp;row=6752&amp;col=6&amp;number=3.8&amp;sourceID=14","3.8")</f>
        <v>3.8</v>
      </c>
      <c r="G6752" s="4" t="str">
        <f>HYPERLINK("http://141.218.60.56/~jnz1568/getInfo.php?workbook=14_04.xlsx&amp;sheet=U0&amp;row=6752&amp;col=7&amp;number=1.41e-05&amp;sourceID=14","1.41e-05")</f>
        <v>1.41e-05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HYPERLINK("http://141.218.60.56/~jnz1568/getInfo.php?workbook=14_04.xlsx&amp;sheet=U0&amp;row=6753&amp;col=6&amp;number=3.9&amp;sourceID=14","3.9")</f>
        <v>3.9</v>
      </c>
      <c r="G6753" s="4" t="str">
        <f>HYPERLINK("http://141.218.60.56/~jnz1568/getInfo.php?workbook=14_04.xlsx&amp;sheet=U0&amp;row=6753&amp;col=7&amp;number=1.41e-05&amp;sourceID=14","1.41e-05")</f>
        <v>1.41e-05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HYPERLINK("http://141.218.60.56/~jnz1568/getInfo.php?workbook=14_04.xlsx&amp;sheet=U0&amp;row=6754&amp;col=6&amp;number=4&amp;sourceID=14","4")</f>
        <v>4</v>
      </c>
      <c r="G6754" s="4" t="str">
        <f>HYPERLINK("http://141.218.60.56/~jnz1568/getInfo.php?workbook=14_04.xlsx&amp;sheet=U0&amp;row=6754&amp;col=7&amp;number=1.41e-05&amp;sourceID=14","1.41e-05")</f>
        <v>1.41e-05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HYPERLINK("http://141.218.60.56/~jnz1568/getInfo.php?workbook=14_04.xlsx&amp;sheet=U0&amp;row=6755&amp;col=6&amp;number=4.1&amp;sourceID=14","4.1")</f>
        <v>4.1</v>
      </c>
      <c r="G6755" s="4" t="str">
        <f>HYPERLINK("http://141.218.60.56/~jnz1568/getInfo.php?workbook=14_04.xlsx&amp;sheet=U0&amp;row=6755&amp;col=7&amp;number=1.41e-05&amp;sourceID=14","1.41e-05")</f>
        <v>1.41e-05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HYPERLINK("http://141.218.60.56/~jnz1568/getInfo.php?workbook=14_04.xlsx&amp;sheet=U0&amp;row=6756&amp;col=6&amp;number=4.2&amp;sourceID=14","4.2")</f>
        <v>4.2</v>
      </c>
      <c r="G6756" s="4" t="str">
        <f>HYPERLINK("http://141.218.60.56/~jnz1568/getInfo.php?workbook=14_04.xlsx&amp;sheet=U0&amp;row=6756&amp;col=7&amp;number=1.41e-05&amp;sourceID=14","1.41e-05")</f>
        <v>1.41e-05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HYPERLINK("http://141.218.60.56/~jnz1568/getInfo.php?workbook=14_04.xlsx&amp;sheet=U0&amp;row=6757&amp;col=6&amp;number=4.3&amp;sourceID=14","4.3")</f>
        <v>4.3</v>
      </c>
      <c r="G6757" s="4" t="str">
        <f>HYPERLINK("http://141.218.60.56/~jnz1568/getInfo.php?workbook=14_04.xlsx&amp;sheet=U0&amp;row=6757&amp;col=7&amp;number=1.41e-05&amp;sourceID=14","1.41e-05")</f>
        <v>1.41e-05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HYPERLINK("http://141.218.60.56/~jnz1568/getInfo.php?workbook=14_04.xlsx&amp;sheet=U0&amp;row=6758&amp;col=6&amp;number=4.4&amp;sourceID=14","4.4")</f>
        <v>4.4</v>
      </c>
      <c r="G6758" s="4" t="str">
        <f>HYPERLINK("http://141.218.60.56/~jnz1568/getInfo.php?workbook=14_04.xlsx&amp;sheet=U0&amp;row=6758&amp;col=7&amp;number=1.41e-05&amp;sourceID=14","1.41e-05")</f>
        <v>1.41e-05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HYPERLINK("http://141.218.60.56/~jnz1568/getInfo.php?workbook=14_04.xlsx&amp;sheet=U0&amp;row=6759&amp;col=6&amp;number=4.5&amp;sourceID=14","4.5")</f>
        <v>4.5</v>
      </c>
      <c r="G6759" s="4" t="str">
        <f>HYPERLINK("http://141.218.60.56/~jnz1568/getInfo.php?workbook=14_04.xlsx&amp;sheet=U0&amp;row=6759&amp;col=7&amp;number=1.41e-05&amp;sourceID=14","1.41e-05")</f>
        <v>1.41e-05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HYPERLINK("http://141.218.60.56/~jnz1568/getInfo.php?workbook=14_04.xlsx&amp;sheet=U0&amp;row=6760&amp;col=6&amp;number=4.6&amp;sourceID=14","4.6")</f>
        <v>4.6</v>
      </c>
      <c r="G6760" s="4" t="str">
        <f>HYPERLINK("http://141.218.60.56/~jnz1568/getInfo.php?workbook=14_04.xlsx&amp;sheet=U0&amp;row=6760&amp;col=7&amp;number=1.41e-05&amp;sourceID=14","1.41e-05")</f>
        <v>1.41e-05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HYPERLINK("http://141.218.60.56/~jnz1568/getInfo.php?workbook=14_04.xlsx&amp;sheet=U0&amp;row=6761&amp;col=6&amp;number=4.7&amp;sourceID=14","4.7")</f>
        <v>4.7</v>
      </c>
      <c r="G6761" s="4" t="str">
        <f>HYPERLINK("http://141.218.60.56/~jnz1568/getInfo.php?workbook=14_04.xlsx&amp;sheet=U0&amp;row=6761&amp;col=7&amp;number=1.41e-05&amp;sourceID=14","1.41e-05")</f>
        <v>1.41e-05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HYPERLINK("http://141.218.60.56/~jnz1568/getInfo.php?workbook=14_04.xlsx&amp;sheet=U0&amp;row=6762&amp;col=6&amp;number=4.8&amp;sourceID=14","4.8")</f>
        <v>4.8</v>
      </c>
      <c r="G6762" s="4" t="str">
        <f>HYPERLINK("http://141.218.60.56/~jnz1568/getInfo.php?workbook=14_04.xlsx&amp;sheet=U0&amp;row=6762&amp;col=7&amp;number=1.41e-05&amp;sourceID=14","1.41e-05")</f>
        <v>1.41e-05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HYPERLINK("http://141.218.60.56/~jnz1568/getInfo.php?workbook=14_04.xlsx&amp;sheet=U0&amp;row=6763&amp;col=6&amp;number=4.9&amp;sourceID=14","4.9")</f>
        <v>4.9</v>
      </c>
      <c r="G6763" s="4" t="str">
        <f>HYPERLINK("http://141.218.60.56/~jnz1568/getInfo.php?workbook=14_04.xlsx&amp;sheet=U0&amp;row=6763&amp;col=7&amp;number=1.41e-05&amp;sourceID=14","1.41e-05")</f>
        <v>1.41e-05</v>
      </c>
    </row>
    <row r="6764" spans="1:7">
      <c r="A6764" s="3">
        <v>14</v>
      </c>
      <c r="B6764" s="3">
        <v>4</v>
      </c>
      <c r="C6764" s="3">
        <v>4</v>
      </c>
      <c r="D6764" s="3">
        <v>58</v>
      </c>
      <c r="E6764" s="3">
        <v>1</v>
      </c>
      <c r="F6764" s="4" t="str">
        <f>HYPERLINK("http://141.218.60.56/~jnz1568/getInfo.php?workbook=14_04.xlsx&amp;sheet=U0&amp;row=6764&amp;col=6&amp;number=3&amp;sourceID=14","3")</f>
        <v>3</v>
      </c>
      <c r="G6764" s="4" t="str">
        <f>HYPERLINK("http://141.218.60.56/~jnz1568/getInfo.php?workbook=14_04.xlsx&amp;sheet=U0&amp;row=6764&amp;col=7&amp;number=0.000203&amp;sourceID=14","0.000203")</f>
        <v>0.000203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HYPERLINK("http://141.218.60.56/~jnz1568/getInfo.php?workbook=14_04.xlsx&amp;sheet=U0&amp;row=6765&amp;col=6&amp;number=3.1&amp;sourceID=14","3.1")</f>
        <v>3.1</v>
      </c>
      <c r="G6765" s="4" t="str">
        <f>HYPERLINK("http://141.218.60.56/~jnz1568/getInfo.php?workbook=14_04.xlsx&amp;sheet=U0&amp;row=6765&amp;col=7&amp;number=0.000203&amp;sourceID=14","0.000203")</f>
        <v>0.000203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HYPERLINK("http://141.218.60.56/~jnz1568/getInfo.php?workbook=14_04.xlsx&amp;sheet=U0&amp;row=6766&amp;col=6&amp;number=3.2&amp;sourceID=14","3.2")</f>
        <v>3.2</v>
      </c>
      <c r="G6766" s="4" t="str">
        <f>HYPERLINK("http://141.218.60.56/~jnz1568/getInfo.php?workbook=14_04.xlsx&amp;sheet=U0&amp;row=6766&amp;col=7&amp;number=0.000203&amp;sourceID=14","0.000203")</f>
        <v>0.000203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HYPERLINK("http://141.218.60.56/~jnz1568/getInfo.php?workbook=14_04.xlsx&amp;sheet=U0&amp;row=6767&amp;col=6&amp;number=3.3&amp;sourceID=14","3.3")</f>
        <v>3.3</v>
      </c>
      <c r="G6767" s="4" t="str">
        <f>HYPERLINK("http://141.218.60.56/~jnz1568/getInfo.php?workbook=14_04.xlsx&amp;sheet=U0&amp;row=6767&amp;col=7&amp;number=0.000203&amp;sourceID=14","0.000203")</f>
        <v>0.000203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HYPERLINK("http://141.218.60.56/~jnz1568/getInfo.php?workbook=14_04.xlsx&amp;sheet=U0&amp;row=6768&amp;col=6&amp;number=3.4&amp;sourceID=14","3.4")</f>
        <v>3.4</v>
      </c>
      <c r="G6768" s="4" t="str">
        <f>HYPERLINK("http://141.218.60.56/~jnz1568/getInfo.php?workbook=14_04.xlsx&amp;sheet=U0&amp;row=6768&amp;col=7&amp;number=0.000203&amp;sourceID=14","0.000203")</f>
        <v>0.000203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HYPERLINK("http://141.218.60.56/~jnz1568/getInfo.php?workbook=14_04.xlsx&amp;sheet=U0&amp;row=6769&amp;col=6&amp;number=3.5&amp;sourceID=14","3.5")</f>
        <v>3.5</v>
      </c>
      <c r="G6769" s="4" t="str">
        <f>HYPERLINK("http://141.218.60.56/~jnz1568/getInfo.php?workbook=14_04.xlsx&amp;sheet=U0&amp;row=6769&amp;col=7&amp;number=0.000203&amp;sourceID=14","0.000203")</f>
        <v>0.000203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HYPERLINK("http://141.218.60.56/~jnz1568/getInfo.php?workbook=14_04.xlsx&amp;sheet=U0&amp;row=6770&amp;col=6&amp;number=3.6&amp;sourceID=14","3.6")</f>
        <v>3.6</v>
      </c>
      <c r="G6770" s="4" t="str">
        <f>HYPERLINK("http://141.218.60.56/~jnz1568/getInfo.php?workbook=14_04.xlsx&amp;sheet=U0&amp;row=6770&amp;col=7&amp;number=0.000203&amp;sourceID=14","0.000203")</f>
        <v>0.000203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HYPERLINK("http://141.218.60.56/~jnz1568/getInfo.php?workbook=14_04.xlsx&amp;sheet=U0&amp;row=6771&amp;col=6&amp;number=3.7&amp;sourceID=14","3.7")</f>
        <v>3.7</v>
      </c>
      <c r="G6771" s="4" t="str">
        <f>HYPERLINK("http://141.218.60.56/~jnz1568/getInfo.php?workbook=14_04.xlsx&amp;sheet=U0&amp;row=6771&amp;col=7&amp;number=0.000203&amp;sourceID=14","0.000203")</f>
        <v>0.000203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HYPERLINK("http://141.218.60.56/~jnz1568/getInfo.php?workbook=14_04.xlsx&amp;sheet=U0&amp;row=6772&amp;col=6&amp;number=3.8&amp;sourceID=14","3.8")</f>
        <v>3.8</v>
      </c>
      <c r="G6772" s="4" t="str">
        <f>HYPERLINK("http://141.218.60.56/~jnz1568/getInfo.php?workbook=14_04.xlsx&amp;sheet=U0&amp;row=6772&amp;col=7&amp;number=0.000203&amp;sourceID=14","0.000203")</f>
        <v>0.000203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HYPERLINK("http://141.218.60.56/~jnz1568/getInfo.php?workbook=14_04.xlsx&amp;sheet=U0&amp;row=6773&amp;col=6&amp;number=3.9&amp;sourceID=14","3.9")</f>
        <v>3.9</v>
      </c>
      <c r="G6773" s="4" t="str">
        <f>HYPERLINK("http://141.218.60.56/~jnz1568/getInfo.php?workbook=14_04.xlsx&amp;sheet=U0&amp;row=6773&amp;col=7&amp;number=0.000203&amp;sourceID=14","0.000203")</f>
        <v>0.000203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HYPERLINK("http://141.218.60.56/~jnz1568/getInfo.php?workbook=14_04.xlsx&amp;sheet=U0&amp;row=6774&amp;col=6&amp;number=4&amp;sourceID=14","4")</f>
        <v>4</v>
      </c>
      <c r="G6774" s="4" t="str">
        <f>HYPERLINK("http://141.218.60.56/~jnz1568/getInfo.php?workbook=14_04.xlsx&amp;sheet=U0&amp;row=6774&amp;col=7&amp;number=0.000203&amp;sourceID=14","0.000203")</f>
        <v>0.000203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HYPERLINK("http://141.218.60.56/~jnz1568/getInfo.php?workbook=14_04.xlsx&amp;sheet=U0&amp;row=6775&amp;col=6&amp;number=4.1&amp;sourceID=14","4.1")</f>
        <v>4.1</v>
      </c>
      <c r="G6775" s="4" t="str">
        <f>HYPERLINK("http://141.218.60.56/~jnz1568/getInfo.php?workbook=14_04.xlsx&amp;sheet=U0&amp;row=6775&amp;col=7&amp;number=0.000203&amp;sourceID=14","0.000203")</f>
        <v>0.000203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HYPERLINK("http://141.218.60.56/~jnz1568/getInfo.php?workbook=14_04.xlsx&amp;sheet=U0&amp;row=6776&amp;col=6&amp;number=4.2&amp;sourceID=14","4.2")</f>
        <v>4.2</v>
      </c>
      <c r="G6776" s="4" t="str">
        <f>HYPERLINK("http://141.218.60.56/~jnz1568/getInfo.php?workbook=14_04.xlsx&amp;sheet=U0&amp;row=6776&amp;col=7&amp;number=0.000202&amp;sourceID=14","0.000202")</f>
        <v>0.000202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HYPERLINK("http://141.218.60.56/~jnz1568/getInfo.php?workbook=14_04.xlsx&amp;sheet=U0&amp;row=6777&amp;col=6&amp;number=4.3&amp;sourceID=14","4.3")</f>
        <v>4.3</v>
      </c>
      <c r="G6777" s="4" t="str">
        <f>HYPERLINK("http://141.218.60.56/~jnz1568/getInfo.php?workbook=14_04.xlsx&amp;sheet=U0&amp;row=6777&amp;col=7&amp;number=0.000202&amp;sourceID=14","0.000202")</f>
        <v>0.000202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HYPERLINK("http://141.218.60.56/~jnz1568/getInfo.php?workbook=14_04.xlsx&amp;sheet=U0&amp;row=6778&amp;col=6&amp;number=4.4&amp;sourceID=14","4.4")</f>
        <v>4.4</v>
      </c>
      <c r="G6778" s="4" t="str">
        <f>HYPERLINK("http://141.218.60.56/~jnz1568/getInfo.php?workbook=14_04.xlsx&amp;sheet=U0&amp;row=6778&amp;col=7&amp;number=0.000202&amp;sourceID=14","0.000202")</f>
        <v>0.000202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HYPERLINK("http://141.218.60.56/~jnz1568/getInfo.php?workbook=14_04.xlsx&amp;sheet=U0&amp;row=6779&amp;col=6&amp;number=4.5&amp;sourceID=14","4.5")</f>
        <v>4.5</v>
      </c>
      <c r="G6779" s="4" t="str">
        <f>HYPERLINK("http://141.218.60.56/~jnz1568/getInfo.php?workbook=14_04.xlsx&amp;sheet=U0&amp;row=6779&amp;col=7&amp;number=0.000202&amp;sourceID=14","0.000202")</f>
        <v>0.000202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HYPERLINK("http://141.218.60.56/~jnz1568/getInfo.php?workbook=14_04.xlsx&amp;sheet=U0&amp;row=6780&amp;col=6&amp;number=4.6&amp;sourceID=14","4.6")</f>
        <v>4.6</v>
      </c>
      <c r="G6780" s="4" t="str">
        <f>HYPERLINK("http://141.218.60.56/~jnz1568/getInfo.php?workbook=14_04.xlsx&amp;sheet=U0&amp;row=6780&amp;col=7&amp;number=0.000202&amp;sourceID=14","0.000202")</f>
        <v>0.000202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HYPERLINK("http://141.218.60.56/~jnz1568/getInfo.php?workbook=14_04.xlsx&amp;sheet=U0&amp;row=6781&amp;col=6&amp;number=4.7&amp;sourceID=14","4.7")</f>
        <v>4.7</v>
      </c>
      <c r="G6781" s="4" t="str">
        <f>HYPERLINK("http://141.218.60.56/~jnz1568/getInfo.php?workbook=14_04.xlsx&amp;sheet=U0&amp;row=6781&amp;col=7&amp;number=0.000201&amp;sourceID=14","0.000201")</f>
        <v>0.000201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HYPERLINK("http://141.218.60.56/~jnz1568/getInfo.php?workbook=14_04.xlsx&amp;sheet=U0&amp;row=6782&amp;col=6&amp;number=4.8&amp;sourceID=14","4.8")</f>
        <v>4.8</v>
      </c>
      <c r="G6782" s="4" t="str">
        <f>HYPERLINK("http://141.218.60.56/~jnz1568/getInfo.php?workbook=14_04.xlsx&amp;sheet=U0&amp;row=6782&amp;col=7&amp;number=0.000201&amp;sourceID=14","0.000201")</f>
        <v>0.000201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HYPERLINK("http://141.218.60.56/~jnz1568/getInfo.php?workbook=14_04.xlsx&amp;sheet=U0&amp;row=6783&amp;col=6&amp;number=4.9&amp;sourceID=14","4.9")</f>
        <v>4.9</v>
      </c>
      <c r="G6783" s="4" t="str">
        <f>HYPERLINK("http://141.218.60.56/~jnz1568/getInfo.php?workbook=14_04.xlsx&amp;sheet=U0&amp;row=6783&amp;col=7&amp;number=0.000201&amp;sourceID=14","0.000201")</f>
        <v>0.000201</v>
      </c>
    </row>
    <row r="6784" spans="1:7">
      <c r="A6784" s="3">
        <v>14</v>
      </c>
      <c r="B6784" s="3">
        <v>4</v>
      </c>
      <c r="C6784" s="3">
        <v>4</v>
      </c>
      <c r="D6784" s="3">
        <v>59</v>
      </c>
      <c r="E6784" s="3">
        <v>1</v>
      </c>
      <c r="F6784" s="4" t="str">
        <f>HYPERLINK("http://141.218.60.56/~jnz1568/getInfo.php?workbook=14_04.xlsx&amp;sheet=U0&amp;row=6784&amp;col=6&amp;number=3&amp;sourceID=14","3")</f>
        <v>3</v>
      </c>
      <c r="G6784" s="4" t="str">
        <f>HYPERLINK("http://141.218.60.56/~jnz1568/getInfo.php?workbook=14_04.xlsx&amp;sheet=U0&amp;row=6784&amp;col=7&amp;number=0.02&amp;sourceID=14","0.02")</f>
        <v>0.02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HYPERLINK("http://141.218.60.56/~jnz1568/getInfo.php?workbook=14_04.xlsx&amp;sheet=U0&amp;row=6785&amp;col=6&amp;number=3.1&amp;sourceID=14","3.1")</f>
        <v>3.1</v>
      </c>
      <c r="G6785" s="4" t="str">
        <f>HYPERLINK("http://141.218.60.56/~jnz1568/getInfo.php?workbook=14_04.xlsx&amp;sheet=U0&amp;row=6785&amp;col=7&amp;number=0.02&amp;sourceID=14","0.02")</f>
        <v>0.02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HYPERLINK("http://141.218.60.56/~jnz1568/getInfo.php?workbook=14_04.xlsx&amp;sheet=U0&amp;row=6786&amp;col=6&amp;number=3.2&amp;sourceID=14","3.2")</f>
        <v>3.2</v>
      </c>
      <c r="G6786" s="4" t="str">
        <f>HYPERLINK("http://141.218.60.56/~jnz1568/getInfo.php?workbook=14_04.xlsx&amp;sheet=U0&amp;row=6786&amp;col=7&amp;number=0.02&amp;sourceID=14","0.02")</f>
        <v>0.02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HYPERLINK("http://141.218.60.56/~jnz1568/getInfo.php?workbook=14_04.xlsx&amp;sheet=U0&amp;row=6787&amp;col=6&amp;number=3.3&amp;sourceID=14","3.3")</f>
        <v>3.3</v>
      </c>
      <c r="G6787" s="4" t="str">
        <f>HYPERLINK("http://141.218.60.56/~jnz1568/getInfo.php?workbook=14_04.xlsx&amp;sheet=U0&amp;row=6787&amp;col=7&amp;number=0.02&amp;sourceID=14","0.02")</f>
        <v>0.02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HYPERLINK("http://141.218.60.56/~jnz1568/getInfo.php?workbook=14_04.xlsx&amp;sheet=U0&amp;row=6788&amp;col=6&amp;number=3.4&amp;sourceID=14","3.4")</f>
        <v>3.4</v>
      </c>
      <c r="G6788" s="4" t="str">
        <f>HYPERLINK("http://141.218.60.56/~jnz1568/getInfo.php?workbook=14_04.xlsx&amp;sheet=U0&amp;row=6788&amp;col=7&amp;number=0.02&amp;sourceID=14","0.02")</f>
        <v>0.02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HYPERLINK("http://141.218.60.56/~jnz1568/getInfo.php?workbook=14_04.xlsx&amp;sheet=U0&amp;row=6789&amp;col=6&amp;number=3.5&amp;sourceID=14","3.5")</f>
        <v>3.5</v>
      </c>
      <c r="G6789" s="4" t="str">
        <f>HYPERLINK("http://141.218.60.56/~jnz1568/getInfo.php?workbook=14_04.xlsx&amp;sheet=U0&amp;row=6789&amp;col=7&amp;number=0.02&amp;sourceID=14","0.02")</f>
        <v>0.02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HYPERLINK("http://141.218.60.56/~jnz1568/getInfo.php?workbook=14_04.xlsx&amp;sheet=U0&amp;row=6790&amp;col=6&amp;number=3.6&amp;sourceID=14","3.6")</f>
        <v>3.6</v>
      </c>
      <c r="G6790" s="4" t="str">
        <f>HYPERLINK("http://141.218.60.56/~jnz1568/getInfo.php?workbook=14_04.xlsx&amp;sheet=U0&amp;row=6790&amp;col=7&amp;number=0.02&amp;sourceID=14","0.02")</f>
        <v>0.02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HYPERLINK("http://141.218.60.56/~jnz1568/getInfo.php?workbook=14_04.xlsx&amp;sheet=U0&amp;row=6791&amp;col=6&amp;number=3.7&amp;sourceID=14","3.7")</f>
        <v>3.7</v>
      </c>
      <c r="G6791" s="4" t="str">
        <f>HYPERLINK("http://141.218.60.56/~jnz1568/getInfo.php?workbook=14_04.xlsx&amp;sheet=U0&amp;row=6791&amp;col=7&amp;number=0.02&amp;sourceID=14","0.02")</f>
        <v>0.02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HYPERLINK("http://141.218.60.56/~jnz1568/getInfo.php?workbook=14_04.xlsx&amp;sheet=U0&amp;row=6792&amp;col=6&amp;number=3.8&amp;sourceID=14","3.8")</f>
        <v>3.8</v>
      </c>
      <c r="G6792" s="4" t="str">
        <f>HYPERLINK("http://141.218.60.56/~jnz1568/getInfo.php?workbook=14_04.xlsx&amp;sheet=U0&amp;row=6792&amp;col=7&amp;number=0.02&amp;sourceID=14","0.02")</f>
        <v>0.02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HYPERLINK("http://141.218.60.56/~jnz1568/getInfo.php?workbook=14_04.xlsx&amp;sheet=U0&amp;row=6793&amp;col=6&amp;number=3.9&amp;sourceID=14","3.9")</f>
        <v>3.9</v>
      </c>
      <c r="G6793" s="4" t="str">
        <f>HYPERLINK("http://141.218.60.56/~jnz1568/getInfo.php?workbook=14_04.xlsx&amp;sheet=U0&amp;row=6793&amp;col=7&amp;number=0.02&amp;sourceID=14","0.02")</f>
        <v>0.02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HYPERLINK("http://141.218.60.56/~jnz1568/getInfo.php?workbook=14_04.xlsx&amp;sheet=U0&amp;row=6794&amp;col=6&amp;number=4&amp;sourceID=14","4")</f>
        <v>4</v>
      </c>
      <c r="G6794" s="4" t="str">
        <f>HYPERLINK("http://141.218.60.56/~jnz1568/getInfo.php?workbook=14_04.xlsx&amp;sheet=U0&amp;row=6794&amp;col=7&amp;number=0.02&amp;sourceID=14","0.02")</f>
        <v>0.02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HYPERLINK("http://141.218.60.56/~jnz1568/getInfo.php?workbook=14_04.xlsx&amp;sheet=U0&amp;row=6795&amp;col=6&amp;number=4.1&amp;sourceID=14","4.1")</f>
        <v>4.1</v>
      </c>
      <c r="G6795" s="4" t="str">
        <f>HYPERLINK("http://141.218.60.56/~jnz1568/getInfo.php?workbook=14_04.xlsx&amp;sheet=U0&amp;row=6795&amp;col=7&amp;number=0.02&amp;sourceID=14","0.02")</f>
        <v>0.02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HYPERLINK("http://141.218.60.56/~jnz1568/getInfo.php?workbook=14_04.xlsx&amp;sheet=U0&amp;row=6796&amp;col=6&amp;number=4.2&amp;sourceID=14","4.2")</f>
        <v>4.2</v>
      </c>
      <c r="G6796" s="4" t="str">
        <f>HYPERLINK("http://141.218.60.56/~jnz1568/getInfo.php?workbook=14_04.xlsx&amp;sheet=U0&amp;row=6796&amp;col=7&amp;number=0.02&amp;sourceID=14","0.02")</f>
        <v>0.02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HYPERLINK("http://141.218.60.56/~jnz1568/getInfo.php?workbook=14_04.xlsx&amp;sheet=U0&amp;row=6797&amp;col=6&amp;number=4.3&amp;sourceID=14","4.3")</f>
        <v>4.3</v>
      </c>
      <c r="G6797" s="4" t="str">
        <f>HYPERLINK("http://141.218.60.56/~jnz1568/getInfo.php?workbook=14_04.xlsx&amp;sheet=U0&amp;row=6797&amp;col=7&amp;number=0.02&amp;sourceID=14","0.02")</f>
        <v>0.02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HYPERLINK("http://141.218.60.56/~jnz1568/getInfo.php?workbook=14_04.xlsx&amp;sheet=U0&amp;row=6798&amp;col=6&amp;number=4.4&amp;sourceID=14","4.4")</f>
        <v>4.4</v>
      </c>
      <c r="G6798" s="4" t="str">
        <f>HYPERLINK("http://141.218.60.56/~jnz1568/getInfo.php?workbook=14_04.xlsx&amp;sheet=U0&amp;row=6798&amp;col=7&amp;number=0.02&amp;sourceID=14","0.02")</f>
        <v>0.02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HYPERLINK("http://141.218.60.56/~jnz1568/getInfo.php?workbook=14_04.xlsx&amp;sheet=U0&amp;row=6799&amp;col=6&amp;number=4.5&amp;sourceID=14","4.5")</f>
        <v>4.5</v>
      </c>
      <c r="G6799" s="4" t="str">
        <f>HYPERLINK("http://141.218.60.56/~jnz1568/getInfo.php?workbook=14_04.xlsx&amp;sheet=U0&amp;row=6799&amp;col=7&amp;number=0.02&amp;sourceID=14","0.02")</f>
        <v>0.02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HYPERLINK("http://141.218.60.56/~jnz1568/getInfo.php?workbook=14_04.xlsx&amp;sheet=U0&amp;row=6800&amp;col=6&amp;number=4.6&amp;sourceID=14","4.6")</f>
        <v>4.6</v>
      </c>
      <c r="G6800" s="4" t="str">
        <f>HYPERLINK("http://141.218.60.56/~jnz1568/getInfo.php?workbook=14_04.xlsx&amp;sheet=U0&amp;row=6800&amp;col=7&amp;number=0.02&amp;sourceID=14","0.02")</f>
        <v>0.02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HYPERLINK("http://141.218.60.56/~jnz1568/getInfo.php?workbook=14_04.xlsx&amp;sheet=U0&amp;row=6801&amp;col=6&amp;number=4.7&amp;sourceID=14","4.7")</f>
        <v>4.7</v>
      </c>
      <c r="G6801" s="4" t="str">
        <f>HYPERLINK("http://141.218.60.56/~jnz1568/getInfo.php?workbook=14_04.xlsx&amp;sheet=U0&amp;row=6801&amp;col=7&amp;number=0.02&amp;sourceID=14","0.02")</f>
        <v>0.02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HYPERLINK("http://141.218.60.56/~jnz1568/getInfo.php?workbook=14_04.xlsx&amp;sheet=U0&amp;row=6802&amp;col=6&amp;number=4.8&amp;sourceID=14","4.8")</f>
        <v>4.8</v>
      </c>
      <c r="G6802" s="4" t="str">
        <f>HYPERLINK("http://141.218.60.56/~jnz1568/getInfo.php?workbook=14_04.xlsx&amp;sheet=U0&amp;row=6802&amp;col=7&amp;number=0.0201&amp;sourceID=14","0.0201")</f>
        <v>0.0201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HYPERLINK("http://141.218.60.56/~jnz1568/getInfo.php?workbook=14_04.xlsx&amp;sheet=U0&amp;row=6803&amp;col=6&amp;number=4.9&amp;sourceID=14","4.9")</f>
        <v>4.9</v>
      </c>
      <c r="G6803" s="4" t="str">
        <f>HYPERLINK("http://141.218.60.56/~jnz1568/getInfo.php?workbook=14_04.xlsx&amp;sheet=U0&amp;row=6803&amp;col=7&amp;number=0.0201&amp;sourceID=14","0.0201")</f>
        <v>0.0201</v>
      </c>
    </row>
    <row r="6804" spans="1:7">
      <c r="A6804" s="3">
        <v>14</v>
      </c>
      <c r="B6804" s="3">
        <v>4</v>
      </c>
      <c r="C6804" s="3">
        <v>4</v>
      </c>
      <c r="D6804" s="3">
        <v>60</v>
      </c>
      <c r="E6804" s="3">
        <v>1</v>
      </c>
      <c r="F6804" s="4" t="str">
        <f>HYPERLINK("http://141.218.60.56/~jnz1568/getInfo.php?workbook=14_04.xlsx&amp;sheet=U0&amp;row=6804&amp;col=6&amp;number=3&amp;sourceID=14","3")</f>
        <v>3</v>
      </c>
      <c r="G6804" s="4" t="str">
        <f>HYPERLINK("http://141.218.60.56/~jnz1568/getInfo.php?workbook=14_04.xlsx&amp;sheet=U0&amp;row=6804&amp;col=7&amp;number=0.0015&amp;sourceID=14","0.0015")</f>
        <v>0.0015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HYPERLINK("http://141.218.60.56/~jnz1568/getInfo.php?workbook=14_04.xlsx&amp;sheet=U0&amp;row=6805&amp;col=6&amp;number=3.1&amp;sourceID=14","3.1")</f>
        <v>3.1</v>
      </c>
      <c r="G6805" s="4" t="str">
        <f>HYPERLINK("http://141.218.60.56/~jnz1568/getInfo.php?workbook=14_04.xlsx&amp;sheet=U0&amp;row=6805&amp;col=7&amp;number=0.0015&amp;sourceID=14","0.0015")</f>
        <v>0.0015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HYPERLINK("http://141.218.60.56/~jnz1568/getInfo.php?workbook=14_04.xlsx&amp;sheet=U0&amp;row=6806&amp;col=6&amp;number=3.2&amp;sourceID=14","3.2")</f>
        <v>3.2</v>
      </c>
      <c r="G6806" s="4" t="str">
        <f>HYPERLINK("http://141.218.60.56/~jnz1568/getInfo.php?workbook=14_04.xlsx&amp;sheet=U0&amp;row=6806&amp;col=7&amp;number=0.0015&amp;sourceID=14","0.0015")</f>
        <v>0.0015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HYPERLINK("http://141.218.60.56/~jnz1568/getInfo.php?workbook=14_04.xlsx&amp;sheet=U0&amp;row=6807&amp;col=6&amp;number=3.3&amp;sourceID=14","3.3")</f>
        <v>3.3</v>
      </c>
      <c r="G6807" s="4" t="str">
        <f>HYPERLINK("http://141.218.60.56/~jnz1568/getInfo.php?workbook=14_04.xlsx&amp;sheet=U0&amp;row=6807&amp;col=7&amp;number=0.0015&amp;sourceID=14","0.0015")</f>
        <v>0.0015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HYPERLINK("http://141.218.60.56/~jnz1568/getInfo.php?workbook=14_04.xlsx&amp;sheet=U0&amp;row=6808&amp;col=6&amp;number=3.4&amp;sourceID=14","3.4")</f>
        <v>3.4</v>
      </c>
      <c r="G6808" s="4" t="str">
        <f>HYPERLINK("http://141.218.60.56/~jnz1568/getInfo.php?workbook=14_04.xlsx&amp;sheet=U0&amp;row=6808&amp;col=7&amp;number=0.0015&amp;sourceID=14","0.0015")</f>
        <v>0.0015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HYPERLINK("http://141.218.60.56/~jnz1568/getInfo.php?workbook=14_04.xlsx&amp;sheet=U0&amp;row=6809&amp;col=6&amp;number=3.5&amp;sourceID=14","3.5")</f>
        <v>3.5</v>
      </c>
      <c r="G6809" s="4" t="str">
        <f>HYPERLINK("http://141.218.60.56/~jnz1568/getInfo.php?workbook=14_04.xlsx&amp;sheet=U0&amp;row=6809&amp;col=7&amp;number=0.0015&amp;sourceID=14","0.0015")</f>
        <v>0.0015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HYPERLINK("http://141.218.60.56/~jnz1568/getInfo.php?workbook=14_04.xlsx&amp;sheet=U0&amp;row=6810&amp;col=6&amp;number=3.6&amp;sourceID=14","3.6")</f>
        <v>3.6</v>
      </c>
      <c r="G6810" s="4" t="str">
        <f>HYPERLINK("http://141.218.60.56/~jnz1568/getInfo.php?workbook=14_04.xlsx&amp;sheet=U0&amp;row=6810&amp;col=7&amp;number=0.0015&amp;sourceID=14","0.0015")</f>
        <v>0.0015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HYPERLINK("http://141.218.60.56/~jnz1568/getInfo.php?workbook=14_04.xlsx&amp;sheet=U0&amp;row=6811&amp;col=6&amp;number=3.7&amp;sourceID=14","3.7")</f>
        <v>3.7</v>
      </c>
      <c r="G6811" s="4" t="str">
        <f>HYPERLINK("http://141.218.60.56/~jnz1568/getInfo.php?workbook=14_04.xlsx&amp;sheet=U0&amp;row=6811&amp;col=7&amp;number=0.0015&amp;sourceID=14","0.0015")</f>
        <v>0.0015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HYPERLINK("http://141.218.60.56/~jnz1568/getInfo.php?workbook=14_04.xlsx&amp;sheet=U0&amp;row=6812&amp;col=6&amp;number=3.8&amp;sourceID=14","3.8")</f>
        <v>3.8</v>
      </c>
      <c r="G6812" s="4" t="str">
        <f>HYPERLINK("http://141.218.60.56/~jnz1568/getInfo.php?workbook=14_04.xlsx&amp;sheet=U0&amp;row=6812&amp;col=7&amp;number=0.0015&amp;sourceID=14","0.0015")</f>
        <v>0.0015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HYPERLINK("http://141.218.60.56/~jnz1568/getInfo.php?workbook=14_04.xlsx&amp;sheet=U0&amp;row=6813&amp;col=6&amp;number=3.9&amp;sourceID=14","3.9")</f>
        <v>3.9</v>
      </c>
      <c r="G6813" s="4" t="str">
        <f>HYPERLINK("http://141.218.60.56/~jnz1568/getInfo.php?workbook=14_04.xlsx&amp;sheet=U0&amp;row=6813&amp;col=7&amp;number=0.0015&amp;sourceID=14","0.0015")</f>
        <v>0.0015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HYPERLINK("http://141.218.60.56/~jnz1568/getInfo.php?workbook=14_04.xlsx&amp;sheet=U0&amp;row=6814&amp;col=6&amp;number=4&amp;sourceID=14","4")</f>
        <v>4</v>
      </c>
      <c r="G6814" s="4" t="str">
        <f>HYPERLINK("http://141.218.60.56/~jnz1568/getInfo.php?workbook=14_04.xlsx&amp;sheet=U0&amp;row=6814&amp;col=7&amp;number=0.0015&amp;sourceID=14","0.0015")</f>
        <v>0.0015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HYPERLINK("http://141.218.60.56/~jnz1568/getInfo.php?workbook=14_04.xlsx&amp;sheet=U0&amp;row=6815&amp;col=6&amp;number=4.1&amp;sourceID=14","4.1")</f>
        <v>4.1</v>
      </c>
      <c r="G6815" s="4" t="str">
        <f>HYPERLINK("http://141.218.60.56/~jnz1568/getInfo.php?workbook=14_04.xlsx&amp;sheet=U0&amp;row=6815&amp;col=7&amp;number=0.0015&amp;sourceID=14","0.0015")</f>
        <v>0.0015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HYPERLINK("http://141.218.60.56/~jnz1568/getInfo.php?workbook=14_04.xlsx&amp;sheet=U0&amp;row=6816&amp;col=6&amp;number=4.2&amp;sourceID=14","4.2")</f>
        <v>4.2</v>
      </c>
      <c r="G6816" s="4" t="str">
        <f>HYPERLINK("http://141.218.60.56/~jnz1568/getInfo.php?workbook=14_04.xlsx&amp;sheet=U0&amp;row=6816&amp;col=7&amp;number=0.0015&amp;sourceID=14","0.0015")</f>
        <v>0.0015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HYPERLINK("http://141.218.60.56/~jnz1568/getInfo.php?workbook=14_04.xlsx&amp;sheet=U0&amp;row=6817&amp;col=6&amp;number=4.3&amp;sourceID=14","4.3")</f>
        <v>4.3</v>
      </c>
      <c r="G6817" s="4" t="str">
        <f>HYPERLINK("http://141.218.60.56/~jnz1568/getInfo.php?workbook=14_04.xlsx&amp;sheet=U0&amp;row=6817&amp;col=7&amp;number=0.0015&amp;sourceID=14","0.0015")</f>
        <v>0.0015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HYPERLINK("http://141.218.60.56/~jnz1568/getInfo.php?workbook=14_04.xlsx&amp;sheet=U0&amp;row=6818&amp;col=6&amp;number=4.4&amp;sourceID=14","4.4")</f>
        <v>4.4</v>
      </c>
      <c r="G6818" s="4" t="str">
        <f>HYPERLINK("http://141.218.60.56/~jnz1568/getInfo.php?workbook=14_04.xlsx&amp;sheet=U0&amp;row=6818&amp;col=7&amp;number=0.0015&amp;sourceID=14","0.0015")</f>
        <v>0.0015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HYPERLINK("http://141.218.60.56/~jnz1568/getInfo.php?workbook=14_04.xlsx&amp;sheet=U0&amp;row=6819&amp;col=6&amp;number=4.5&amp;sourceID=14","4.5")</f>
        <v>4.5</v>
      </c>
      <c r="G6819" s="4" t="str">
        <f>HYPERLINK("http://141.218.60.56/~jnz1568/getInfo.php?workbook=14_04.xlsx&amp;sheet=U0&amp;row=6819&amp;col=7&amp;number=0.00149&amp;sourceID=14","0.00149")</f>
        <v>0.00149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HYPERLINK("http://141.218.60.56/~jnz1568/getInfo.php?workbook=14_04.xlsx&amp;sheet=U0&amp;row=6820&amp;col=6&amp;number=4.6&amp;sourceID=14","4.6")</f>
        <v>4.6</v>
      </c>
      <c r="G6820" s="4" t="str">
        <f>HYPERLINK("http://141.218.60.56/~jnz1568/getInfo.php?workbook=14_04.xlsx&amp;sheet=U0&amp;row=6820&amp;col=7&amp;number=0.00149&amp;sourceID=14","0.00149")</f>
        <v>0.00149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HYPERLINK("http://141.218.60.56/~jnz1568/getInfo.php?workbook=14_04.xlsx&amp;sheet=U0&amp;row=6821&amp;col=6&amp;number=4.7&amp;sourceID=14","4.7")</f>
        <v>4.7</v>
      </c>
      <c r="G6821" s="4" t="str">
        <f>HYPERLINK("http://141.218.60.56/~jnz1568/getInfo.php?workbook=14_04.xlsx&amp;sheet=U0&amp;row=6821&amp;col=7&amp;number=0.00149&amp;sourceID=14","0.00149")</f>
        <v>0.00149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HYPERLINK("http://141.218.60.56/~jnz1568/getInfo.php?workbook=14_04.xlsx&amp;sheet=U0&amp;row=6822&amp;col=6&amp;number=4.8&amp;sourceID=14","4.8")</f>
        <v>4.8</v>
      </c>
      <c r="G6822" s="4" t="str">
        <f>HYPERLINK("http://141.218.60.56/~jnz1568/getInfo.php?workbook=14_04.xlsx&amp;sheet=U0&amp;row=6822&amp;col=7&amp;number=0.00148&amp;sourceID=14","0.00148")</f>
        <v>0.00148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HYPERLINK("http://141.218.60.56/~jnz1568/getInfo.php?workbook=14_04.xlsx&amp;sheet=U0&amp;row=6823&amp;col=6&amp;number=4.9&amp;sourceID=14","4.9")</f>
        <v>4.9</v>
      </c>
      <c r="G6823" s="4" t="str">
        <f>HYPERLINK("http://141.218.60.56/~jnz1568/getInfo.php?workbook=14_04.xlsx&amp;sheet=U0&amp;row=6823&amp;col=7&amp;number=0.00147&amp;sourceID=14","0.00147")</f>
        <v>0.00147</v>
      </c>
    </row>
    <row r="6824" spans="1:7">
      <c r="A6824" s="3">
        <v>14</v>
      </c>
      <c r="B6824" s="3">
        <v>4</v>
      </c>
      <c r="C6824" s="3">
        <v>4</v>
      </c>
      <c r="D6824" s="3">
        <v>61</v>
      </c>
      <c r="E6824" s="3">
        <v>1</v>
      </c>
      <c r="F6824" s="4" t="str">
        <f>HYPERLINK("http://141.218.60.56/~jnz1568/getInfo.php?workbook=14_04.xlsx&amp;sheet=U0&amp;row=6824&amp;col=6&amp;number=3&amp;sourceID=14","3")</f>
        <v>3</v>
      </c>
      <c r="G6824" s="4" t="str">
        <f>HYPERLINK("http://141.218.60.56/~jnz1568/getInfo.php?workbook=14_04.xlsx&amp;sheet=U0&amp;row=6824&amp;col=7&amp;number=0.000122&amp;sourceID=14","0.000122")</f>
        <v>0.000122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HYPERLINK("http://141.218.60.56/~jnz1568/getInfo.php?workbook=14_04.xlsx&amp;sheet=U0&amp;row=6825&amp;col=6&amp;number=3.1&amp;sourceID=14","3.1")</f>
        <v>3.1</v>
      </c>
      <c r="G6825" s="4" t="str">
        <f>HYPERLINK("http://141.218.60.56/~jnz1568/getInfo.php?workbook=14_04.xlsx&amp;sheet=U0&amp;row=6825&amp;col=7&amp;number=0.000122&amp;sourceID=14","0.000122")</f>
        <v>0.000122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HYPERLINK("http://141.218.60.56/~jnz1568/getInfo.php?workbook=14_04.xlsx&amp;sheet=U0&amp;row=6826&amp;col=6&amp;number=3.2&amp;sourceID=14","3.2")</f>
        <v>3.2</v>
      </c>
      <c r="G6826" s="4" t="str">
        <f>HYPERLINK("http://141.218.60.56/~jnz1568/getInfo.php?workbook=14_04.xlsx&amp;sheet=U0&amp;row=6826&amp;col=7&amp;number=0.000122&amp;sourceID=14","0.000122")</f>
        <v>0.000122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HYPERLINK("http://141.218.60.56/~jnz1568/getInfo.php?workbook=14_04.xlsx&amp;sheet=U0&amp;row=6827&amp;col=6&amp;number=3.3&amp;sourceID=14","3.3")</f>
        <v>3.3</v>
      </c>
      <c r="G6827" s="4" t="str">
        <f>HYPERLINK("http://141.218.60.56/~jnz1568/getInfo.php?workbook=14_04.xlsx&amp;sheet=U0&amp;row=6827&amp;col=7&amp;number=0.000122&amp;sourceID=14","0.000122")</f>
        <v>0.000122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HYPERLINK("http://141.218.60.56/~jnz1568/getInfo.php?workbook=14_04.xlsx&amp;sheet=U0&amp;row=6828&amp;col=6&amp;number=3.4&amp;sourceID=14","3.4")</f>
        <v>3.4</v>
      </c>
      <c r="G6828" s="4" t="str">
        <f>HYPERLINK("http://141.218.60.56/~jnz1568/getInfo.php?workbook=14_04.xlsx&amp;sheet=U0&amp;row=6828&amp;col=7&amp;number=0.000122&amp;sourceID=14","0.000122")</f>
        <v>0.000122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HYPERLINK("http://141.218.60.56/~jnz1568/getInfo.php?workbook=14_04.xlsx&amp;sheet=U0&amp;row=6829&amp;col=6&amp;number=3.5&amp;sourceID=14","3.5")</f>
        <v>3.5</v>
      </c>
      <c r="G6829" s="4" t="str">
        <f>HYPERLINK("http://141.218.60.56/~jnz1568/getInfo.php?workbook=14_04.xlsx&amp;sheet=U0&amp;row=6829&amp;col=7&amp;number=0.000122&amp;sourceID=14","0.000122")</f>
        <v>0.000122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HYPERLINK("http://141.218.60.56/~jnz1568/getInfo.php?workbook=14_04.xlsx&amp;sheet=U0&amp;row=6830&amp;col=6&amp;number=3.6&amp;sourceID=14","3.6")</f>
        <v>3.6</v>
      </c>
      <c r="G6830" s="4" t="str">
        <f>HYPERLINK("http://141.218.60.56/~jnz1568/getInfo.php?workbook=14_04.xlsx&amp;sheet=U0&amp;row=6830&amp;col=7&amp;number=0.000122&amp;sourceID=14","0.000122")</f>
        <v>0.000122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HYPERLINK("http://141.218.60.56/~jnz1568/getInfo.php?workbook=14_04.xlsx&amp;sheet=U0&amp;row=6831&amp;col=6&amp;number=3.7&amp;sourceID=14","3.7")</f>
        <v>3.7</v>
      </c>
      <c r="G6831" s="4" t="str">
        <f>HYPERLINK("http://141.218.60.56/~jnz1568/getInfo.php?workbook=14_04.xlsx&amp;sheet=U0&amp;row=6831&amp;col=7&amp;number=0.000121&amp;sourceID=14","0.000121")</f>
        <v>0.000121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HYPERLINK("http://141.218.60.56/~jnz1568/getInfo.php?workbook=14_04.xlsx&amp;sheet=U0&amp;row=6832&amp;col=6&amp;number=3.8&amp;sourceID=14","3.8")</f>
        <v>3.8</v>
      </c>
      <c r="G6832" s="4" t="str">
        <f>HYPERLINK("http://141.218.60.56/~jnz1568/getInfo.php?workbook=14_04.xlsx&amp;sheet=U0&amp;row=6832&amp;col=7&amp;number=0.000121&amp;sourceID=14","0.000121")</f>
        <v>0.000121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HYPERLINK("http://141.218.60.56/~jnz1568/getInfo.php?workbook=14_04.xlsx&amp;sheet=U0&amp;row=6833&amp;col=6&amp;number=3.9&amp;sourceID=14","3.9")</f>
        <v>3.9</v>
      </c>
      <c r="G6833" s="4" t="str">
        <f>HYPERLINK("http://141.218.60.56/~jnz1568/getInfo.php?workbook=14_04.xlsx&amp;sheet=U0&amp;row=6833&amp;col=7&amp;number=0.000121&amp;sourceID=14","0.000121")</f>
        <v>0.000121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HYPERLINK("http://141.218.60.56/~jnz1568/getInfo.php?workbook=14_04.xlsx&amp;sheet=U0&amp;row=6834&amp;col=6&amp;number=4&amp;sourceID=14","4")</f>
        <v>4</v>
      </c>
      <c r="G6834" s="4" t="str">
        <f>HYPERLINK("http://141.218.60.56/~jnz1568/getInfo.php?workbook=14_04.xlsx&amp;sheet=U0&amp;row=6834&amp;col=7&amp;number=0.000121&amp;sourceID=14","0.000121")</f>
        <v>0.000121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HYPERLINK("http://141.218.60.56/~jnz1568/getInfo.php?workbook=14_04.xlsx&amp;sheet=U0&amp;row=6835&amp;col=6&amp;number=4.1&amp;sourceID=14","4.1")</f>
        <v>4.1</v>
      </c>
      <c r="G6835" s="4" t="str">
        <f>HYPERLINK("http://141.218.60.56/~jnz1568/getInfo.php?workbook=14_04.xlsx&amp;sheet=U0&amp;row=6835&amp;col=7&amp;number=0.000121&amp;sourceID=14","0.000121")</f>
        <v>0.000121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HYPERLINK("http://141.218.60.56/~jnz1568/getInfo.php?workbook=14_04.xlsx&amp;sheet=U0&amp;row=6836&amp;col=6&amp;number=4.2&amp;sourceID=14","4.2")</f>
        <v>4.2</v>
      </c>
      <c r="G6836" s="4" t="str">
        <f>HYPERLINK("http://141.218.60.56/~jnz1568/getInfo.php?workbook=14_04.xlsx&amp;sheet=U0&amp;row=6836&amp;col=7&amp;number=0.000121&amp;sourceID=14","0.000121")</f>
        <v>0.000121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HYPERLINK("http://141.218.60.56/~jnz1568/getInfo.php?workbook=14_04.xlsx&amp;sheet=U0&amp;row=6837&amp;col=6&amp;number=4.3&amp;sourceID=14","4.3")</f>
        <v>4.3</v>
      </c>
      <c r="G6837" s="4" t="str">
        <f>HYPERLINK("http://141.218.60.56/~jnz1568/getInfo.php?workbook=14_04.xlsx&amp;sheet=U0&amp;row=6837&amp;col=7&amp;number=0.000121&amp;sourceID=14","0.000121")</f>
        <v>0.000121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HYPERLINK("http://141.218.60.56/~jnz1568/getInfo.php?workbook=14_04.xlsx&amp;sheet=U0&amp;row=6838&amp;col=6&amp;number=4.4&amp;sourceID=14","4.4")</f>
        <v>4.4</v>
      </c>
      <c r="G6838" s="4" t="str">
        <f>HYPERLINK("http://141.218.60.56/~jnz1568/getInfo.php?workbook=14_04.xlsx&amp;sheet=U0&amp;row=6838&amp;col=7&amp;number=0.000121&amp;sourceID=14","0.000121")</f>
        <v>0.000121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HYPERLINK("http://141.218.60.56/~jnz1568/getInfo.php?workbook=14_04.xlsx&amp;sheet=U0&amp;row=6839&amp;col=6&amp;number=4.5&amp;sourceID=14","4.5")</f>
        <v>4.5</v>
      </c>
      <c r="G6839" s="4" t="str">
        <f>HYPERLINK("http://141.218.60.56/~jnz1568/getInfo.php?workbook=14_04.xlsx&amp;sheet=U0&amp;row=6839&amp;col=7&amp;number=0.000121&amp;sourceID=14","0.000121")</f>
        <v>0.000121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HYPERLINK("http://141.218.60.56/~jnz1568/getInfo.php?workbook=14_04.xlsx&amp;sheet=U0&amp;row=6840&amp;col=6&amp;number=4.6&amp;sourceID=14","4.6")</f>
        <v>4.6</v>
      </c>
      <c r="G6840" s="4" t="str">
        <f>HYPERLINK("http://141.218.60.56/~jnz1568/getInfo.php?workbook=14_04.xlsx&amp;sheet=U0&amp;row=6840&amp;col=7&amp;number=0.000121&amp;sourceID=14","0.000121")</f>
        <v>0.000121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HYPERLINK("http://141.218.60.56/~jnz1568/getInfo.php?workbook=14_04.xlsx&amp;sheet=U0&amp;row=6841&amp;col=6&amp;number=4.7&amp;sourceID=14","4.7")</f>
        <v>4.7</v>
      </c>
      <c r="G6841" s="4" t="str">
        <f>HYPERLINK("http://141.218.60.56/~jnz1568/getInfo.php?workbook=14_04.xlsx&amp;sheet=U0&amp;row=6841&amp;col=7&amp;number=0.000121&amp;sourceID=14","0.000121")</f>
        <v>0.000121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HYPERLINK("http://141.218.60.56/~jnz1568/getInfo.php?workbook=14_04.xlsx&amp;sheet=U0&amp;row=6842&amp;col=6&amp;number=4.8&amp;sourceID=14","4.8")</f>
        <v>4.8</v>
      </c>
      <c r="G6842" s="4" t="str">
        <f>HYPERLINK("http://141.218.60.56/~jnz1568/getInfo.php?workbook=14_04.xlsx&amp;sheet=U0&amp;row=6842&amp;col=7&amp;number=0.00012&amp;sourceID=14","0.00012")</f>
        <v>0.00012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HYPERLINK("http://141.218.60.56/~jnz1568/getInfo.php?workbook=14_04.xlsx&amp;sheet=U0&amp;row=6843&amp;col=6&amp;number=4.9&amp;sourceID=14","4.9")</f>
        <v>4.9</v>
      </c>
      <c r="G6843" s="4" t="str">
        <f>HYPERLINK("http://141.218.60.56/~jnz1568/getInfo.php?workbook=14_04.xlsx&amp;sheet=U0&amp;row=6843&amp;col=7&amp;number=0.00012&amp;sourceID=14","0.00012")</f>
        <v>0.00012</v>
      </c>
    </row>
    <row r="6844" spans="1:7">
      <c r="A6844" s="3">
        <v>14</v>
      </c>
      <c r="B6844" s="3">
        <v>4</v>
      </c>
      <c r="C6844" s="3">
        <v>4</v>
      </c>
      <c r="D6844" s="3">
        <v>62</v>
      </c>
      <c r="E6844" s="3">
        <v>1</v>
      </c>
      <c r="F6844" s="4" t="str">
        <f>HYPERLINK("http://141.218.60.56/~jnz1568/getInfo.php?workbook=14_04.xlsx&amp;sheet=U0&amp;row=6844&amp;col=6&amp;number=3&amp;sourceID=14","3")</f>
        <v>3</v>
      </c>
      <c r="G6844" s="4" t="str">
        <f>HYPERLINK("http://141.218.60.56/~jnz1568/getInfo.php?workbook=14_04.xlsx&amp;sheet=U0&amp;row=6844&amp;col=7&amp;number=0.000537&amp;sourceID=14","0.000537")</f>
        <v>0.000537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HYPERLINK("http://141.218.60.56/~jnz1568/getInfo.php?workbook=14_04.xlsx&amp;sheet=U0&amp;row=6845&amp;col=6&amp;number=3.1&amp;sourceID=14","3.1")</f>
        <v>3.1</v>
      </c>
      <c r="G6845" s="4" t="str">
        <f>HYPERLINK("http://141.218.60.56/~jnz1568/getInfo.php?workbook=14_04.xlsx&amp;sheet=U0&amp;row=6845&amp;col=7&amp;number=0.000537&amp;sourceID=14","0.000537")</f>
        <v>0.000537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HYPERLINK("http://141.218.60.56/~jnz1568/getInfo.php?workbook=14_04.xlsx&amp;sheet=U0&amp;row=6846&amp;col=6&amp;number=3.2&amp;sourceID=14","3.2")</f>
        <v>3.2</v>
      </c>
      <c r="G6846" s="4" t="str">
        <f>HYPERLINK("http://141.218.60.56/~jnz1568/getInfo.php?workbook=14_04.xlsx&amp;sheet=U0&amp;row=6846&amp;col=7&amp;number=0.000537&amp;sourceID=14","0.000537")</f>
        <v>0.000537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HYPERLINK("http://141.218.60.56/~jnz1568/getInfo.php?workbook=14_04.xlsx&amp;sheet=U0&amp;row=6847&amp;col=6&amp;number=3.3&amp;sourceID=14","3.3")</f>
        <v>3.3</v>
      </c>
      <c r="G6847" s="4" t="str">
        <f>HYPERLINK("http://141.218.60.56/~jnz1568/getInfo.php?workbook=14_04.xlsx&amp;sheet=U0&amp;row=6847&amp;col=7&amp;number=0.000537&amp;sourceID=14","0.000537")</f>
        <v>0.000537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HYPERLINK("http://141.218.60.56/~jnz1568/getInfo.php?workbook=14_04.xlsx&amp;sheet=U0&amp;row=6848&amp;col=6&amp;number=3.4&amp;sourceID=14","3.4")</f>
        <v>3.4</v>
      </c>
      <c r="G6848" s="4" t="str">
        <f>HYPERLINK("http://141.218.60.56/~jnz1568/getInfo.php?workbook=14_04.xlsx&amp;sheet=U0&amp;row=6848&amp;col=7&amp;number=0.000537&amp;sourceID=14","0.000537")</f>
        <v>0.000537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HYPERLINK("http://141.218.60.56/~jnz1568/getInfo.php?workbook=14_04.xlsx&amp;sheet=U0&amp;row=6849&amp;col=6&amp;number=3.5&amp;sourceID=14","3.5")</f>
        <v>3.5</v>
      </c>
      <c r="G6849" s="4" t="str">
        <f>HYPERLINK("http://141.218.60.56/~jnz1568/getInfo.php?workbook=14_04.xlsx&amp;sheet=U0&amp;row=6849&amp;col=7&amp;number=0.000537&amp;sourceID=14","0.000537")</f>
        <v>0.000537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HYPERLINK("http://141.218.60.56/~jnz1568/getInfo.php?workbook=14_04.xlsx&amp;sheet=U0&amp;row=6850&amp;col=6&amp;number=3.6&amp;sourceID=14","3.6")</f>
        <v>3.6</v>
      </c>
      <c r="G6850" s="4" t="str">
        <f>HYPERLINK("http://141.218.60.56/~jnz1568/getInfo.php?workbook=14_04.xlsx&amp;sheet=U0&amp;row=6850&amp;col=7&amp;number=0.000537&amp;sourceID=14","0.000537")</f>
        <v>0.000537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HYPERLINK("http://141.218.60.56/~jnz1568/getInfo.php?workbook=14_04.xlsx&amp;sheet=U0&amp;row=6851&amp;col=6&amp;number=3.7&amp;sourceID=14","3.7")</f>
        <v>3.7</v>
      </c>
      <c r="G6851" s="4" t="str">
        <f>HYPERLINK("http://141.218.60.56/~jnz1568/getInfo.php?workbook=14_04.xlsx&amp;sheet=U0&amp;row=6851&amp;col=7&amp;number=0.000537&amp;sourceID=14","0.000537")</f>
        <v>0.000537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HYPERLINK("http://141.218.60.56/~jnz1568/getInfo.php?workbook=14_04.xlsx&amp;sheet=U0&amp;row=6852&amp;col=6&amp;number=3.8&amp;sourceID=14","3.8")</f>
        <v>3.8</v>
      </c>
      <c r="G6852" s="4" t="str">
        <f>HYPERLINK("http://141.218.60.56/~jnz1568/getInfo.php?workbook=14_04.xlsx&amp;sheet=U0&amp;row=6852&amp;col=7&amp;number=0.000537&amp;sourceID=14","0.000537")</f>
        <v>0.000537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HYPERLINK("http://141.218.60.56/~jnz1568/getInfo.php?workbook=14_04.xlsx&amp;sheet=U0&amp;row=6853&amp;col=6&amp;number=3.9&amp;sourceID=14","3.9")</f>
        <v>3.9</v>
      </c>
      <c r="G6853" s="4" t="str">
        <f>HYPERLINK("http://141.218.60.56/~jnz1568/getInfo.php?workbook=14_04.xlsx&amp;sheet=U0&amp;row=6853&amp;col=7&amp;number=0.000537&amp;sourceID=14","0.000537")</f>
        <v>0.000537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HYPERLINK("http://141.218.60.56/~jnz1568/getInfo.php?workbook=14_04.xlsx&amp;sheet=U0&amp;row=6854&amp;col=6&amp;number=4&amp;sourceID=14","4")</f>
        <v>4</v>
      </c>
      <c r="G6854" s="4" t="str">
        <f>HYPERLINK("http://141.218.60.56/~jnz1568/getInfo.php?workbook=14_04.xlsx&amp;sheet=U0&amp;row=6854&amp;col=7&amp;number=0.000537&amp;sourceID=14","0.000537")</f>
        <v>0.000537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HYPERLINK("http://141.218.60.56/~jnz1568/getInfo.php?workbook=14_04.xlsx&amp;sheet=U0&amp;row=6855&amp;col=6&amp;number=4.1&amp;sourceID=14","4.1")</f>
        <v>4.1</v>
      </c>
      <c r="G6855" s="4" t="str">
        <f>HYPERLINK("http://141.218.60.56/~jnz1568/getInfo.php?workbook=14_04.xlsx&amp;sheet=U0&amp;row=6855&amp;col=7&amp;number=0.000537&amp;sourceID=14","0.000537")</f>
        <v>0.000537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HYPERLINK("http://141.218.60.56/~jnz1568/getInfo.php?workbook=14_04.xlsx&amp;sheet=U0&amp;row=6856&amp;col=6&amp;number=4.2&amp;sourceID=14","4.2")</f>
        <v>4.2</v>
      </c>
      <c r="G6856" s="4" t="str">
        <f>HYPERLINK("http://141.218.60.56/~jnz1568/getInfo.php?workbook=14_04.xlsx&amp;sheet=U0&amp;row=6856&amp;col=7&amp;number=0.000536&amp;sourceID=14","0.000536")</f>
        <v>0.000536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HYPERLINK("http://141.218.60.56/~jnz1568/getInfo.php?workbook=14_04.xlsx&amp;sheet=U0&amp;row=6857&amp;col=6&amp;number=4.3&amp;sourceID=14","4.3")</f>
        <v>4.3</v>
      </c>
      <c r="G6857" s="4" t="str">
        <f>HYPERLINK("http://141.218.60.56/~jnz1568/getInfo.php?workbook=14_04.xlsx&amp;sheet=U0&amp;row=6857&amp;col=7&amp;number=0.000536&amp;sourceID=14","0.000536")</f>
        <v>0.000536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HYPERLINK("http://141.218.60.56/~jnz1568/getInfo.php?workbook=14_04.xlsx&amp;sheet=U0&amp;row=6858&amp;col=6&amp;number=4.4&amp;sourceID=14","4.4")</f>
        <v>4.4</v>
      </c>
      <c r="G6858" s="4" t="str">
        <f>HYPERLINK("http://141.218.60.56/~jnz1568/getInfo.php?workbook=14_04.xlsx&amp;sheet=U0&amp;row=6858&amp;col=7&amp;number=0.000536&amp;sourceID=14","0.000536")</f>
        <v>0.000536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HYPERLINK("http://141.218.60.56/~jnz1568/getInfo.php?workbook=14_04.xlsx&amp;sheet=U0&amp;row=6859&amp;col=6&amp;number=4.5&amp;sourceID=14","4.5")</f>
        <v>4.5</v>
      </c>
      <c r="G6859" s="4" t="str">
        <f>HYPERLINK("http://141.218.60.56/~jnz1568/getInfo.php?workbook=14_04.xlsx&amp;sheet=U0&amp;row=6859&amp;col=7&amp;number=0.000535&amp;sourceID=14","0.000535")</f>
        <v>0.000535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HYPERLINK("http://141.218.60.56/~jnz1568/getInfo.php?workbook=14_04.xlsx&amp;sheet=U0&amp;row=6860&amp;col=6&amp;number=4.6&amp;sourceID=14","4.6")</f>
        <v>4.6</v>
      </c>
      <c r="G6860" s="4" t="str">
        <f>HYPERLINK("http://141.218.60.56/~jnz1568/getInfo.php?workbook=14_04.xlsx&amp;sheet=U0&amp;row=6860&amp;col=7&amp;number=0.000535&amp;sourceID=14","0.000535")</f>
        <v>0.000535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HYPERLINK("http://141.218.60.56/~jnz1568/getInfo.php?workbook=14_04.xlsx&amp;sheet=U0&amp;row=6861&amp;col=6&amp;number=4.7&amp;sourceID=14","4.7")</f>
        <v>4.7</v>
      </c>
      <c r="G6861" s="4" t="str">
        <f>HYPERLINK("http://141.218.60.56/~jnz1568/getInfo.php?workbook=14_04.xlsx&amp;sheet=U0&amp;row=6861&amp;col=7&amp;number=0.000534&amp;sourceID=14","0.000534")</f>
        <v>0.000534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HYPERLINK("http://141.218.60.56/~jnz1568/getInfo.php?workbook=14_04.xlsx&amp;sheet=U0&amp;row=6862&amp;col=6&amp;number=4.8&amp;sourceID=14","4.8")</f>
        <v>4.8</v>
      </c>
      <c r="G6862" s="4" t="str">
        <f>HYPERLINK("http://141.218.60.56/~jnz1568/getInfo.php?workbook=14_04.xlsx&amp;sheet=U0&amp;row=6862&amp;col=7&amp;number=0.000534&amp;sourceID=14","0.000534")</f>
        <v>0.000534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HYPERLINK("http://141.218.60.56/~jnz1568/getInfo.php?workbook=14_04.xlsx&amp;sheet=U0&amp;row=6863&amp;col=6&amp;number=4.9&amp;sourceID=14","4.9")</f>
        <v>4.9</v>
      </c>
      <c r="G6863" s="4" t="str">
        <f>HYPERLINK("http://141.218.60.56/~jnz1568/getInfo.php?workbook=14_04.xlsx&amp;sheet=U0&amp;row=6863&amp;col=7&amp;number=0.000533&amp;sourceID=14","0.000533")</f>
        <v>0.000533</v>
      </c>
    </row>
    <row r="6864" spans="1:7">
      <c r="A6864" s="3">
        <v>14</v>
      </c>
      <c r="B6864" s="3">
        <v>4</v>
      </c>
      <c r="C6864" s="3">
        <v>4</v>
      </c>
      <c r="D6864" s="3">
        <v>63</v>
      </c>
      <c r="E6864" s="3">
        <v>1</v>
      </c>
      <c r="F6864" s="4" t="str">
        <f>HYPERLINK("http://141.218.60.56/~jnz1568/getInfo.php?workbook=14_04.xlsx&amp;sheet=U0&amp;row=6864&amp;col=6&amp;number=3&amp;sourceID=14","3")</f>
        <v>3</v>
      </c>
      <c r="G6864" s="4" t="str">
        <f>HYPERLINK("http://141.218.60.56/~jnz1568/getInfo.php?workbook=14_04.xlsx&amp;sheet=U0&amp;row=6864&amp;col=7&amp;number=0.000692&amp;sourceID=14","0.000692")</f>
        <v>0.000692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HYPERLINK("http://141.218.60.56/~jnz1568/getInfo.php?workbook=14_04.xlsx&amp;sheet=U0&amp;row=6865&amp;col=6&amp;number=3.1&amp;sourceID=14","3.1")</f>
        <v>3.1</v>
      </c>
      <c r="G6865" s="4" t="str">
        <f>HYPERLINK("http://141.218.60.56/~jnz1568/getInfo.php?workbook=14_04.xlsx&amp;sheet=U0&amp;row=6865&amp;col=7&amp;number=0.000692&amp;sourceID=14","0.000692")</f>
        <v>0.000692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HYPERLINK("http://141.218.60.56/~jnz1568/getInfo.php?workbook=14_04.xlsx&amp;sheet=U0&amp;row=6866&amp;col=6&amp;number=3.2&amp;sourceID=14","3.2")</f>
        <v>3.2</v>
      </c>
      <c r="G6866" s="4" t="str">
        <f>HYPERLINK("http://141.218.60.56/~jnz1568/getInfo.php?workbook=14_04.xlsx&amp;sheet=U0&amp;row=6866&amp;col=7&amp;number=0.000692&amp;sourceID=14","0.000692")</f>
        <v>0.000692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HYPERLINK("http://141.218.60.56/~jnz1568/getInfo.php?workbook=14_04.xlsx&amp;sheet=U0&amp;row=6867&amp;col=6&amp;number=3.3&amp;sourceID=14","3.3")</f>
        <v>3.3</v>
      </c>
      <c r="G6867" s="4" t="str">
        <f>HYPERLINK("http://141.218.60.56/~jnz1568/getInfo.php?workbook=14_04.xlsx&amp;sheet=U0&amp;row=6867&amp;col=7&amp;number=0.000692&amp;sourceID=14","0.000692")</f>
        <v>0.000692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HYPERLINK("http://141.218.60.56/~jnz1568/getInfo.php?workbook=14_04.xlsx&amp;sheet=U0&amp;row=6868&amp;col=6&amp;number=3.4&amp;sourceID=14","3.4")</f>
        <v>3.4</v>
      </c>
      <c r="G6868" s="4" t="str">
        <f>HYPERLINK("http://141.218.60.56/~jnz1568/getInfo.php?workbook=14_04.xlsx&amp;sheet=U0&amp;row=6868&amp;col=7&amp;number=0.000692&amp;sourceID=14","0.000692")</f>
        <v>0.000692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HYPERLINK("http://141.218.60.56/~jnz1568/getInfo.php?workbook=14_04.xlsx&amp;sheet=U0&amp;row=6869&amp;col=6&amp;number=3.5&amp;sourceID=14","3.5")</f>
        <v>3.5</v>
      </c>
      <c r="G6869" s="4" t="str">
        <f>HYPERLINK("http://141.218.60.56/~jnz1568/getInfo.php?workbook=14_04.xlsx&amp;sheet=U0&amp;row=6869&amp;col=7&amp;number=0.000693&amp;sourceID=14","0.000693")</f>
        <v>0.000693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HYPERLINK("http://141.218.60.56/~jnz1568/getInfo.php?workbook=14_04.xlsx&amp;sheet=U0&amp;row=6870&amp;col=6&amp;number=3.6&amp;sourceID=14","3.6")</f>
        <v>3.6</v>
      </c>
      <c r="G6870" s="4" t="str">
        <f>HYPERLINK("http://141.218.60.56/~jnz1568/getInfo.php?workbook=14_04.xlsx&amp;sheet=U0&amp;row=6870&amp;col=7&amp;number=0.000693&amp;sourceID=14","0.000693")</f>
        <v>0.000693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HYPERLINK("http://141.218.60.56/~jnz1568/getInfo.php?workbook=14_04.xlsx&amp;sheet=U0&amp;row=6871&amp;col=6&amp;number=3.7&amp;sourceID=14","3.7")</f>
        <v>3.7</v>
      </c>
      <c r="G6871" s="4" t="str">
        <f>HYPERLINK("http://141.218.60.56/~jnz1568/getInfo.php?workbook=14_04.xlsx&amp;sheet=U0&amp;row=6871&amp;col=7&amp;number=0.000693&amp;sourceID=14","0.000693")</f>
        <v>0.000693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HYPERLINK("http://141.218.60.56/~jnz1568/getInfo.php?workbook=14_04.xlsx&amp;sheet=U0&amp;row=6872&amp;col=6&amp;number=3.8&amp;sourceID=14","3.8")</f>
        <v>3.8</v>
      </c>
      <c r="G6872" s="4" t="str">
        <f>HYPERLINK("http://141.218.60.56/~jnz1568/getInfo.php?workbook=14_04.xlsx&amp;sheet=U0&amp;row=6872&amp;col=7&amp;number=0.000693&amp;sourceID=14","0.000693")</f>
        <v>0.000693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HYPERLINK("http://141.218.60.56/~jnz1568/getInfo.php?workbook=14_04.xlsx&amp;sheet=U0&amp;row=6873&amp;col=6&amp;number=3.9&amp;sourceID=14","3.9")</f>
        <v>3.9</v>
      </c>
      <c r="G6873" s="4" t="str">
        <f>HYPERLINK("http://141.218.60.56/~jnz1568/getInfo.php?workbook=14_04.xlsx&amp;sheet=U0&amp;row=6873&amp;col=7&amp;number=0.000693&amp;sourceID=14","0.000693")</f>
        <v>0.000693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HYPERLINK("http://141.218.60.56/~jnz1568/getInfo.php?workbook=14_04.xlsx&amp;sheet=U0&amp;row=6874&amp;col=6&amp;number=4&amp;sourceID=14","4")</f>
        <v>4</v>
      </c>
      <c r="G6874" s="4" t="str">
        <f>HYPERLINK("http://141.218.60.56/~jnz1568/getInfo.php?workbook=14_04.xlsx&amp;sheet=U0&amp;row=6874&amp;col=7&amp;number=0.000693&amp;sourceID=14","0.000693")</f>
        <v>0.000693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HYPERLINK("http://141.218.60.56/~jnz1568/getInfo.php?workbook=14_04.xlsx&amp;sheet=U0&amp;row=6875&amp;col=6&amp;number=4.1&amp;sourceID=14","4.1")</f>
        <v>4.1</v>
      </c>
      <c r="G6875" s="4" t="str">
        <f>HYPERLINK("http://141.218.60.56/~jnz1568/getInfo.php?workbook=14_04.xlsx&amp;sheet=U0&amp;row=6875&amp;col=7&amp;number=0.000693&amp;sourceID=14","0.000693")</f>
        <v>0.000693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HYPERLINK("http://141.218.60.56/~jnz1568/getInfo.php?workbook=14_04.xlsx&amp;sheet=U0&amp;row=6876&amp;col=6&amp;number=4.2&amp;sourceID=14","4.2")</f>
        <v>4.2</v>
      </c>
      <c r="G6876" s="4" t="str">
        <f>HYPERLINK("http://141.218.60.56/~jnz1568/getInfo.php?workbook=14_04.xlsx&amp;sheet=U0&amp;row=6876&amp;col=7&amp;number=0.000694&amp;sourceID=14","0.000694")</f>
        <v>0.000694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HYPERLINK("http://141.218.60.56/~jnz1568/getInfo.php?workbook=14_04.xlsx&amp;sheet=U0&amp;row=6877&amp;col=6&amp;number=4.3&amp;sourceID=14","4.3")</f>
        <v>4.3</v>
      </c>
      <c r="G6877" s="4" t="str">
        <f>HYPERLINK("http://141.218.60.56/~jnz1568/getInfo.php?workbook=14_04.xlsx&amp;sheet=U0&amp;row=6877&amp;col=7&amp;number=0.000694&amp;sourceID=14","0.000694")</f>
        <v>0.000694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HYPERLINK("http://141.218.60.56/~jnz1568/getInfo.php?workbook=14_04.xlsx&amp;sheet=U0&amp;row=6878&amp;col=6&amp;number=4.4&amp;sourceID=14","4.4")</f>
        <v>4.4</v>
      </c>
      <c r="G6878" s="4" t="str">
        <f>HYPERLINK("http://141.218.60.56/~jnz1568/getInfo.php?workbook=14_04.xlsx&amp;sheet=U0&amp;row=6878&amp;col=7&amp;number=0.000694&amp;sourceID=14","0.000694")</f>
        <v>0.000694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HYPERLINK("http://141.218.60.56/~jnz1568/getInfo.php?workbook=14_04.xlsx&amp;sheet=U0&amp;row=6879&amp;col=6&amp;number=4.5&amp;sourceID=14","4.5")</f>
        <v>4.5</v>
      </c>
      <c r="G6879" s="4" t="str">
        <f>HYPERLINK("http://141.218.60.56/~jnz1568/getInfo.php?workbook=14_04.xlsx&amp;sheet=U0&amp;row=6879&amp;col=7&amp;number=0.000695&amp;sourceID=14","0.000695")</f>
        <v>0.000695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HYPERLINK("http://141.218.60.56/~jnz1568/getInfo.php?workbook=14_04.xlsx&amp;sheet=U0&amp;row=6880&amp;col=6&amp;number=4.6&amp;sourceID=14","4.6")</f>
        <v>4.6</v>
      </c>
      <c r="G6880" s="4" t="str">
        <f>HYPERLINK("http://141.218.60.56/~jnz1568/getInfo.php?workbook=14_04.xlsx&amp;sheet=U0&amp;row=6880&amp;col=7&amp;number=0.000695&amp;sourceID=14","0.000695")</f>
        <v>0.000695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HYPERLINK("http://141.218.60.56/~jnz1568/getInfo.php?workbook=14_04.xlsx&amp;sheet=U0&amp;row=6881&amp;col=6&amp;number=4.7&amp;sourceID=14","4.7")</f>
        <v>4.7</v>
      </c>
      <c r="G6881" s="4" t="str">
        <f>HYPERLINK("http://141.218.60.56/~jnz1568/getInfo.php?workbook=14_04.xlsx&amp;sheet=U0&amp;row=6881&amp;col=7&amp;number=0.000696&amp;sourceID=14","0.000696")</f>
        <v>0.000696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HYPERLINK("http://141.218.60.56/~jnz1568/getInfo.php?workbook=14_04.xlsx&amp;sheet=U0&amp;row=6882&amp;col=6&amp;number=4.8&amp;sourceID=14","4.8")</f>
        <v>4.8</v>
      </c>
      <c r="G6882" s="4" t="str">
        <f>HYPERLINK("http://141.218.60.56/~jnz1568/getInfo.php?workbook=14_04.xlsx&amp;sheet=U0&amp;row=6882&amp;col=7&amp;number=0.000697&amp;sourceID=14","0.000697")</f>
        <v>0.000697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HYPERLINK("http://141.218.60.56/~jnz1568/getInfo.php?workbook=14_04.xlsx&amp;sheet=U0&amp;row=6883&amp;col=6&amp;number=4.9&amp;sourceID=14","4.9")</f>
        <v>4.9</v>
      </c>
      <c r="G6883" s="4" t="str">
        <f>HYPERLINK("http://141.218.60.56/~jnz1568/getInfo.php?workbook=14_04.xlsx&amp;sheet=U0&amp;row=6883&amp;col=7&amp;number=0.000698&amp;sourceID=14","0.000698")</f>
        <v>0.000698</v>
      </c>
    </row>
    <row r="6884" spans="1:7">
      <c r="A6884" s="3">
        <v>14</v>
      </c>
      <c r="B6884" s="3">
        <v>4</v>
      </c>
      <c r="C6884" s="3">
        <v>4</v>
      </c>
      <c r="D6884" s="3">
        <v>64</v>
      </c>
      <c r="E6884" s="3">
        <v>1</v>
      </c>
      <c r="F6884" s="4" t="str">
        <f>HYPERLINK("http://141.218.60.56/~jnz1568/getInfo.php?workbook=14_04.xlsx&amp;sheet=U0&amp;row=6884&amp;col=6&amp;number=3&amp;sourceID=14","3")</f>
        <v>3</v>
      </c>
      <c r="G6884" s="4" t="str">
        <f>HYPERLINK("http://141.218.60.56/~jnz1568/getInfo.php?workbook=14_04.xlsx&amp;sheet=U0&amp;row=6884&amp;col=7&amp;number=0.00407&amp;sourceID=14","0.00407")</f>
        <v>0.00407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HYPERLINK("http://141.218.60.56/~jnz1568/getInfo.php?workbook=14_04.xlsx&amp;sheet=U0&amp;row=6885&amp;col=6&amp;number=3.1&amp;sourceID=14","3.1")</f>
        <v>3.1</v>
      </c>
      <c r="G6885" s="4" t="str">
        <f>HYPERLINK("http://141.218.60.56/~jnz1568/getInfo.php?workbook=14_04.xlsx&amp;sheet=U0&amp;row=6885&amp;col=7&amp;number=0.00407&amp;sourceID=14","0.00407")</f>
        <v>0.00407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HYPERLINK("http://141.218.60.56/~jnz1568/getInfo.php?workbook=14_04.xlsx&amp;sheet=U0&amp;row=6886&amp;col=6&amp;number=3.2&amp;sourceID=14","3.2")</f>
        <v>3.2</v>
      </c>
      <c r="G6886" s="4" t="str">
        <f>HYPERLINK("http://141.218.60.56/~jnz1568/getInfo.php?workbook=14_04.xlsx&amp;sheet=U0&amp;row=6886&amp;col=7&amp;number=0.00407&amp;sourceID=14","0.00407")</f>
        <v>0.00407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HYPERLINK("http://141.218.60.56/~jnz1568/getInfo.php?workbook=14_04.xlsx&amp;sheet=U0&amp;row=6887&amp;col=6&amp;number=3.3&amp;sourceID=14","3.3")</f>
        <v>3.3</v>
      </c>
      <c r="G6887" s="4" t="str">
        <f>HYPERLINK("http://141.218.60.56/~jnz1568/getInfo.php?workbook=14_04.xlsx&amp;sheet=U0&amp;row=6887&amp;col=7&amp;number=0.00408&amp;sourceID=14","0.00408")</f>
        <v>0.00408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HYPERLINK("http://141.218.60.56/~jnz1568/getInfo.php?workbook=14_04.xlsx&amp;sheet=U0&amp;row=6888&amp;col=6&amp;number=3.4&amp;sourceID=14","3.4")</f>
        <v>3.4</v>
      </c>
      <c r="G6888" s="4" t="str">
        <f>HYPERLINK("http://141.218.60.56/~jnz1568/getInfo.php?workbook=14_04.xlsx&amp;sheet=U0&amp;row=6888&amp;col=7&amp;number=0.00408&amp;sourceID=14","0.00408")</f>
        <v>0.00408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HYPERLINK("http://141.218.60.56/~jnz1568/getInfo.php?workbook=14_04.xlsx&amp;sheet=U0&amp;row=6889&amp;col=6&amp;number=3.5&amp;sourceID=14","3.5")</f>
        <v>3.5</v>
      </c>
      <c r="G6889" s="4" t="str">
        <f>HYPERLINK("http://141.218.60.56/~jnz1568/getInfo.php?workbook=14_04.xlsx&amp;sheet=U0&amp;row=6889&amp;col=7&amp;number=0.00408&amp;sourceID=14","0.00408")</f>
        <v>0.00408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HYPERLINK("http://141.218.60.56/~jnz1568/getInfo.php?workbook=14_04.xlsx&amp;sheet=U0&amp;row=6890&amp;col=6&amp;number=3.6&amp;sourceID=14","3.6")</f>
        <v>3.6</v>
      </c>
      <c r="G6890" s="4" t="str">
        <f>HYPERLINK("http://141.218.60.56/~jnz1568/getInfo.php?workbook=14_04.xlsx&amp;sheet=U0&amp;row=6890&amp;col=7&amp;number=0.00408&amp;sourceID=14","0.00408")</f>
        <v>0.00408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HYPERLINK("http://141.218.60.56/~jnz1568/getInfo.php?workbook=14_04.xlsx&amp;sheet=U0&amp;row=6891&amp;col=6&amp;number=3.7&amp;sourceID=14","3.7")</f>
        <v>3.7</v>
      </c>
      <c r="G6891" s="4" t="str">
        <f>HYPERLINK("http://141.218.60.56/~jnz1568/getInfo.php?workbook=14_04.xlsx&amp;sheet=U0&amp;row=6891&amp;col=7&amp;number=0.00408&amp;sourceID=14","0.00408")</f>
        <v>0.00408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HYPERLINK("http://141.218.60.56/~jnz1568/getInfo.php?workbook=14_04.xlsx&amp;sheet=U0&amp;row=6892&amp;col=6&amp;number=3.8&amp;sourceID=14","3.8")</f>
        <v>3.8</v>
      </c>
      <c r="G6892" s="4" t="str">
        <f>HYPERLINK("http://141.218.60.56/~jnz1568/getInfo.php?workbook=14_04.xlsx&amp;sheet=U0&amp;row=6892&amp;col=7&amp;number=0.00408&amp;sourceID=14","0.00408")</f>
        <v>0.00408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HYPERLINK("http://141.218.60.56/~jnz1568/getInfo.php?workbook=14_04.xlsx&amp;sheet=U0&amp;row=6893&amp;col=6&amp;number=3.9&amp;sourceID=14","3.9")</f>
        <v>3.9</v>
      </c>
      <c r="G6893" s="4" t="str">
        <f>HYPERLINK("http://141.218.60.56/~jnz1568/getInfo.php?workbook=14_04.xlsx&amp;sheet=U0&amp;row=6893&amp;col=7&amp;number=0.00409&amp;sourceID=14","0.00409")</f>
        <v>0.00409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HYPERLINK("http://141.218.60.56/~jnz1568/getInfo.php?workbook=14_04.xlsx&amp;sheet=U0&amp;row=6894&amp;col=6&amp;number=4&amp;sourceID=14","4")</f>
        <v>4</v>
      </c>
      <c r="G6894" s="4" t="str">
        <f>HYPERLINK("http://141.218.60.56/~jnz1568/getInfo.php?workbook=14_04.xlsx&amp;sheet=U0&amp;row=6894&amp;col=7&amp;number=0.00409&amp;sourceID=14","0.00409")</f>
        <v>0.00409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HYPERLINK("http://141.218.60.56/~jnz1568/getInfo.php?workbook=14_04.xlsx&amp;sheet=U0&amp;row=6895&amp;col=6&amp;number=4.1&amp;sourceID=14","4.1")</f>
        <v>4.1</v>
      </c>
      <c r="G6895" s="4" t="str">
        <f>HYPERLINK("http://141.218.60.56/~jnz1568/getInfo.php?workbook=14_04.xlsx&amp;sheet=U0&amp;row=6895&amp;col=7&amp;number=0.0041&amp;sourceID=14","0.0041")</f>
        <v>0.0041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HYPERLINK("http://141.218.60.56/~jnz1568/getInfo.php?workbook=14_04.xlsx&amp;sheet=U0&amp;row=6896&amp;col=6&amp;number=4.2&amp;sourceID=14","4.2")</f>
        <v>4.2</v>
      </c>
      <c r="G6896" s="4" t="str">
        <f>HYPERLINK("http://141.218.60.56/~jnz1568/getInfo.php?workbook=14_04.xlsx&amp;sheet=U0&amp;row=6896&amp;col=7&amp;number=0.0041&amp;sourceID=14","0.0041")</f>
        <v>0.0041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HYPERLINK("http://141.218.60.56/~jnz1568/getInfo.php?workbook=14_04.xlsx&amp;sheet=U0&amp;row=6897&amp;col=6&amp;number=4.3&amp;sourceID=14","4.3")</f>
        <v>4.3</v>
      </c>
      <c r="G6897" s="4" t="str">
        <f>HYPERLINK("http://141.218.60.56/~jnz1568/getInfo.php?workbook=14_04.xlsx&amp;sheet=U0&amp;row=6897&amp;col=7&amp;number=0.00411&amp;sourceID=14","0.00411")</f>
        <v>0.00411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HYPERLINK("http://141.218.60.56/~jnz1568/getInfo.php?workbook=14_04.xlsx&amp;sheet=U0&amp;row=6898&amp;col=6&amp;number=4.4&amp;sourceID=14","4.4")</f>
        <v>4.4</v>
      </c>
      <c r="G6898" s="4" t="str">
        <f>HYPERLINK("http://141.218.60.56/~jnz1568/getInfo.php?workbook=14_04.xlsx&amp;sheet=U0&amp;row=6898&amp;col=7&amp;number=0.00412&amp;sourceID=14","0.00412")</f>
        <v>0.00412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HYPERLINK("http://141.218.60.56/~jnz1568/getInfo.php?workbook=14_04.xlsx&amp;sheet=U0&amp;row=6899&amp;col=6&amp;number=4.5&amp;sourceID=14","4.5")</f>
        <v>4.5</v>
      </c>
      <c r="G6899" s="4" t="str">
        <f>HYPERLINK("http://141.218.60.56/~jnz1568/getInfo.php?workbook=14_04.xlsx&amp;sheet=U0&amp;row=6899&amp;col=7&amp;number=0.00414&amp;sourceID=14","0.00414")</f>
        <v>0.00414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HYPERLINK("http://141.218.60.56/~jnz1568/getInfo.php?workbook=14_04.xlsx&amp;sheet=U0&amp;row=6900&amp;col=6&amp;number=4.6&amp;sourceID=14","4.6")</f>
        <v>4.6</v>
      </c>
      <c r="G6900" s="4" t="str">
        <f>HYPERLINK("http://141.218.60.56/~jnz1568/getInfo.php?workbook=14_04.xlsx&amp;sheet=U0&amp;row=6900&amp;col=7&amp;number=0.00416&amp;sourceID=14","0.00416")</f>
        <v>0.00416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HYPERLINK("http://141.218.60.56/~jnz1568/getInfo.php?workbook=14_04.xlsx&amp;sheet=U0&amp;row=6901&amp;col=6&amp;number=4.7&amp;sourceID=14","4.7")</f>
        <v>4.7</v>
      </c>
      <c r="G6901" s="4" t="str">
        <f>HYPERLINK("http://141.218.60.56/~jnz1568/getInfo.php?workbook=14_04.xlsx&amp;sheet=U0&amp;row=6901&amp;col=7&amp;number=0.00418&amp;sourceID=14","0.00418")</f>
        <v>0.00418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HYPERLINK("http://141.218.60.56/~jnz1568/getInfo.php?workbook=14_04.xlsx&amp;sheet=U0&amp;row=6902&amp;col=6&amp;number=4.8&amp;sourceID=14","4.8")</f>
        <v>4.8</v>
      </c>
      <c r="G6902" s="4" t="str">
        <f>HYPERLINK("http://141.218.60.56/~jnz1568/getInfo.php?workbook=14_04.xlsx&amp;sheet=U0&amp;row=6902&amp;col=7&amp;number=0.0042&amp;sourceID=14","0.0042")</f>
        <v>0.0042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HYPERLINK("http://141.218.60.56/~jnz1568/getInfo.php?workbook=14_04.xlsx&amp;sheet=U0&amp;row=6903&amp;col=6&amp;number=4.9&amp;sourceID=14","4.9")</f>
        <v>4.9</v>
      </c>
      <c r="G6903" s="4" t="str">
        <f>HYPERLINK("http://141.218.60.56/~jnz1568/getInfo.php?workbook=14_04.xlsx&amp;sheet=U0&amp;row=6903&amp;col=7&amp;number=0.00424&amp;sourceID=14","0.00424")</f>
        <v>0.00424</v>
      </c>
    </row>
    <row r="6904" spans="1:7">
      <c r="A6904" s="3">
        <v>14</v>
      </c>
      <c r="B6904" s="3">
        <v>4</v>
      </c>
      <c r="C6904" s="3">
        <v>4</v>
      </c>
      <c r="D6904" s="3">
        <v>65</v>
      </c>
      <c r="E6904" s="3">
        <v>1</v>
      </c>
      <c r="F6904" s="4" t="str">
        <f>HYPERLINK("http://141.218.60.56/~jnz1568/getInfo.php?workbook=14_04.xlsx&amp;sheet=U0&amp;row=6904&amp;col=6&amp;number=3&amp;sourceID=14","3")</f>
        <v>3</v>
      </c>
      <c r="G6904" s="4" t="str">
        <f>HYPERLINK("http://141.218.60.56/~jnz1568/getInfo.php?workbook=14_04.xlsx&amp;sheet=U0&amp;row=6904&amp;col=7&amp;number=0.0011&amp;sourceID=14","0.0011")</f>
        <v>0.0011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HYPERLINK("http://141.218.60.56/~jnz1568/getInfo.php?workbook=14_04.xlsx&amp;sheet=U0&amp;row=6905&amp;col=6&amp;number=3.1&amp;sourceID=14","3.1")</f>
        <v>3.1</v>
      </c>
      <c r="G6905" s="4" t="str">
        <f>HYPERLINK("http://141.218.60.56/~jnz1568/getInfo.php?workbook=14_04.xlsx&amp;sheet=U0&amp;row=6905&amp;col=7&amp;number=0.0011&amp;sourceID=14","0.0011")</f>
        <v>0.0011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HYPERLINK("http://141.218.60.56/~jnz1568/getInfo.php?workbook=14_04.xlsx&amp;sheet=U0&amp;row=6906&amp;col=6&amp;number=3.2&amp;sourceID=14","3.2")</f>
        <v>3.2</v>
      </c>
      <c r="G6906" s="4" t="str">
        <f>HYPERLINK("http://141.218.60.56/~jnz1568/getInfo.php?workbook=14_04.xlsx&amp;sheet=U0&amp;row=6906&amp;col=7&amp;number=0.0011&amp;sourceID=14","0.0011")</f>
        <v>0.0011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HYPERLINK("http://141.218.60.56/~jnz1568/getInfo.php?workbook=14_04.xlsx&amp;sheet=U0&amp;row=6907&amp;col=6&amp;number=3.3&amp;sourceID=14","3.3")</f>
        <v>3.3</v>
      </c>
      <c r="G6907" s="4" t="str">
        <f>HYPERLINK("http://141.218.60.56/~jnz1568/getInfo.php?workbook=14_04.xlsx&amp;sheet=U0&amp;row=6907&amp;col=7&amp;number=0.0011&amp;sourceID=14","0.0011")</f>
        <v>0.0011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HYPERLINK("http://141.218.60.56/~jnz1568/getInfo.php?workbook=14_04.xlsx&amp;sheet=U0&amp;row=6908&amp;col=6&amp;number=3.4&amp;sourceID=14","3.4")</f>
        <v>3.4</v>
      </c>
      <c r="G6908" s="4" t="str">
        <f>HYPERLINK("http://141.218.60.56/~jnz1568/getInfo.php?workbook=14_04.xlsx&amp;sheet=U0&amp;row=6908&amp;col=7&amp;number=0.0011&amp;sourceID=14","0.0011")</f>
        <v>0.0011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HYPERLINK("http://141.218.60.56/~jnz1568/getInfo.php?workbook=14_04.xlsx&amp;sheet=U0&amp;row=6909&amp;col=6&amp;number=3.5&amp;sourceID=14","3.5")</f>
        <v>3.5</v>
      </c>
      <c r="G6909" s="4" t="str">
        <f>HYPERLINK("http://141.218.60.56/~jnz1568/getInfo.php?workbook=14_04.xlsx&amp;sheet=U0&amp;row=6909&amp;col=7&amp;number=0.0011&amp;sourceID=14","0.0011")</f>
        <v>0.0011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HYPERLINK("http://141.218.60.56/~jnz1568/getInfo.php?workbook=14_04.xlsx&amp;sheet=U0&amp;row=6910&amp;col=6&amp;number=3.6&amp;sourceID=14","3.6")</f>
        <v>3.6</v>
      </c>
      <c r="G6910" s="4" t="str">
        <f>HYPERLINK("http://141.218.60.56/~jnz1568/getInfo.php?workbook=14_04.xlsx&amp;sheet=U0&amp;row=6910&amp;col=7&amp;number=0.0011&amp;sourceID=14","0.0011")</f>
        <v>0.0011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HYPERLINK("http://141.218.60.56/~jnz1568/getInfo.php?workbook=14_04.xlsx&amp;sheet=U0&amp;row=6911&amp;col=6&amp;number=3.7&amp;sourceID=14","3.7")</f>
        <v>3.7</v>
      </c>
      <c r="G6911" s="4" t="str">
        <f>HYPERLINK("http://141.218.60.56/~jnz1568/getInfo.php?workbook=14_04.xlsx&amp;sheet=U0&amp;row=6911&amp;col=7&amp;number=0.0011&amp;sourceID=14","0.0011")</f>
        <v>0.0011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HYPERLINK("http://141.218.60.56/~jnz1568/getInfo.php?workbook=14_04.xlsx&amp;sheet=U0&amp;row=6912&amp;col=6&amp;number=3.8&amp;sourceID=14","3.8")</f>
        <v>3.8</v>
      </c>
      <c r="G6912" s="4" t="str">
        <f>HYPERLINK("http://141.218.60.56/~jnz1568/getInfo.php?workbook=14_04.xlsx&amp;sheet=U0&amp;row=6912&amp;col=7&amp;number=0.0011&amp;sourceID=14","0.0011")</f>
        <v>0.0011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HYPERLINK("http://141.218.60.56/~jnz1568/getInfo.php?workbook=14_04.xlsx&amp;sheet=U0&amp;row=6913&amp;col=6&amp;number=3.9&amp;sourceID=14","3.9")</f>
        <v>3.9</v>
      </c>
      <c r="G6913" s="4" t="str">
        <f>HYPERLINK("http://141.218.60.56/~jnz1568/getInfo.php?workbook=14_04.xlsx&amp;sheet=U0&amp;row=6913&amp;col=7&amp;number=0.0011&amp;sourceID=14","0.0011")</f>
        <v>0.0011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HYPERLINK("http://141.218.60.56/~jnz1568/getInfo.php?workbook=14_04.xlsx&amp;sheet=U0&amp;row=6914&amp;col=6&amp;number=4&amp;sourceID=14","4")</f>
        <v>4</v>
      </c>
      <c r="G6914" s="4" t="str">
        <f>HYPERLINK("http://141.218.60.56/~jnz1568/getInfo.php?workbook=14_04.xlsx&amp;sheet=U0&amp;row=6914&amp;col=7&amp;number=0.0011&amp;sourceID=14","0.0011")</f>
        <v>0.0011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HYPERLINK("http://141.218.60.56/~jnz1568/getInfo.php?workbook=14_04.xlsx&amp;sheet=U0&amp;row=6915&amp;col=6&amp;number=4.1&amp;sourceID=14","4.1")</f>
        <v>4.1</v>
      </c>
      <c r="G6915" s="4" t="str">
        <f>HYPERLINK("http://141.218.60.56/~jnz1568/getInfo.php?workbook=14_04.xlsx&amp;sheet=U0&amp;row=6915&amp;col=7&amp;number=0.0011&amp;sourceID=14","0.0011")</f>
        <v>0.0011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HYPERLINK("http://141.218.60.56/~jnz1568/getInfo.php?workbook=14_04.xlsx&amp;sheet=U0&amp;row=6916&amp;col=6&amp;number=4.2&amp;sourceID=14","4.2")</f>
        <v>4.2</v>
      </c>
      <c r="G6916" s="4" t="str">
        <f>HYPERLINK("http://141.218.60.56/~jnz1568/getInfo.php?workbook=14_04.xlsx&amp;sheet=U0&amp;row=6916&amp;col=7&amp;number=0.0011&amp;sourceID=14","0.0011")</f>
        <v>0.0011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HYPERLINK("http://141.218.60.56/~jnz1568/getInfo.php?workbook=14_04.xlsx&amp;sheet=U0&amp;row=6917&amp;col=6&amp;number=4.3&amp;sourceID=14","4.3")</f>
        <v>4.3</v>
      </c>
      <c r="G6917" s="4" t="str">
        <f>HYPERLINK("http://141.218.60.56/~jnz1568/getInfo.php?workbook=14_04.xlsx&amp;sheet=U0&amp;row=6917&amp;col=7&amp;number=0.0011&amp;sourceID=14","0.0011")</f>
        <v>0.0011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HYPERLINK("http://141.218.60.56/~jnz1568/getInfo.php?workbook=14_04.xlsx&amp;sheet=U0&amp;row=6918&amp;col=6&amp;number=4.4&amp;sourceID=14","4.4")</f>
        <v>4.4</v>
      </c>
      <c r="G6918" s="4" t="str">
        <f>HYPERLINK("http://141.218.60.56/~jnz1568/getInfo.php?workbook=14_04.xlsx&amp;sheet=U0&amp;row=6918&amp;col=7&amp;number=0.0011&amp;sourceID=14","0.0011")</f>
        <v>0.0011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HYPERLINK("http://141.218.60.56/~jnz1568/getInfo.php?workbook=14_04.xlsx&amp;sheet=U0&amp;row=6919&amp;col=6&amp;number=4.5&amp;sourceID=14","4.5")</f>
        <v>4.5</v>
      </c>
      <c r="G6919" s="4" t="str">
        <f>HYPERLINK("http://141.218.60.56/~jnz1568/getInfo.php?workbook=14_04.xlsx&amp;sheet=U0&amp;row=6919&amp;col=7&amp;number=0.00109&amp;sourceID=14","0.00109")</f>
        <v>0.00109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HYPERLINK("http://141.218.60.56/~jnz1568/getInfo.php?workbook=14_04.xlsx&amp;sheet=U0&amp;row=6920&amp;col=6&amp;number=4.6&amp;sourceID=14","4.6")</f>
        <v>4.6</v>
      </c>
      <c r="G6920" s="4" t="str">
        <f>HYPERLINK("http://141.218.60.56/~jnz1568/getInfo.php?workbook=14_04.xlsx&amp;sheet=U0&amp;row=6920&amp;col=7&amp;number=0.00109&amp;sourceID=14","0.00109")</f>
        <v>0.00109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HYPERLINK("http://141.218.60.56/~jnz1568/getInfo.php?workbook=14_04.xlsx&amp;sheet=U0&amp;row=6921&amp;col=6&amp;number=4.7&amp;sourceID=14","4.7")</f>
        <v>4.7</v>
      </c>
      <c r="G6921" s="4" t="str">
        <f>HYPERLINK("http://141.218.60.56/~jnz1568/getInfo.php?workbook=14_04.xlsx&amp;sheet=U0&amp;row=6921&amp;col=7&amp;number=0.00109&amp;sourceID=14","0.00109")</f>
        <v>0.00109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HYPERLINK("http://141.218.60.56/~jnz1568/getInfo.php?workbook=14_04.xlsx&amp;sheet=U0&amp;row=6922&amp;col=6&amp;number=4.8&amp;sourceID=14","4.8")</f>
        <v>4.8</v>
      </c>
      <c r="G6922" s="4" t="str">
        <f>HYPERLINK("http://141.218.60.56/~jnz1568/getInfo.php?workbook=14_04.xlsx&amp;sheet=U0&amp;row=6922&amp;col=7&amp;number=0.00109&amp;sourceID=14","0.00109")</f>
        <v>0.00109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HYPERLINK("http://141.218.60.56/~jnz1568/getInfo.php?workbook=14_04.xlsx&amp;sheet=U0&amp;row=6923&amp;col=6&amp;number=4.9&amp;sourceID=14","4.9")</f>
        <v>4.9</v>
      </c>
      <c r="G6923" s="4" t="str">
        <f>HYPERLINK("http://141.218.60.56/~jnz1568/getInfo.php?workbook=14_04.xlsx&amp;sheet=U0&amp;row=6923&amp;col=7&amp;number=0.00109&amp;sourceID=14","0.00109")</f>
        <v>0.00109</v>
      </c>
    </row>
    <row r="6924" spans="1:7">
      <c r="A6924" s="3">
        <v>14</v>
      </c>
      <c r="B6924" s="3">
        <v>4</v>
      </c>
      <c r="C6924" s="3">
        <v>4</v>
      </c>
      <c r="D6924" s="3">
        <v>66</v>
      </c>
      <c r="E6924" s="3">
        <v>1</v>
      </c>
      <c r="F6924" s="4" t="str">
        <f>HYPERLINK("http://141.218.60.56/~jnz1568/getInfo.php?workbook=14_04.xlsx&amp;sheet=U0&amp;row=6924&amp;col=6&amp;number=3&amp;sourceID=14","3")</f>
        <v>3</v>
      </c>
      <c r="G6924" s="4" t="str">
        <f>HYPERLINK("http://141.218.60.56/~jnz1568/getInfo.php?workbook=14_04.xlsx&amp;sheet=U0&amp;row=6924&amp;col=7&amp;number=0.000132&amp;sourceID=14","0.000132")</f>
        <v>0.000132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HYPERLINK("http://141.218.60.56/~jnz1568/getInfo.php?workbook=14_04.xlsx&amp;sheet=U0&amp;row=6925&amp;col=6&amp;number=3.1&amp;sourceID=14","3.1")</f>
        <v>3.1</v>
      </c>
      <c r="G6925" s="4" t="str">
        <f>HYPERLINK("http://141.218.60.56/~jnz1568/getInfo.php?workbook=14_04.xlsx&amp;sheet=U0&amp;row=6925&amp;col=7&amp;number=0.000132&amp;sourceID=14","0.000132")</f>
        <v>0.000132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HYPERLINK("http://141.218.60.56/~jnz1568/getInfo.php?workbook=14_04.xlsx&amp;sheet=U0&amp;row=6926&amp;col=6&amp;number=3.2&amp;sourceID=14","3.2")</f>
        <v>3.2</v>
      </c>
      <c r="G6926" s="4" t="str">
        <f>HYPERLINK("http://141.218.60.56/~jnz1568/getInfo.php?workbook=14_04.xlsx&amp;sheet=U0&amp;row=6926&amp;col=7&amp;number=0.000132&amp;sourceID=14","0.000132")</f>
        <v>0.000132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HYPERLINK("http://141.218.60.56/~jnz1568/getInfo.php?workbook=14_04.xlsx&amp;sheet=U0&amp;row=6927&amp;col=6&amp;number=3.3&amp;sourceID=14","3.3")</f>
        <v>3.3</v>
      </c>
      <c r="G6927" s="4" t="str">
        <f>HYPERLINK("http://141.218.60.56/~jnz1568/getInfo.php?workbook=14_04.xlsx&amp;sheet=U0&amp;row=6927&amp;col=7&amp;number=0.000132&amp;sourceID=14","0.000132")</f>
        <v>0.000132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HYPERLINK("http://141.218.60.56/~jnz1568/getInfo.php?workbook=14_04.xlsx&amp;sheet=U0&amp;row=6928&amp;col=6&amp;number=3.4&amp;sourceID=14","3.4")</f>
        <v>3.4</v>
      </c>
      <c r="G6928" s="4" t="str">
        <f>HYPERLINK("http://141.218.60.56/~jnz1568/getInfo.php?workbook=14_04.xlsx&amp;sheet=U0&amp;row=6928&amp;col=7&amp;number=0.000132&amp;sourceID=14","0.000132")</f>
        <v>0.000132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HYPERLINK("http://141.218.60.56/~jnz1568/getInfo.php?workbook=14_04.xlsx&amp;sheet=U0&amp;row=6929&amp;col=6&amp;number=3.5&amp;sourceID=14","3.5")</f>
        <v>3.5</v>
      </c>
      <c r="G6929" s="4" t="str">
        <f>HYPERLINK("http://141.218.60.56/~jnz1568/getInfo.php?workbook=14_04.xlsx&amp;sheet=U0&amp;row=6929&amp;col=7&amp;number=0.000132&amp;sourceID=14","0.000132")</f>
        <v>0.000132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HYPERLINK("http://141.218.60.56/~jnz1568/getInfo.php?workbook=14_04.xlsx&amp;sheet=U0&amp;row=6930&amp;col=6&amp;number=3.6&amp;sourceID=14","3.6")</f>
        <v>3.6</v>
      </c>
      <c r="G6930" s="4" t="str">
        <f>HYPERLINK("http://141.218.60.56/~jnz1568/getInfo.php?workbook=14_04.xlsx&amp;sheet=U0&amp;row=6930&amp;col=7&amp;number=0.000132&amp;sourceID=14","0.000132")</f>
        <v>0.000132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HYPERLINK("http://141.218.60.56/~jnz1568/getInfo.php?workbook=14_04.xlsx&amp;sheet=U0&amp;row=6931&amp;col=6&amp;number=3.7&amp;sourceID=14","3.7")</f>
        <v>3.7</v>
      </c>
      <c r="G6931" s="4" t="str">
        <f>HYPERLINK("http://141.218.60.56/~jnz1568/getInfo.php?workbook=14_04.xlsx&amp;sheet=U0&amp;row=6931&amp;col=7&amp;number=0.000131&amp;sourceID=14","0.000131")</f>
        <v>0.000131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HYPERLINK("http://141.218.60.56/~jnz1568/getInfo.php?workbook=14_04.xlsx&amp;sheet=U0&amp;row=6932&amp;col=6&amp;number=3.8&amp;sourceID=14","3.8")</f>
        <v>3.8</v>
      </c>
      <c r="G6932" s="4" t="str">
        <f>HYPERLINK("http://141.218.60.56/~jnz1568/getInfo.php?workbook=14_04.xlsx&amp;sheet=U0&amp;row=6932&amp;col=7&amp;number=0.000131&amp;sourceID=14","0.000131")</f>
        <v>0.000131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HYPERLINK("http://141.218.60.56/~jnz1568/getInfo.php?workbook=14_04.xlsx&amp;sheet=U0&amp;row=6933&amp;col=6&amp;number=3.9&amp;sourceID=14","3.9")</f>
        <v>3.9</v>
      </c>
      <c r="G6933" s="4" t="str">
        <f>HYPERLINK("http://141.218.60.56/~jnz1568/getInfo.php?workbook=14_04.xlsx&amp;sheet=U0&amp;row=6933&amp;col=7&amp;number=0.000131&amp;sourceID=14","0.000131")</f>
        <v>0.000131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HYPERLINK("http://141.218.60.56/~jnz1568/getInfo.php?workbook=14_04.xlsx&amp;sheet=U0&amp;row=6934&amp;col=6&amp;number=4&amp;sourceID=14","4")</f>
        <v>4</v>
      </c>
      <c r="G6934" s="4" t="str">
        <f>HYPERLINK("http://141.218.60.56/~jnz1568/getInfo.php?workbook=14_04.xlsx&amp;sheet=U0&amp;row=6934&amp;col=7&amp;number=0.000131&amp;sourceID=14","0.000131")</f>
        <v>0.000131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HYPERLINK("http://141.218.60.56/~jnz1568/getInfo.php?workbook=14_04.xlsx&amp;sheet=U0&amp;row=6935&amp;col=6&amp;number=4.1&amp;sourceID=14","4.1")</f>
        <v>4.1</v>
      </c>
      <c r="G6935" s="4" t="str">
        <f>HYPERLINK("http://141.218.60.56/~jnz1568/getInfo.php?workbook=14_04.xlsx&amp;sheet=U0&amp;row=6935&amp;col=7&amp;number=0.000131&amp;sourceID=14","0.000131")</f>
        <v>0.000131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HYPERLINK("http://141.218.60.56/~jnz1568/getInfo.php?workbook=14_04.xlsx&amp;sheet=U0&amp;row=6936&amp;col=6&amp;number=4.2&amp;sourceID=14","4.2")</f>
        <v>4.2</v>
      </c>
      <c r="G6936" s="4" t="str">
        <f>HYPERLINK("http://141.218.60.56/~jnz1568/getInfo.php?workbook=14_04.xlsx&amp;sheet=U0&amp;row=6936&amp;col=7&amp;number=0.000131&amp;sourceID=14","0.000131")</f>
        <v>0.000131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HYPERLINK("http://141.218.60.56/~jnz1568/getInfo.php?workbook=14_04.xlsx&amp;sheet=U0&amp;row=6937&amp;col=6&amp;number=4.3&amp;sourceID=14","4.3")</f>
        <v>4.3</v>
      </c>
      <c r="G6937" s="4" t="str">
        <f>HYPERLINK("http://141.218.60.56/~jnz1568/getInfo.php?workbook=14_04.xlsx&amp;sheet=U0&amp;row=6937&amp;col=7&amp;number=0.000131&amp;sourceID=14","0.000131")</f>
        <v>0.000131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HYPERLINK("http://141.218.60.56/~jnz1568/getInfo.php?workbook=14_04.xlsx&amp;sheet=U0&amp;row=6938&amp;col=6&amp;number=4.4&amp;sourceID=14","4.4")</f>
        <v>4.4</v>
      </c>
      <c r="G6938" s="4" t="str">
        <f>HYPERLINK("http://141.218.60.56/~jnz1568/getInfo.php?workbook=14_04.xlsx&amp;sheet=U0&amp;row=6938&amp;col=7&amp;number=0.000131&amp;sourceID=14","0.000131")</f>
        <v>0.000131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HYPERLINK("http://141.218.60.56/~jnz1568/getInfo.php?workbook=14_04.xlsx&amp;sheet=U0&amp;row=6939&amp;col=6&amp;number=4.5&amp;sourceID=14","4.5")</f>
        <v>4.5</v>
      </c>
      <c r="G6939" s="4" t="str">
        <f>HYPERLINK("http://141.218.60.56/~jnz1568/getInfo.php?workbook=14_04.xlsx&amp;sheet=U0&amp;row=6939&amp;col=7&amp;number=0.000131&amp;sourceID=14","0.000131")</f>
        <v>0.000131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HYPERLINK("http://141.218.60.56/~jnz1568/getInfo.php?workbook=14_04.xlsx&amp;sheet=U0&amp;row=6940&amp;col=6&amp;number=4.6&amp;sourceID=14","4.6")</f>
        <v>4.6</v>
      </c>
      <c r="G6940" s="4" t="str">
        <f>HYPERLINK("http://141.218.60.56/~jnz1568/getInfo.php?workbook=14_04.xlsx&amp;sheet=U0&amp;row=6940&amp;col=7&amp;number=0.000131&amp;sourceID=14","0.000131")</f>
        <v>0.000131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HYPERLINK("http://141.218.60.56/~jnz1568/getInfo.php?workbook=14_04.xlsx&amp;sheet=U0&amp;row=6941&amp;col=6&amp;number=4.7&amp;sourceID=14","4.7")</f>
        <v>4.7</v>
      </c>
      <c r="G6941" s="4" t="str">
        <f>HYPERLINK("http://141.218.60.56/~jnz1568/getInfo.php?workbook=14_04.xlsx&amp;sheet=U0&amp;row=6941&amp;col=7&amp;number=0.00013&amp;sourceID=14","0.00013")</f>
        <v>0.00013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HYPERLINK("http://141.218.60.56/~jnz1568/getInfo.php?workbook=14_04.xlsx&amp;sheet=U0&amp;row=6942&amp;col=6&amp;number=4.8&amp;sourceID=14","4.8")</f>
        <v>4.8</v>
      </c>
      <c r="G6942" s="4" t="str">
        <f>HYPERLINK("http://141.218.60.56/~jnz1568/getInfo.php?workbook=14_04.xlsx&amp;sheet=U0&amp;row=6942&amp;col=7&amp;number=0.00013&amp;sourceID=14","0.00013")</f>
        <v>0.00013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HYPERLINK("http://141.218.60.56/~jnz1568/getInfo.php?workbook=14_04.xlsx&amp;sheet=U0&amp;row=6943&amp;col=6&amp;number=4.9&amp;sourceID=14","4.9")</f>
        <v>4.9</v>
      </c>
      <c r="G6943" s="4" t="str">
        <f>HYPERLINK("http://141.218.60.56/~jnz1568/getInfo.php?workbook=14_04.xlsx&amp;sheet=U0&amp;row=6943&amp;col=7&amp;number=0.00013&amp;sourceID=14","0.00013")</f>
        <v>0.00013</v>
      </c>
    </row>
    <row r="6944" spans="1:7">
      <c r="A6944" s="3">
        <v>14</v>
      </c>
      <c r="B6944" s="3">
        <v>4</v>
      </c>
      <c r="C6944" s="3">
        <v>4</v>
      </c>
      <c r="D6944" s="3">
        <v>67</v>
      </c>
      <c r="E6944" s="3">
        <v>1</v>
      </c>
      <c r="F6944" s="4" t="str">
        <f>HYPERLINK("http://141.218.60.56/~jnz1568/getInfo.php?workbook=14_04.xlsx&amp;sheet=U0&amp;row=6944&amp;col=6&amp;number=3&amp;sourceID=14","3")</f>
        <v>3</v>
      </c>
      <c r="G6944" s="4" t="str">
        <f>HYPERLINK("http://141.218.60.56/~jnz1568/getInfo.php?workbook=14_04.xlsx&amp;sheet=U0&amp;row=6944&amp;col=7&amp;number=0.00236&amp;sourceID=14","0.00236")</f>
        <v>0.00236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HYPERLINK("http://141.218.60.56/~jnz1568/getInfo.php?workbook=14_04.xlsx&amp;sheet=U0&amp;row=6945&amp;col=6&amp;number=3.1&amp;sourceID=14","3.1")</f>
        <v>3.1</v>
      </c>
      <c r="G6945" s="4" t="str">
        <f>HYPERLINK("http://141.218.60.56/~jnz1568/getInfo.php?workbook=14_04.xlsx&amp;sheet=U0&amp;row=6945&amp;col=7&amp;number=0.00236&amp;sourceID=14","0.00236")</f>
        <v>0.00236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HYPERLINK("http://141.218.60.56/~jnz1568/getInfo.php?workbook=14_04.xlsx&amp;sheet=U0&amp;row=6946&amp;col=6&amp;number=3.2&amp;sourceID=14","3.2")</f>
        <v>3.2</v>
      </c>
      <c r="G6946" s="4" t="str">
        <f>HYPERLINK("http://141.218.60.56/~jnz1568/getInfo.php?workbook=14_04.xlsx&amp;sheet=U0&amp;row=6946&amp;col=7&amp;number=0.00236&amp;sourceID=14","0.00236")</f>
        <v>0.00236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HYPERLINK("http://141.218.60.56/~jnz1568/getInfo.php?workbook=14_04.xlsx&amp;sheet=U0&amp;row=6947&amp;col=6&amp;number=3.3&amp;sourceID=14","3.3")</f>
        <v>3.3</v>
      </c>
      <c r="G6947" s="4" t="str">
        <f>HYPERLINK("http://141.218.60.56/~jnz1568/getInfo.php?workbook=14_04.xlsx&amp;sheet=U0&amp;row=6947&amp;col=7&amp;number=0.00237&amp;sourceID=14","0.00237")</f>
        <v>0.00237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HYPERLINK("http://141.218.60.56/~jnz1568/getInfo.php?workbook=14_04.xlsx&amp;sheet=U0&amp;row=6948&amp;col=6&amp;number=3.4&amp;sourceID=14","3.4")</f>
        <v>3.4</v>
      </c>
      <c r="G6948" s="4" t="str">
        <f>HYPERLINK("http://141.218.60.56/~jnz1568/getInfo.php?workbook=14_04.xlsx&amp;sheet=U0&amp;row=6948&amp;col=7&amp;number=0.00237&amp;sourceID=14","0.00237")</f>
        <v>0.00237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HYPERLINK("http://141.218.60.56/~jnz1568/getInfo.php?workbook=14_04.xlsx&amp;sheet=U0&amp;row=6949&amp;col=6&amp;number=3.5&amp;sourceID=14","3.5")</f>
        <v>3.5</v>
      </c>
      <c r="G6949" s="4" t="str">
        <f>HYPERLINK("http://141.218.60.56/~jnz1568/getInfo.php?workbook=14_04.xlsx&amp;sheet=U0&amp;row=6949&amp;col=7&amp;number=0.00237&amp;sourceID=14","0.00237")</f>
        <v>0.00237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HYPERLINK("http://141.218.60.56/~jnz1568/getInfo.php?workbook=14_04.xlsx&amp;sheet=U0&amp;row=6950&amp;col=6&amp;number=3.6&amp;sourceID=14","3.6")</f>
        <v>3.6</v>
      </c>
      <c r="G6950" s="4" t="str">
        <f>HYPERLINK("http://141.218.60.56/~jnz1568/getInfo.php?workbook=14_04.xlsx&amp;sheet=U0&amp;row=6950&amp;col=7&amp;number=0.00237&amp;sourceID=14","0.00237")</f>
        <v>0.00237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HYPERLINK("http://141.218.60.56/~jnz1568/getInfo.php?workbook=14_04.xlsx&amp;sheet=U0&amp;row=6951&amp;col=6&amp;number=3.7&amp;sourceID=14","3.7")</f>
        <v>3.7</v>
      </c>
      <c r="G6951" s="4" t="str">
        <f>HYPERLINK("http://141.218.60.56/~jnz1568/getInfo.php?workbook=14_04.xlsx&amp;sheet=U0&amp;row=6951&amp;col=7&amp;number=0.00237&amp;sourceID=14","0.00237")</f>
        <v>0.00237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HYPERLINK("http://141.218.60.56/~jnz1568/getInfo.php?workbook=14_04.xlsx&amp;sheet=U0&amp;row=6952&amp;col=6&amp;number=3.8&amp;sourceID=14","3.8")</f>
        <v>3.8</v>
      </c>
      <c r="G6952" s="4" t="str">
        <f>HYPERLINK("http://141.218.60.56/~jnz1568/getInfo.php?workbook=14_04.xlsx&amp;sheet=U0&amp;row=6952&amp;col=7&amp;number=0.00237&amp;sourceID=14","0.00237")</f>
        <v>0.00237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HYPERLINK("http://141.218.60.56/~jnz1568/getInfo.php?workbook=14_04.xlsx&amp;sheet=U0&amp;row=6953&amp;col=6&amp;number=3.9&amp;sourceID=14","3.9")</f>
        <v>3.9</v>
      </c>
      <c r="G6953" s="4" t="str">
        <f>HYPERLINK("http://141.218.60.56/~jnz1568/getInfo.php?workbook=14_04.xlsx&amp;sheet=U0&amp;row=6953&amp;col=7&amp;number=0.00237&amp;sourceID=14","0.00237")</f>
        <v>0.00237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HYPERLINK("http://141.218.60.56/~jnz1568/getInfo.php?workbook=14_04.xlsx&amp;sheet=U0&amp;row=6954&amp;col=6&amp;number=4&amp;sourceID=14","4")</f>
        <v>4</v>
      </c>
      <c r="G6954" s="4" t="str">
        <f>HYPERLINK("http://141.218.60.56/~jnz1568/getInfo.php?workbook=14_04.xlsx&amp;sheet=U0&amp;row=6954&amp;col=7&amp;number=0.00237&amp;sourceID=14","0.00237")</f>
        <v>0.00237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HYPERLINK("http://141.218.60.56/~jnz1568/getInfo.php?workbook=14_04.xlsx&amp;sheet=U0&amp;row=6955&amp;col=6&amp;number=4.1&amp;sourceID=14","4.1")</f>
        <v>4.1</v>
      </c>
      <c r="G6955" s="4" t="str">
        <f>HYPERLINK("http://141.218.60.56/~jnz1568/getInfo.php?workbook=14_04.xlsx&amp;sheet=U0&amp;row=6955&amp;col=7&amp;number=0.00238&amp;sourceID=14","0.00238")</f>
        <v>0.00238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HYPERLINK("http://141.218.60.56/~jnz1568/getInfo.php?workbook=14_04.xlsx&amp;sheet=U0&amp;row=6956&amp;col=6&amp;number=4.2&amp;sourceID=14","4.2")</f>
        <v>4.2</v>
      </c>
      <c r="G6956" s="4" t="str">
        <f>HYPERLINK("http://141.218.60.56/~jnz1568/getInfo.php?workbook=14_04.xlsx&amp;sheet=U0&amp;row=6956&amp;col=7&amp;number=0.00238&amp;sourceID=14","0.00238")</f>
        <v>0.00238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HYPERLINK("http://141.218.60.56/~jnz1568/getInfo.php?workbook=14_04.xlsx&amp;sheet=U0&amp;row=6957&amp;col=6&amp;number=4.3&amp;sourceID=14","4.3")</f>
        <v>4.3</v>
      </c>
      <c r="G6957" s="4" t="str">
        <f>HYPERLINK("http://141.218.60.56/~jnz1568/getInfo.php?workbook=14_04.xlsx&amp;sheet=U0&amp;row=6957&amp;col=7&amp;number=0.00238&amp;sourceID=14","0.00238")</f>
        <v>0.00238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HYPERLINK("http://141.218.60.56/~jnz1568/getInfo.php?workbook=14_04.xlsx&amp;sheet=U0&amp;row=6958&amp;col=6&amp;number=4.4&amp;sourceID=14","4.4")</f>
        <v>4.4</v>
      </c>
      <c r="G6958" s="4" t="str">
        <f>HYPERLINK("http://141.218.60.56/~jnz1568/getInfo.php?workbook=14_04.xlsx&amp;sheet=U0&amp;row=6958&amp;col=7&amp;number=0.00239&amp;sourceID=14","0.00239")</f>
        <v>0.00239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HYPERLINK("http://141.218.60.56/~jnz1568/getInfo.php?workbook=14_04.xlsx&amp;sheet=U0&amp;row=6959&amp;col=6&amp;number=4.5&amp;sourceID=14","4.5")</f>
        <v>4.5</v>
      </c>
      <c r="G6959" s="4" t="str">
        <f>HYPERLINK("http://141.218.60.56/~jnz1568/getInfo.php?workbook=14_04.xlsx&amp;sheet=U0&amp;row=6959&amp;col=7&amp;number=0.0024&amp;sourceID=14","0.0024")</f>
        <v>0.0024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HYPERLINK("http://141.218.60.56/~jnz1568/getInfo.php?workbook=14_04.xlsx&amp;sheet=U0&amp;row=6960&amp;col=6&amp;number=4.6&amp;sourceID=14","4.6")</f>
        <v>4.6</v>
      </c>
      <c r="G6960" s="4" t="str">
        <f>HYPERLINK("http://141.218.60.56/~jnz1568/getInfo.php?workbook=14_04.xlsx&amp;sheet=U0&amp;row=6960&amp;col=7&amp;number=0.00241&amp;sourceID=14","0.00241")</f>
        <v>0.00241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HYPERLINK("http://141.218.60.56/~jnz1568/getInfo.php?workbook=14_04.xlsx&amp;sheet=U0&amp;row=6961&amp;col=6&amp;number=4.7&amp;sourceID=14","4.7")</f>
        <v>4.7</v>
      </c>
      <c r="G6961" s="4" t="str">
        <f>HYPERLINK("http://141.218.60.56/~jnz1568/getInfo.php?workbook=14_04.xlsx&amp;sheet=U0&amp;row=6961&amp;col=7&amp;number=0.00242&amp;sourceID=14","0.00242")</f>
        <v>0.00242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HYPERLINK("http://141.218.60.56/~jnz1568/getInfo.php?workbook=14_04.xlsx&amp;sheet=U0&amp;row=6962&amp;col=6&amp;number=4.8&amp;sourceID=14","4.8")</f>
        <v>4.8</v>
      </c>
      <c r="G6962" s="4" t="str">
        <f>HYPERLINK("http://141.218.60.56/~jnz1568/getInfo.php?workbook=14_04.xlsx&amp;sheet=U0&amp;row=6962&amp;col=7&amp;number=0.00243&amp;sourceID=14","0.00243")</f>
        <v>0.00243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HYPERLINK("http://141.218.60.56/~jnz1568/getInfo.php?workbook=14_04.xlsx&amp;sheet=U0&amp;row=6963&amp;col=6&amp;number=4.9&amp;sourceID=14","4.9")</f>
        <v>4.9</v>
      </c>
      <c r="G6963" s="4" t="str">
        <f>HYPERLINK("http://141.218.60.56/~jnz1568/getInfo.php?workbook=14_04.xlsx&amp;sheet=U0&amp;row=6963&amp;col=7&amp;number=0.00245&amp;sourceID=14","0.00245")</f>
        <v>0.00245</v>
      </c>
    </row>
    <row r="6964" spans="1:7">
      <c r="A6964" s="3">
        <v>14</v>
      </c>
      <c r="B6964" s="3">
        <v>4</v>
      </c>
      <c r="C6964" s="3">
        <v>4</v>
      </c>
      <c r="D6964" s="3">
        <v>68</v>
      </c>
      <c r="E6964" s="3">
        <v>1</v>
      </c>
      <c r="F6964" s="4" t="str">
        <f>HYPERLINK("http://141.218.60.56/~jnz1568/getInfo.php?workbook=14_04.xlsx&amp;sheet=U0&amp;row=6964&amp;col=6&amp;number=3&amp;sourceID=14","3")</f>
        <v>3</v>
      </c>
      <c r="G6964" s="4" t="str">
        <f>HYPERLINK("http://141.218.60.56/~jnz1568/getInfo.php?workbook=14_04.xlsx&amp;sheet=U0&amp;row=6964&amp;col=7&amp;number=0.00372&amp;sourceID=14","0.00372")</f>
        <v>0.00372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HYPERLINK("http://141.218.60.56/~jnz1568/getInfo.php?workbook=14_04.xlsx&amp;sheet=U0&amp;row=6965&amp;col=6&amp;number=3.1&amp;sourceID=14","3.1")</f>
        <v>3.1</v>
      </c>
      <c r="G6965" s="4" t="str">
        <f>HYPERLINK("http://141.218.60.56/~jnz1568/getInfo.php?workbook=14_04.xlsx&amp;sheet=U0&amp;row=6965&amp;col=7&amp;number=0.00372&amp;sourceID=14","0.00372")</f>
        <v>0.00372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HYPERLINK("http://141.218.60.56/~jnz1568/getInfo.php?workbook=14_04.xlsx&amp;sheet=U0&amp;row=6966&amp;col=6&amp;number=3.2&amp;sourceID=14","3.2")</f>
        <v>3.2</v>
      </c>
      <c r="G6966" s="4" t="str">
        <f>HYPERLINK("http://141.218.60.56/~jnz1568/getInfo.php?workbook=14_04.xlsx&amp;sheet=U0&amp;row=6966&amp;col=7&amp;number=0.00372&amp;sourceID=14","0.00372")</f>
        <v>0.00372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HYPERLINK("http://141.218.60.56/~jnz1568/getInfo.php?workbook=14_04.xlsx&amp;sheet=U0&amp;row=6967&amp;col=6&amp;number=3.3&amp;sourceID=14","3.3")</f>
        <v>3.3</v>
      </c>
      <c r="G6967" s="4" t="str">
        <f>HYPERLINK("http://141.218.60.56/~jnz1568/getInfo.php?workbook=14_04.xlsx&amp;sheet=U0&amp;row=6967&amp;col=7&amp;number=0.00372&amp;sourceID=14","0.00372")</f>
        <v>0.00372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HYPERLINK("http://141.218.60.56/~jnz1568/getInfo.php?workbook=14_04.xlsx&amp;sheet=U0&amp;row=6968&amp;col=6&amp;number=3.4&amp;sourceID=14","3.4")</f>
        <v>3.4</v>
      </c>
      <c r="G6968" s="4" t="str">
        <f>HYPERLINK("http://141.218.60.56/~jnz1568/getInfo.php?workbook=14_04.xlsx&amp;sheet=U0&amp;row=6968&amp;col=7&amp;number=0.00372&amp;sourceID=14","0.00372")</f>
        <v>0.00372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HYPERLINK("http://141.218.60.56/~jnz1568/getInfo.php?workbook=14_04.xlsx&amp;sheet=U0&amp;row=6969&amp;col=6&amp;number=3.5&amp;sourceID=14","3.5")</f>
        <v>3.5</v>
      </c>
      <c r="G6969" s="4" t="str">
        <f>HYPERLINK("http://141.218.60.56/~jnz1568/getInfo.php?workbook=14_04.xlsx&amp;sheet=U0&amp;row=6969&amp;col=7&amp;number=0.00372&amp;sourceID=14","0.00372")</f>
        <v>0.00372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HYPERLINK("http://141.218.60.56/~jnz1568/getInfo.php?workbook=14_04.xlsx&amp;sheet=U0&amp;row=6970&amp;col=6&amp;number=3.6&amp;sourceID=14","3.6")</f>
        <v>3.6</v>
      </c>
      <c r="G6970" s="4" t="str">
        <f>HYPERLINK("http://141.218.60.56/~jnz1568/getInfo.php?workbook=14_04.xlsx&amp;sheet=U0&amp;row=6970&amp;col=7&amp;number=0.00372&amp;sourceID=14","0.00372")</f>
        <v>0.00372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HYPERLINK("http://141.218.60.56/~jnz1568/getInfo.php?workbook=14_04.xlsx&amp;sheet=U0&amp;row=6971&amp;col=6&amp;number=3.7&amp;sourceID=14","3.7")</f>
        <v>3.7</v>
      </c>
      <c r="G6971" s="4" t="str">
        <f>HYPERLINK("http://141.218.60.56/~jnz1568/getInfo.php?workbook=14_04.xlsx&amp;sheet=U0&amp;row=6971&amp;col=7&amp;number=0.00372&amp;sourceID=14","0.00372")</f>
        <v>0.00372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HYPERLINK("http://141.218.60.56/~jnz1568/getInfo.php?workbook=14_04.xlsx&amp;sheet=U0&amp;row=6972&amp;col=6&amp;number=3.8&amp;sourceID=14","3.8")</f>
        <v>3.8</v>
      </c>
      <c r="G6972" s="4" t="str">
        <f>HYPERLINK("http://141.218.60.56/~jnz1568/getInfo.php?workbook=14_04.xlsx&amp;sheet=U0&amp;row=6972&amp;col=7&amp;number=0.00372&amp;sourceID=14","0.00372")</f>
        <v>0.00372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HYPERLINK("http://141.218.60.56/~jnz1568/getInfo.php?workbook=14_04.xlsx&amp;sheet=U0&amp;row=6973&amp;col=6&amp;number=3.9&amp;sourceID=14","3.9")</f>
        <v>3.9</v>
      </c>
      <c r="G6973" s="4" t="str">
        <f>HYPERLINK("http://141.218.60.56/~jnz1568/getInfo.php?workbook=14_04.xlsx&amp;sheet=U0&amp;row=6973&amp;col=7&amp;number=0.00373&amp;sourceID=14","0.00373")</f>
        <v>0.00373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HYPERLINK("http://141.218.60.56/~jnz1568/getInfo.php?workbook=14_04.xlsx&amp;sheet=U0&amp;row=6974&amp;col=6&amp;number=4&amp;sourceID=14","4")</f>
        <v>4</v>
      </c>
      <c r="G6974" s="4" t="str">
        <f>HYPERLINK("http://141.218.60.56/~jnz1568/getInfo.php?workbook=14_04.xlsx&amp;sheet=U0&amp;row=6974&amp;col=7&amp;number=0.00373&amp;sourceID=14","0.00373")</f>
        <v>0.00373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HYPERLINK("http://141.218.60.56/~jnz1568/getInfo.php?workbook=14_04.xlsx&amp;sheet=U0&amp;row=6975&amp;col=6&amp;number=4.1&amp;sourceID=14","4.1")</f>
        <v>4.1</v>
      </c>
      <c r="G6975" s="4" t="str">
        <f>HYPERLINK("http://141.218.60.56/~jnz1568/getInfo.php?workbook=14_04.xlsx&amp;sheet=U0&amp;row=6975&amp;col=7&amp;number=0.00373&amp;sourceID=14","0.00373")</f>
        <v>0.00373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HYPERLINK("http://141.218.60.56/~jnz1568/getInfo.php?workbook=14_04.xlsx&amp;sheet=U0&amp;row=6976&amp;col=6&amp;number=4.2&amp;sourceID=14","4.2")</f>
        <v>4.2</v>
      </c>
      <c r="G6976" s="4" t="str">
        <f>HYPERLINK("http://141.218.60.56/~jnz1568/getInfo.php?workbook=14_04.xlsx&amp;sheet=U0&amp;row=6976&amp;col=7&amp;number=0.00374&amp;sourceID=14","0.00374")</f>
        <v>0.00374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HYPERLINK("http://141.218.60.56/~jnz1568/getInfo.php?workbook=14_04.xlsx&amp;sheet=U0&amp;row=6977&amp;col=6&amp;number=4.3&amp;sourceID=14","4.3")</f>
        <v>4.3</v>
      </c>
      <c r="G6977" s="4" t="str">
        <f>HYPERLINK("http://141.218.60.56/~jnz1568/getInfo.php?workbook=14_04.xlsx&amp;sheet=U0&amp;row=6977&amp;col=7&amp;number=0.00375&amp;sourceID=14","0.00375")</f>
        <v>0.00375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HYPERLINK("http://141.218.60.56/~jnz1568/getInfo.php?workbook=14_04.xlsx&amp;sheet=U0&amp;row=6978&amp;col=6&amp;number=4.4&amp;sourceID=14","4.4")</f>
        <v>4.4</v>
      </c>
      <c r="G6978" s="4" t="str">
        <f>HYPERLINK("http://141.218.60.56/~jnz1568/getInfo.php?workbook=14_04.xlsx&amp;sheet=U0&amp;row=6978&amp;col=7&amp;number=0.00375&amp;sourceID=14","0.00375")</f>
        <v>0.00375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HYPERLINK("http://141.218.60.56/~jnz1568/getInfo.php?workbook=14_04.xlsx&amp;sheet=U0&amp;row=6979&amp;col=6&amp;number=4.5&amp;sourceID=14","4.5")</f>
        <v>4.5</v>
      </c>
      <c r="G6979" s="4" t="str">
        <f>HYPERLINK("http://141.218.60.56/~jnz1568/getInfo.php?workbook=14_04.xlsx&amp;sheet=U0&amp;row=6979&amp;col=7&amp;number=0.00377&amp;sourceID=14","0.00377")</f>
        <v>0.00377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HYPERLINK("http://141.218.60.56/~jnz1568/getInfo.php?workbook=14_04.xlsx&amp;sheet=U0&amp;row=6980&amp;col=6&amp;number=4.6&amp;sourceID=14","4.6")</f>
        <v>4.6</v>
      </c>
      <c r="G6980" s="4" t="str">
        <f>HYPERLINK("http://141.218.60.56/~jnz1568/getInfo.php?workbook=14_04.xlsx&amp;sheet=U0&amp;row=6980&amp;col=7&amp;number=0.00378&amp;sourceID=14","0.00378")</f>
        <v>0.00378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HYPERLINK("http://141.218.60.56/~jnz1568/getInfo.php?workbook=14_04.xlsx&amp;sheet=U0&amp;row=6981&amp;col=6&amp;number=4.7&amp;sourceID=14","4.7")</f>
        <v>4.7</v>
      </c>
      <c r="G6981" s="4" t="str">
        <f>HYPERLINK("http://141.218.60.56/~jnz1568/getInfo.php?workbook=14_04.xlsx&amp;sheet=U0&amp;row=6981&amp;col=7&amp;number=0.0038&amp;sourceID=14","0.0038")</f>
        <v>0.0038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HYPERLINK("http://141.218.60.56/~jnz1568/getInfo.php?workbook=14_04.xlsx&amp;sheet=U0&amp;row=6982&amp;col=6&amp;number=4.8&amp;sourceID=14","4.8")</f>
        <v>4.8</v>
      </c>
      <c r="G6982" s="4" t="str">
        <f>HYPERLINK("http://141.218.60.56/~jnz1568/getInfo.php?workbook=14_04.xlsx&amp;sheet=U0&amp;row=6982&amp;col=7&amp;number=0.00382&amp;sourceID=14","0.00382")</f>
        <v>0.00382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HYPERLINK("http://141.218.60.56/~jnz1568/getInfo.php?workbook=14_04.xlsx&amp;sheet=U0&amp;row=6983&amp;col=6&amp;number=4.9&amp;sourceID=14","4.9")</f>
        <v>4.9</v>
      </c>
      <c r="G6983" s="4" t="str">
        <f>HYPERLINK("http://141.218.60.56/~jnz1568/getInfo.php?workbook=14_04.xlsx&amp;sheet=U0&amp;row=6983&amp;col=7&amp;number=0.00384&amp;sourceID=14","0.00384")</f>
        <v>0.00384</v>
      </c>
    </row>
    <row r="6984" spans="1:7">
      <c r="A6984" s="3">
        <v>14</v>
      </c>
      <c r="B6984" s="3">
        <v>4</v>
      </c>
      <c r="C6984" s="3">
        <v>4</v>
      </c>
      <c r="D6984" s="3">
        <v>69</v>
      </c>
      <c r="E6984" s="3">
        <v>1</v>
      </c>
      <c r="F6984" s="4" t="str">
        <f>HYPERLINK("http://141.218.60.56/~jnz1568/getInfo.php?workbook=14_04.xlsx&amp;sheet=U0&amp;row=6984&amp;col=6&amp;number=3&amp;sourceID=14","3")</f>
        <v>3</v>
      </c>
      <c r="G6984" s="4" t="str">
        <f>HYPERLINK("http://141.218.60.56/~jnz1568/getInfo.php?workbook=14_04.xlsx&amp;sheet=U0&amp;row=6984&amp;col=7&amp;number=0.000102&amp;sourceID=14","0.000102")</f>
        <v>0.000102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HYPERLINK("http://141.218.60.56/~jnz1568/getInfo.php?workbook=14_04.xlsx&amp;sheet=U0&amp;row=6985&amp;col=6&amp;number=3.1&amp;sourceID=14","3.1")</f>
        <v>3.1</v>
      </c>
      <c r="G6985" s="4" t="str">
        <f>HYPERLINK("http://141.218.60.56/~jnz1568/getInfo.php?workbook=14_04.xlsx&amp;sheet=U0&amp;row=6985&amp;col=7&amp;number=0.000102&amp;sourceID=14","0.000102")</f>
        <v>0.000102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HYPERLINK("http://141.218.60.56/~jnz1568/getInfo.php?workbook=14_04.xlsx&amp;sheet=U0&amp;row=6986&amp;col=6&amp;number=3.2&amp;sourceID=14","3.2")</f>
        <v>3.2</v>
      </c>
      <c r="G6986" s="4" t="str">
        <f>HYPERLINK("http://141.218.60.56/~jnz1568/getInfo.php?workbook=14_04.xlsx&amp;sheet=U0&amp;row=6986&amp;col=7&amp;number=0.000102&amp;sourceID=14","0.000102")</f>
        <v>0.000102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HYPERLINK("http://141.218.60.56/~jnz1568/getInfo.php?workbook=14_04.xlsx&amp;sheet=U0&amp;row=6987&amp;col=6&amp;number=3.3&amp;sourceID=14","3.3")</f>
        <v>3.3</v>
      </c>
      <c r="G6987" s="4" t="str">
        <f>HYPERLINK("http://141.218.60.56/~jnz1568/getInfo.php?workbook=14_04.xlsx&amp;sheet=U0&amp;row=6987&amp;col=7&amp;number=0.000102&amp;sourceID=14","0.000102")</f>
        <v>0.000102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HYPERLINK("http://141.218.60.56/~jnz1568/getInfo.php?workbook=14_04.xlsx&amp;sheet=U0&amp;row=6988&amp;col=6&amp;number=3.4&amp;sourceID=14","3.4")</f>
        <v>3.4</v>
      </c>
      <c r="G6988" s="4" t="str">
        <f>HYPERLINK("http://141.218.60.56/~jnz1568/getInfo.php?workbook=14_04.xlsx&amp;sheet=U0&amp;row=6988&amp;col=7&amp;number=0.000102&amp;sourceID=14","0.000102")</f>
        <v>0.000102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HYPERLINK("http://141.218.60.56/~jnz1568/getInfo.php?workbook=14_04.xlsx&amp;sheet=U0&amp;row=6989&amp;col=6&amp;number=3.5&amp;sourceID=14","3.5")</f>
        <v>3.5</v>
      </c>
      <c r="G6989" s="4" t="str">
        <f>HYPERLINK("http://141.218.60.56/~jnz1568/getInfo.php?workbook=14_04.xlsx&amp;sheet=U0&amp;row=6989&amp;col=7&amp;number=0.000102&amp;sourceID=14","0.000102")</f>
        <v>0.000102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HYPERLINK("http://141.218.60.56/~jnz1568/getInfo.php?workbook=14_04.xlsx&amp;sheet=U0&amp;row=6990&amp;col=6&amp;number=3.6&amp;sourceID=14","3.6")</f>
        <v>3.6</v>
      </c>
      <c r="G6990" s="4" t="str">
        <f>HYPERLINK("http://141.218.60.56/~jnz1568/getInfo.php?workbook=14_04.xlsx&amp;sheet=U0&amp;row=6990&amp;col=7&amp;number=0.000102&amp;sourceID=14","0.000102")</f>
        <v>0.000102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HYPERLINK("http://141.218.60.56/~jnz1568/getInfo.php?workbook=14_04.xlsx&amp;sheet=U0&amp;row=6991&amp;col=6&amp;number=3.7&amp;sourceID=14","3.7")</f>
        <v>3.7</v>
      </c>
      <c r="G6991" s="4" t="str">
        <f>HYPERLINK("http://141.218.60.56/~jnz1568/getInfo.php?workbook=14_04.xlsx&amp;sheet=U0&amp;row=6991&amp;col=7&amp;number=0.000102&amp;sourceID=14","0.000102")</f>
        <v>0.000102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HYPERLINK("http://141.218.60.56/~jnz1568/getInfo.php?workbook=14_04.xlsx&amp;sheet=U0&amp;row=6992&amp;col=6&amp;number=3.8&amp;sourceID=14","3.8")</f>
        <v>3.8</v>
      </c>
      <c r="G6992" s="4" t="str">
        <f>HYPERLINK("http://141.218.60.56/~jnz1568/getInfo.php?workbook=14_04.xlsx&amp;sheet=U0&amp;row=6992&amp;col=7&amp;number=0.000102&amp;sourceID=14","0.000102")</f>
        <v>0.000102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HYPERLINK("http://141.218.60.56/~jnz1568/getInfo.php?workbook=14_04.xlsx&amp;sheet=U0&amp;row=6993&amp;col=6&amp;number=3.9&amp;sourceID=14","3.9")</f>
        <v>3.9</v>
      </c>
      <c r="G6993" s="4" t="str">
        <f>HYPERLINK("http://141.218.60.56/~jnz1568/getInfo.php?workbook=14_04.xlsx&amp;sheet=U0&amp;row=6993&amp;col=7&amp;number=0.000102&amp;sourceID=14","0.000102")</f>
        <v>0.000102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HYPERLINK("http://141.218.60.56/~jnz1568/getInfo.php?workbook=14_04.xlsx&amp;sheet=U0&amp;row=6994&amp;col=6&amp;number=4&amp;sourceID=14","4")</f>
        <v>4</v>
      </c>
      <c r="G6994" s="4" t="str">
        <f>HYPERLINK("http://141.218.60.56/~jnz1568/getInfo.php?workbook=14_04.xlsx&amp;sheet=U0&amp;row=6994&amp;col=7&amp;number=0.000102&amp;sourceID=14","0.000102")</f>
        <v>0.000102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HYPERLINK("http://141.218.60.56/~jnz1568/getInfo.php?workbook=14_04.xlsx&amp;sheet=U0&amp;row=6995&amp;col=6&amp;number=4.1&amp;sourceID=14","4.1")</f>
        <v>4.1</v>
      </c>
      <c r="G6995" s="4" t="str">
        <f>HYPERLINK("http://141.218.60.56/~jnz1568/getInfo.php?workbook=14_04.xlsx&amp;sheet=U0&amp;row=6995&amp;col=7&amp;number=0.000102&amp;sourceID=14","0.000102")</f>
        <v>0.000102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HYPERLINK("http://141.218.60.56/~jnz1568/getInfo.php?workbook=14_04.xlsx&amp;sheet=U0&amp;row=6996&amp;col=6&amp;number=4.2&amp;sourceID=14","4.2")</f>
        <v>4.2</v>
      </c>
      <c r="G6996" s="4" t="str">
        <f>HYPERLINK("http://141.218.60.56/~jnz1568/getInfo.php?workbook=14_04.xlsx&amp;sheet=U0&amp;row=6996&amp;col=7&amp;number=0.000102&amp;sourceID=14","0.000102")</f>
        <v>0.000102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HYPERLINK("http://141.218.60.56/~jnz1568/getInfo.php?workbook=14_04.xlsx&amp;sheet=U0&amp;row=6997&amp;col=6&amp;number=4.3&amp;sourceID=14","4.3")</f>
        <v>4.3</v>
      </c>
      <c r="G6997" s="4" t="str">
        <f>HYPERLINK("http://141.218.60.56/~jnz1568/getInfo.php?workbook=14_04.xlsx&amp;sheet=U0&amp;row=6997&amp;col=7&amp;number=0.000103&amp;sourceID=14","0.000103")</f>
        <v>0.000103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HYPERLINK("http://141.218.60.56/~jnz1568/getInfo.php?workbook=14_04.xlsx&amp;sheet=U0&amp;row=6998&amp;col=6&amp;number=4.4&amp;sourceID=14","4.4")</f>
        <v>4.4</v>
      </c>
      <c r="G6998" s="4" t="str">
        <f>HYPERLINK("http://141.218.60.56/~jnz1568/getInfo.php?workbook=14_04.xlsx&amp;sheet=U0&amp;row=6998&amp;col=7&amp;number=0.000103&amp;sourceID=14","0.000103")</f>
        <v>0.000103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HYPERLINK("http://141.218.60.56/~jnz1568/getInfo.php?workbook=14_04.xlsx&amp;sheet=U0&amp;row=6999&amp;col=6&amp;number=4.5&amp;sourceID=14","4.5")</f>
        <v>4.5</v>
      </c>
      <c r="G6999" s="4" t="str">
        <f>HYPERLINK("http://141.218.60.56/~jnz1568/getInfo.php?workbook=14_04.xlsx&amp;sheet=U0&amp;row=6999&amp;col=7&amp;number=0.000103&amp;sourceID=14","0.000103")</f>
        <v>0.000103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HYPERLINK("http://141.218.60.56/~jnz1568/getInfo.php?workbook=14_04.xlsx&amp;sheet=U0&amp;row=7000&amp;col=6&amp;number=4.6&amp;sourceID=14","4.6")</f>
        <v>4.6</v>
      </c>
      <c r="G7000" s="4" t="str">
        <f>HYPERLINK("http://141.218.60.56/~jnz1568/getInfo.php?workbook=14_04.xlsx&amp;sheet=U0&amp;row=7000&amp;col=7&amp;number=0.000103&amp;sourceID=14","0.000103")</f>
        <v>0.000103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HYPERLINK("http://141.218.60.56/~jnz1568/getInfo.php?workbook=14_04.xlsx&amp;sheet=U0&amp;row=7001&amp;col=6&amp;number=4.7&amp;sourceID=14","4.7")</f>
        <v>4.7</v>
      </c>
      <c r="G7001" s="4" t="str">
        <f>HYPERLINK("http://141.218.60.56/~jnz1568/getInfo.php?workbook=14_04.xlsx&amp;sheet=U0&amp;row=7001&amp;col=7&amp;number=0.000103&amp;sourceID=14","0.000103")</f>
        <v>0.000103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HYPERLINK("http://141.218.60.56/~jnz1568/getInfo.php?workbook=14_04.xlsx&amp;sheet=U0&amp;row=7002&amp;col=6&amp;number=4.8&amp;sourceID=14","4.8")</f>
        <v>4.8</v>
      </c>
      <c r="G7002" s="4" t="str">
        <f>HYPERLINK("http://141.218.60.56/~jnz1568/getInfo.php?workbook=14_04.xlsx&amp;sheet=U0&amp;row=7002&amp;col=7&amp;number=0.000103&amp;sourceID=14","0.000103")</f>
        <v>0.000103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HYPERLINK("http://141.218.60.56/~jnz1568/getInfo.php?workbook=14_04.xlsx&amp;sheet=U0&amp;row=7003&amp;col=6&amp;number=4.9&amp;sourceID=14","4.9")</f>
        <v>4.9</v>
      </c>
      <c r="G7003" s="4" t="str">
        <f>HYPERLINK("http://141.218.60.56/~jnz1568/getInfo.php?workbook=14_04.xlsx&amp;sheet=U0&amp;row=7003&amp;col=7&amp;number=0.000103&amp;sourceID=14","0.000103")</f>
        <v>0.000103</v>
      </c>
    </row>
    <row r="7004" spans="1:7">
      <c r="A7004" s="3">
        <v>14</v>
      </c>
      <c r="B7004" s="3">
        <v>4</v>
      </c>
      <c r="C7004" s="3">
        <v>4</v>
      </c>
      <c r="D7004" s="3">
        <v>70</v>
      </c>
      <c r="E7004" s="3">
        <v>1</v>
      </c>
      <c r="F7004" s="4" t="str">
        <f>HYPERLINK("http://141.218.60.56/~jnz1568/getInfo.php?workbook=14_04.xlsx&amp;sheet=U0&amp;row=7004&amp;col=6&amp;number=3&amp;sourceID=14","3")</f>
        <v>3</v>
      </c>
      <c r="G7004" s="4" t="str">
        <f>HYPERLINK("http://141.218.60.56/~jnz1568/getInfo.php?workbook=14_04.xlsx&amp;sheet=U0&amp;row=7004&amp;col=7&amp;number=0.00176&amp;sourceID=14","0.00176")</f>
        <v>0.00176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HYPERLINK("http://141.218.60.56/~jnz1568/getInfo.php?workbook=14_04.xlsx&amp;sheet=U0&amp;row=7005&amp;col=6&amp;number=3.1&amp;sourceID=14","3.1")</f>
        <v>3.1</v>
      </c>
      <c r="G7005" s="4" t="str">
        <f>HYPERLINK("http://141.218.60.56/~jnz1568/getInfo.php?workbook=14_04.xlsx&amp;sheet=U0&amp;row=7005&amp;col=7&amp;number=0.00176&amp;sourceID=14","0.00176")</f>
        <v>0.00176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HYPERLINK("http://141.218.60.56/~jnz1568/getInfo.php?workbook=14_04.xlsx&amp;sheet=U0&amp;row=7006&amp;col=6&amp;number=3.2&amp;sourceID=14","3.2")</f>
        <v>3.2</v>
      </c>
      <c r="G7006" s="4" t="str">
        <f>HYPERLINK("http://141.218.60.56/~jnz1568/getInfo.php?workbook=14_04.xlsx&amp;sheet=U0&amp;row=7006&amp;col=7&amp;number=0.00176&amp;sourceID=14","0.00176")</f>
        <v>0.00176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HYPERLINK("http://141.218.60.56/~jnz1568/getInfo.php?workbook=14_04.xlsx&amp;sheet=U0&amp;row=7007&amp;col=6&amp;number=3.3&amp;sourceID=14","3.3")</f>
        <v>3.3</v>
      </c>
      <c r="G7007" s="4" t="str">
        <f>HYPERLINK("http://141.218.60.56/~jnz1568/getInfo.php?workbook=14_04.xlsx&amp;sheet=U0&amp;row=7007&amp;col=7&amp;number=0.00176&amp;sourceID=14","0.00176")</f>
        <v>0.00176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HYPERLINK("http://141.218.60.56/~jnz1568/getInfo.php?workbook=14_04.xlsx&amp;sheet=U0&amp;row=7008&amp;col=6&amp;number=3.4&amp;sourceID=14","3.4")</f>
        <v>3.4</v>
      </c>
      <c r="G7008" s="4" t="str">
        <f>HYPERLINK("http://141.218.60.56/~jnz1568/getInfo.php?workbook=14_04.xlsx&amp;sheet=U0&amp;row=7008&amp;col=7&amp;number=0.00176&amp;sourceID=14","0.00176")</f>
        <v>0.00176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HYPERLINK("http://141.218.60.56/~jnz1568/getInfo.php?workbook=14_04.xlsx&amp;sheet=U0&amp;row=7009&amp;col=6&amp;number=3.5&amp;sourceID=14","3.5")</f>
        <v>3.5</v>
      </c>
      <c r="G7009" s="4" t="str">
        <f>HYPERLINK("http://141.218.60.56/~jnz1568/getInfo.php?workbook=14_04.xlsx&amp;sheet=U0&amp;row=7009&amp;col=7&amp;number=0.00176&amp;sourceID=14","0.00176")</f>
        <v>0.00176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HYPERLINK("http://141.218.60.56/~jnz1568/getInfo.php?workbook=14_04.xlsx&amp;sheet=U0&amp;row=7010&amp;col=6&amp;number=3.6&amp;sourceID=14","3.6")</f>
        <v>3.6</v>
      </c>
      <c r="G7010" s="4" t="str">
        <f>HYPERLINK("http://141.218.60.56/~jnz1568/getInfo.php?workbook=14_04.xlsx&amp;sheet=U0&amp;row=7010&amp;col=7&amp;number=0.00176&amp;sourceID=14","0.00176")</f>
        <v>0.00176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HYPERLINK("http://141.218.60.56/~jnz1568/getInfo.php?workbook=14_04.xlsx&amp;sheet=U0&amp;row=7011&amp;col=6&amp;number=3.7&amp;sourceID=14","3.7")</f>
        <v>3.7</v>
      </c>
      <c r="G7011" s="4" t="str">
        <f>HYPERLINK("http://141.218.60.56/~jnz1568/getInfo.php?workbook=14_04.xlsx&amp;sheet=U0&amp;row=7011&amp;col=7&amp;number=0.00176&amp;sourceID=14","0.00176")</f>
        <v>0.00176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HYPERLINK("http://141.218.60.56/~jnz1568/getInfo.php?workbook=14_04.xlsx&amp;sheet=U0&amp;row=7012&amp;col=6&amp;number=3.8&amp;sourceID=14","3.8")</f>
        <v>3.8</v>
      </c>
      <c r="G7012" s="4" t="str">
        <f>HYPERLINK("http://141.218.60.56/~jnz1568/getInfo.php?workbook=14_04.xlsx&amp;sheet=U0&amp;row=7012&amp;col=7&amp;number=0.00176&amp;sourceID=14","0.00176")</f>
        <v>0.00176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HYPERLINK("http://141.218.60.56/~jnz1568/getInfo.php?workbook=14_04.xlsx&amp;sheet=U0&amp;row=7013&amp;col=6&amp;number=3.9&amp;sourceID=14","3.9")</f>
        <v>3.9</v>
      </c>
      <c r="G7013" s="4" t="str">
        <f>HYPERLINK("http://141.218.60.56/~jnz1568/getInfo.php?workbook=14_04.xlsx&amp;sheet=U0&amp;row=7013&amp;col=7&amp;number=0.00176&amp;sourceID=14","0.00176")</f>
        <v>0.00176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HYPERLINK("http://141.218.60.56/~jnz1568/getInfo.php?workbook=14_04.xlsx&amp;sheet=U0&amp;row=7014&amp;col=6&amp;number=4&amp;sourceID=14","4")</f>
        <v>4</v>
      </c>
      <c r="G7014" s="4" t="str">
        <f>HYPERLINK("http://141.218.60.56/~jnz1568/getInfo.php?workbook=14_04.xlsx&amp;sheet=U0&amp;row=7014&amp;col=7&amp;number=0.00176&amp;sourceID=14","0.00176")</f>
        <v>0.00176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HYPERLINK("http://141.218.60.56/~jnz1568/getInfo.php?workbook=14_04.xlsx&amp;sheet=U0&amp;row=7015&amp;col=6&amp;number=4.1&amp;sourceID=14","4.1")</f>
        <v>4.1</v>
      </c>
      <c r="G7015" s="4" t="str">
        <f>HYPERLINK("http://141.218.60.56/~jnz1568/getInfo.php?workbook=14_04.xlsx&amp;sheet=U0&amp;row=7015&amp;col=7&amp;number=0.00176&amp;sourceID=14","0.00176")</f>
        <v>0.00176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HYPERLINK("http://141.218.60.56/~jnz1568/getInfo.php?workbook=14_04.xlsx&amp;sheet=U0&amp;row=7016&amp;col=6&amp;number=4.2&amp;sourceID=14","4.2")</f>
        <v>4.2</v>
      </c>
      <c r="G7016" s="4" t="str">
        <f>HYPERLINK("http://141.218.60.56/~jnz1568/getInfo.php?workbook=14_04.xlsx&amp;sheet=U0&amp;row=7016&amp;col=7&amp;number=0.00176&amp;sourceID=14","0.00176")</f>
        <v>0.00176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HYPERLINK("http://141.218.60.56/~jnz1568/getInfo.php?workbook=14_04.xlsx&amp;sheet=U0&amp;row=7017&amp;col=6&amp;number=4.3&amp;sourceID=14","4.3")</f>
        <v>4.3</v>
      </c>
      <c r="G7017" s="4" t="str">
        <f>HYPERLINK("http://141.218.60.56/~jnz1568/getInfo.php?workbook=14_04.xlsx&amp;sheet=U0&amp;row=7017&amp;col=7&amp;number=0.00176&amp;sourceID=14","0.00176")</f>
        <v>0.00176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HYPERLINK("http://141.218.60.56/~jnz1568/getInfo.php?workbook=14_04.xlsx&amp;sheet=U0&amp;row=7018&amp;col=6&amp;number=4.4&amp;sourceID=14","4.4")</f>
        <v>4.4</v>
      </c>
      <c r="G7018" s="4" t="str">
        <f>HYPERLINK("http://141.218.60.56/~jnz1568/getInfo.php?workbook=14_04.xlsx&amp;sheet=U0&amp;row=7018&amp;col=7&amp;number=0.00176&amp;sourceID=14","0.00176")</f>
        <v>0.00176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HYPERLINK("http://141.218.60.56/~jnz1568/getInfo.php?workbook=14_04.xlsx&amp;sheet=U0&amp;row=7019&amp;col=6&amp;number=4.5&amp;sourceID=14","4.5")</f>
        <v>4.5</v>
      </c>
      <c r="G7019" s="4" t="str">
        <f>HYPERLINK("http://141.218.60.56/~jnz1568/getInfo.php?workbook=14_04.xlsx&amp;sheet=U0&amp;row=7019&amp;col=7&amp;number=0.00176&amp;sourceID=14","0.00176")</f>
        <v>0.00176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HYPERLINK("http://141.218.60.56/~jnz1568/getInfo.php?workbook=14_04.xlsx&amp;sheet=U0&amp;row=7020&amp;col=6&amp;number=4.6&amp;sourceID=14","4.6")</f>
        <v>4.6</v>
      </c>
      <c r="G7020" s="4" t="str">
        <f>HYPERLINK("http://141.218.60.56/~jnz1568/getInfo.php?workbook=14_04.xlsx&amp;sheet=U0&amp;row=7020&amp;col=7&amp;number=0.00176&amp;sourceID=14","0.00176")</f>
        <v>0.00176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HYPERLINK("http://141.218.60.56/~jnz1568/getInfo.php?workbook=14_04.xlsx&amp;sheet=U0&amp;row=7021&amp;col=6&amp;number=4.7&amp;sourceID=14","4.7")</f>
        <v>4.7</v>
      </c>
      <c r="G7021" s="4" t="str">
        <f>HYPERLINK("http://141.218.60.56/~jnz1568/getInfo.php?workbook=14_04.xlsx&amp;sheet=U0&amp;row=7021&amp;col=7&amp;number=0.00176&amp;sourceID=14","0.00176")</f>
        <v>0.00176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HYPERLINK("http://141.218.60.56/~jnz1568/getInfo.php?workbook=14_04.xlsx&amp;sheet=U0&amp;row=7022&amp;col=6&amp;number=4.8&amp;sourceID=14","4.8")</f>
        <v>4.8</v>
      </c>
      <c r="G7022" s="4" t="str">
        <f>HYPERLINK("http://141.218.60.56/~jnz1568/getInfo.php?workbook=14_04.xlsx&amp;sheet=U0&amp;row=7022&amp;col=7&amp;number=0.00176&amp;sourceID=14","0.00176")</f>
        <v>0.00176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HYPERLINK("http://141.218.60.56/~jnz1568/getInfo.php?workbook=14_04.xlsx&amp;sheet=U0&amp;row=7023&amp;col=6&amp;number=4.9&amp;sourceID=14","4.9")</f>
        <v>4.9</v>
      </c>
      <c r="G7023" s="4" t="str">
        <f>HYPERLINK("http://141.218.60.56/~jnz1568/getInfo.php?workbook=14_04.xlsx&amp;sheet=U0&amp;row=7023&amp;col=7&amp;number=0.00176&amp;sourceID=14","0.00176")</f>
        <v>0.00176</v>
      </c>
    </row>
    <row r="7024" spans="1:7">
      <c r="A7024" s="3">
        <v>14</v>
      </c>
      <c r="B7024" s="3">
        <v>4</v>
      </c>
      <c r="C7024" s="3">
        <v>4</v>
      </c>
      <c r="D7024" s="3">
        <v>71</v>
      </c>
      <c r="E7024" s="3">
        <v>1</v>
      </c>
      <c r="F7024" s="4" t="str">
        <f>HYPERLINK("http://141.218.60.56/~jnz1568/getInfo.php?workbook=14_04.xlsx&amp;sheet=U0&amp;row=7024&amp;col=6&amp;number=3&amp;sourceID=14","3")</f>
        <v>3</v>
      </c>
      <c r="G7024" s="4" t="str">
        <f>HYPERLINK("http://141.218.60.56/~jnz1568/getInfo.php?workbook=14_04.xlsx&amp;sheet=U0&amp;row=7024&amp;col=7&amp;number=0.00126&amp;sourceID=14","0.00126")</f>
        <v>0.00126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HYPERLINK("http://141.218.60.56/~jnz1568/getInfo.php?workbook=14_04.xlsx&amp;sheet=U0&amp;row=7025&amp;col=6&amp;number=3.1&amp;sourceID=14","3.1")</f>
        <v>3.1</v>
      </c>
      <c r="G7025" s="4" t="str">
        <f>HYPERLINK("http://141.218.60.56/~jnz1568/getInfo.php?workbook=14_04.xlsx&amp;sheet=U0&amp;row=7025&amp;col=7&amp;number=0.00126&amp;sourceID=14","0.00126")</f>
        <v>0.00126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HYPERLINK("http://141.218.60.56/~jnz1568/getInfo.php?workbook=14_04.xlsx&amp;sheet=U0&amp;row=7026&amp;col=6&amp;number=3.2&amp;sourceID=14","3.2")</f>
        <v>3.2</v>
      </c>
      <c r="G7026" s="4" t="str">
        <f>HYPERLINK("http://141.218.60.56/~jnz1568/getInfo.php?workbook=14_04.xlsx&amp;sheet=U0&amp;row=7026&amp;col=7&amp;number=0.00126&amp;sourceID=14","0.00126")</f>
        <v>0.00126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HYPERLINK("http://141.218.60.56/~jnz1568/getInfo.php?workbook=14_04.xlsx&amp;sheet=U0&amp;row=7027&amp;col=6&amp;number=3.3&amp;sourceID=14","3.3")</f>
        <v>3.3</v>
      </c>
      <c r="G7027" s="4" t="str">
        <f>HYPERLINK("http://141.218.60.56/~jnz1568/getInfo.php?workbook=14_04.xlsx&amp;sheet=U0&amp;row=7027&amp;col=7&amp;number=0.00126&amp;sourceID=14","0.00126")</f>
        <v>0.00126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HYPERLINK("http://141.218.60.56/~jnz1568/getInfo.php?workbook=14_04.xlsx&amp;sheet=U0&amp;row=7028&amp;col=6&amp;number=3.4&amp;sourceID=14","3.4")</f>
        <v>3.4</v>
      </c>
      <c r="G7028" s="4" t="str">
        <f>HYPERLINK("http://141.218.60.56/~jnz1568/getInfo.php?workbook=14_04.xlsx&amp;sheet=U0&amp;row=7028&amp;col=7&amp;number=0.00126&amp;sourceID=14","0.00126")</f>
        <v>0.00126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HYPERLINK("http://141.218.60.56/~jnz1568/getInfo.php?workbook=14_04.xlsx&amp;sheet=U0&amp;row=7029&amp;col=6&amp;number=3.5&amp;sourceID=14","3.5")</f>
        <v>3.5</v>
      </c>
      <c r="G7029" s="4" t="str">
        <f>HYPERLINK("http://141.218.60.56/~jnz1568/getInfo.php?workbook=14_04.xlsx&amp;sheet=U0&amp;row=7029&amp;col=7&amp;number=0.00126&amp;sourceID=14","0.00126")</f>
        <v>0.00126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HYPERLINK("http://141.218.60.56/~jnz1568/getInfo.php?workbook=14_04.xlsx&amp;sheet=U0&amp;row=7030&amp;col=6&amp;number=3.6&amp;sourceID=14","3.6")</f>
        <v>3.6</v>
      </c>
      <c r="G7030" s="4" t="str">
        <f>HYPERLINK("http://141.218.60.56/~jnz1568/getInfo.php?workbook=14_04.xlsx&amp;sheet=U0&amp;row=7030&amp;col=7&amp;number=0.00126&amp;sourceID=14","0.00126")</f>
        <v>0.00126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HYPERLINK("http://141.218.60.56/~jnz1568/getInfo.php?workbook=14_04.xlsx&amp;sheet=U0&amp;row=7031&amp;col=6&amp;number=3.7&amp;sourceID=14","3.7")</f>
        <v>3.7</v>
      </c>
      <c r="G7031" s="4" t="str">
        <f>HYPERLINK("http://141.218.60.56/~jnz1568/getInfo.php?workbook=14_04.xlsx&amp;sheet=U0&amp;row=7031&amp;col=7&amp;number=0.00126&amp;sourceID=14","0.00126")</f>
        <v>0.00126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HYPERLINK("http://141.218.60.56/~jnz1568/getInfo.php?workbook=14_04.xlsx&amp;sheet=U0&amp;row=7032&amp;col=6&amp;number=3.8&amp;sourceID=14","3.8")</f>
        <v>3.8</v>
      </c>
      <c r="G7032" s="4" t="str">
        <f>HYPERLINK("http://141.218.60.56/~jnz1568/getInfo.php?workbook=14_04.xlsx&amp;sheet=U0&amp;row=7032&amp;col=7&amp;number=0.00126&amp;sourceID=14","0.00126")</f>
        <v>0.00126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HYPERLINK("http://141.218.60.56/~jnz1568/getInfo.php?workbook=14_04.xlsx&amp;sheet=U0&amp;row=7033&amp;col=6&amp;number=3.9&amp;sourceID=14","3.9")</f>
        <v>3.9</v>
      </c>
      <c r="G7033" s="4" t="str">
        <f>HYPERLINK("http://141.218.60.56/~jnz1568/getInfo.php?workbook=14_04.xlsx&amp;sheet=U0&amp;row=7033&amp;col=7&amp;number=0.00126&amp;sourceID=14","0.00126")</f>
        <v>0.00126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HYPERLINK("http://141.218.60.56/~jnz1568/getInfo.php?workbook=14_04.xlsx&amp;sheet=U0&amp;row=7034&amp;col=6&amp;number=4&amp;sourceID=14","4")</f>
        <v>4</v>
      </c>
      <c r="G7034" s="4" t="str">
        <f>HYPERLINK("http://141.218.60.56/~jnz1568/getInfo.php?workbook=14_04.xlsx&amp;sheet=U0&amp;row=7034&amp;col=7&amp;number=0.00126&amp;sourceID=14","0.00126")</f>
        <v>0.00126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HYPERLINK("http://141.218.60.56/~jnz1568/getInfo.php?workbook=14_04.xlsx&amp;sheet=U0&amp;row=7035&amp;col=6&amp;number=4.1&amp;sourceID=14","4.1")</f>
        <v>4.1</v>
      </c>
      <c r="G7035" s="4" t="str">
        <f>HYPERLINK("http://141.218.60.56/~jnz1568/getInfo.php?workbook=14_04.xlsx&amp;sheet=U0&amp;row=7035&amp;col=7&amp;number=0.00126&amp;sourceID=14","0.00126")</f>
        <v>0.00126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HYPERLINK("http://141.218.60.56/~jnz1568/getInfo.php?workbook=14_04.xlsx&amp;sheet=U0&amp;row=7036&amp;col=6&amp;number=4.2&amp;sourceID=14","4.2")</f>
        <v>4.2</v>
      </c>
      <c r="G7036" s="4" t="str">
        <f>HYPERLINK("http://141.218.60.56/~jnz1568/getInfo.php?workbook=14_04.xlsx&amp;sheet=U0&amp;row=7036&amp;col=7&amp;number=0.00126&amp;sourceID=14","0.00126")</f>
        <v>0.00126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HYPERLINK("http://141.218.60.56/~jnz1568/getInfo.php?workbook=14_04.xlsx&amp;sheet=U0&amp;row=7037&amp;col=6&amp;number=4.3&amp;sourceID=14","4.3")</f>
        <v>4.3</v>
      </c>
      <c r="G7037" s="4" t="str">
        <f>HYPERLINK("http://141.218.60.56/~jnz1568/getInfo.php?workbook=14_04.xlsx&amp;sheet=U0&amp;row=7037&amp;col=7&amp;number=0.00126&amp;sourceID=14","0.00126")</f>
        <v>0.00126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HYPERLINK("http://141.218.60.56/~jnz1568/getInfo.php?workbook=14_04.xlsx&amp;sheet=U0&amp;row=7038&amp;col=6&amp;number=4.4&amp;sourceID=14","4.4")</f>
        <v>4.4</v>
      </c>
      <c r="G7038" s="4" t="str">
        <f>HYPERLINK("http://141.218.60.56/~jnz1568/getInfo.php?workbook=14_04.xlsx&amp;sheet=U0&amp;row=7038&amp;col=7&amp;number=0.00126&amp;sourceID=14","0.00126")</f>
        <v>0.00126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HYPERLINK("http://141.218.60.56/~jnz1568/getInfo.php?workbook=14_04.xlsx&amp;sheet=U0&amp;row=7039&amp;col=6&amp;number=4.5&amp;sourceID=14","4.5")</f>
        <v>4.5</v>
      </c>
      <c r="G7039" s="4" t="str">
        <f>HYPERLINK("http://141.218.60.56/~jnz1568/getInfo.php?workbook=14_04.xlsx&amp;sheet=U0&amp;row=7039&amp;col=7&amp;number=0.00126&amp;sourceID=14","0.00126")</f>
        <v>0.00126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HYPERLINK("http://141.218.60.56/~jnz1568/getInfo.php?workbook=14_04.xlsx&amp;sheet=U0&amp;row=7040&amp;col=6&amp;number=4.6&amp;sourceID=14","4.6")</f>
        <v>4.6</v>
      </c>
      <c r="G7040" s="4" t="str">
        <f>HYPERLINK("http://141.218.60.56/~jnz1568/getInfo.php?workbook=14_04.xlsx&amp;sheet=U0&amp;row=7040&amp;col=7&amp;number=0.00126&amp;sourceID=14","0.00126")</f>
        <v>0.00126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HYPERLINK("http://141.218.60.56/~jnz1568/getInfo.php?workbook=14_04.xlsx&amp;sheet=U0&amp;row=7041&amp;col=6&amp;number=4.7&amp;sourceID=14","4.7")</f>
        <v>4.7</v>
      </c>
      <c r="G7041" s="4" t="str">
        <f>HYPERLINK("http://141.218.60.56/~jnz1568/getInfo.php?workbook=14_04.xlsx&amp;sheet=U0&amp;row=7041&amp;col=7&amp;number=0.00125&amp;sourceID=14","0.00125")</f>
        <v>0.00125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HYPERLINK("http://141.218.60.56/~jnz1568/getInfo.php?workbook=14_04.xlsx&amp;sheet=U0&amp;row=7042&amp;col=6&amp;number=4.8&amp;sourceID=14","4.8")</f>
        <v>4.8</v>
      </c>
      <c r="G7042" s="4" t="str">
        <f>HYPERLINK("http://141.218.60.56/~jnz1568/getInfo.php?workbook=14_04.xlsx&amp;sheet=U0&amp;row=7042&amp;col=7&amp;number=0.00125&amp;sourceID=14","0.00125")</f>
        <v>0.00125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HYPERLINK("http://141.218.60.56/~jnz1568/getInfo.php?workbook=14_04.xlsx&amp;sheet=U0&amp;row=7043&amp;col=6&amp;number=4.9&amp;sourceID=14","4.9")</f>
        <v>4.9</v>
      </c>
      <c r="G7043" s="4" t="str">
        <f>HYPERLINK("http://141.218.60.56/~jnz1568/getInfo.php?workbook=14_04.xlsx&amp;sheet=U0&amp;row=7043&amp;col=7&amp;number=0.00125&amp;sourceID=14","0.00125")</f>
        <v>0.00125</v>
      </c>
    </row>
    <row r="7044" spans="1:7">
      <c r="A7044" s="3">
        <v>14</v>
      </c>
      <c r="B7044" s="3">
        <v>4</v>
      </c>
      <c r="C7044" s="3">
        <v>4</v>
      </c>
      <c r="D7044" s="3">
        <v>72</v>
      </c>
      <c r="E7044" s="3">
        <v>1</v>
      </c>
      <c r="F7044" s="4" t="str">
        <f>HYPERLINK("http://141.218.60.56/~jnz1568/getInfo.php?workbook=14_04.xlsx&amp;sheet=U0&amp;row=7044&amp;col=6&amp;number=3&amp;sourceID=14","3")</f>
        <v>3</v>
      </c>
      <c r="G7044" s="4" t="str">
        <f>HYPERLINK("http://141.218.60.56/~jnz1568/getInfo.php?workbook=14_04.xlsx&amp;sheet=U0&amp;row=7044&amp;col=7&amp;number=0.00243&amp;sourceID=14","0.00243")</f>
        <v>0.00243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HYPERLINK("http://141.218.60.56/~jnz1568/getInfo.php?workbook=14_04.xlsx&amp;sheet=U0&amp;row=7045&amp;col=6&amp;number=3.1&amp;sourceID=14","3.1")</f>
        <v>3.1</v>
      </c>
      <c r="G7045" s="4" t="str">
        <f>HYPERLINK("http://141.218.60.56/~jnz1568/getInfo.php?workbook=14_04.xlsx&amp;sheet=U0&amp;row=7045&amp;col=7&amp;number=0.00243&amp;sourceID=14","0.00243")</f>
        <v>0.00243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HYPERLINK("http://141.218.60.56/~jnz1568/getInfo.php?workbook=14_04.xlsx&amp;sheet=U0&amp;row=7046&amp;col=6&amp;number=3.2&amp;sourceID=14","3.2")</f>
        <v>3.2</v>
      </c>
      <c r="G7046" s="4" t="str">
        <f>HYPERLINK("http://141.218.60.56/~jnz1568/getInfo.php?workbook=14_04.xlsx&amp;sheet=U0&amp;row=7046&amp;col=7&amp;number=0.00243&amp;sourceID=14","0.00243")</f>
        <v>0.00243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HYPERLINK("http://141.218.60.56/~jnz1568/getInfo.php?workbook=14_04.xlsx&amp;sheet=U0&amp;row=7047&amp;col=6&amp;number=3.3&amp;sourceID=14","3.3")</f>
        <v>3.3</v>
      </c>
      <c r="G7047" s="4" t="str">
        <f>HYPERLINK("http://141.218.60.56/~jnz1568/getInfo.php?workbook=14_04.xlsx&amp;sheet=U0&amp;row=7047&amp;col=7&amp;number=0.00243&amp;sourceID=14","0.00243")</f>
        <v>0.00243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HYPERLINK("http://141.218.60.56/~jnz1568/getInfo.php?workbook=14_04.xlsx&amp;sheet=U0&amp;row=7048&amp;col=6&amp;number=3.4&amp;sourceID=14","3.4")</f>
        <v>3.4</v>
      </c>
      <c r="G7048" s="4" t="str">
        <f>HYPERLINK("http://141.218.60.56/~jnz1568/getInfo.php?workbook=14_04.xlsx&amp;sheet=U0&amp;row=7048&amp;col=7&amp;number=0.00243&amp;sourceID=14","0.00243")</f>
        <v>0.00243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HYPERLINK("http://141.218.60.56/~jnz1568/getInfo.php?workbook=14_04.xlsx&amp;sheet=U0&amp;row=7049&amp;col=6&amp;number=3.5&amp;sourceID=14","3.5")</f>
        <v>3.5</v>
      </c>
      <c r="G7049" s="4" t="str">
        <f>HYPERLINK("http://141.218.60.56/~jnz1568/getInfo.php?workbook=14_04.xlsx&amp;sheet=U0&amp;row=7049&amp;col=7&amp;number=0.00243&amp;sourceID=14","0.00243")</f>
        <v>0.00243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HYPERLINK("http://141.218.60.56/~jnz1568/getInfo.php?workbook=14_04.xlsx&amp;sheet=U0&amp;row=7050&amp;col=6&amp;number=3.6&amp;sourceID=14","3.6")</f>
        <v>3.6</v>
      </c>
      <c r="G7050" s="4" t="str">
        <f>HYPERLINK("http://141.218.60.56/~jnz1568/getInfo.php?workbook=14_04.xlsx&amp;sheet=U0&amp;row=7050&amp;col=7&amp;number=0.00243&amp;sourceID=14","0.00243")</f>
        <v>0.00243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HYPERLINK("http://141.218.60.56/~jnz1568/getInfo.php?workbook=14_04.xlsx&amp;sheet=U0&amp;row=7051&amp;col=6&amp;number=3.7&amp;sourceID=14","3.7")</f>
        <v>3.7</v>
      </c>
      <c r="G7051" s="4" t="str">
        <f>HYPERLINK("http://141.218.60.56/~jnz1568/getInfo.php?workbook=14_04.xlsx&amp;sheet=U0&amp;row=7051&amp;col=7&amp;number=0.00243&amp;sourceID=14","0.00243")</f>
        <v>0.00243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HYPERLINK("http://141.218.60.56/~jnz1568/getInfo.php?workbook=14_04.xlsx&amp;sheet=U0&amp;row=7052&amp;col=6&amp;number=3.8&amp;sourceID=14","3.8")</f>
        <v>3.8</v>
      </c>
      <c r="G7052" s="4" t="str">
        <f>HYPERLINK("http://141.218.60.56/~jnz1568/getInfo.php?workbook=14_04.xlsx&amp;sheet=U0&amp;row=7052&amp;col=7&amp;number=0.00243&amp;sourceID=14","0.00243")</f>
        <v>0.00243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HYPERLINK("http://141.218.60.56/~jnz1568/getInfo.php?workbook=14_04.xlsx&amp;sheet=U0&amp;row=7053&amp;col=6&amp;number=3.9&amp;sourceID=14","3.9")</f>
        <v>3.9</v>
      </c>
      <c r="G7053" s="4" t="str">
        <f>HYPERLINK("http://141.218.60.56/~jnz1568/getInfo.php?workbook=14_04.xlsx&amp;sheet=U0&amp;row=7053&amp;col=7&amp;number=0.00243&amp;sourceID=14","0.00243")</f>
        <v>0.00243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HYPERLINK("http://141.218.60.56/~jnz1568/getInfo.php?workbook=14_04.xlsx&amp;sheet=U0&amp;row=7054&amp;col=6&amp;number=4&amp;sourceID=14","4")</f>
        <v>4</v>
      </c>
      <c r="G7054" s="4" t="str">
        <f>HYPERLINK("http://141.218.60.56/~jnz1568/getInfo.php?workbook=14_04.xlsx&amp;sheet=U0&amp;row=7054&amp;col=7&amp;number=0.00243&amp;sourceID=14","0.00243")</f>
        <v>0.00243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HYPERLINK("http://141.218.60.56/~jnz1568/getInfo.php?workbook=14_04.xlsx&amp;sheet=U0&amp;row=7055&amp;col=6&amp;number=4.1&amp;sourceID=14","4.1")</f>
        <v>4.1</v>
      </c>
      <c r="G7055" s="4" t="str">
        <f>HYPERLINK("http://141.218.60.56/~jnz1568/getInfo.php?workbook=14_04.xlsx&amp;sheet=U0&amp;row=7055&amp;col=7&amp;number=0.00243&amp;sourceID=14","0.00243")</f>
        <v>0.00243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HYPERLINK("http://141.218.60.56/~jnz1568/getInfo.php?workbook=14_04.xlsx&amp;sheet=U0&amp;row=7056&amp;col=6&amp;number=4.2&amp;sourceID=14","4.2")</f>
        <v>4.2</v>
      </c>
      <c r="G7056" s="4" t="str">
        <f>HYPERLINK("http://141.218.60.56/~jnz1568/getInfo.php?workbook=14_04.xlsx&amp;sheet=U0&amp;row=7056&amp;col=7&amp;number=0.00242&amp;sourceID=14","0.00242")</f>
        <v>0.00242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HYPERLINK("http://141.218.60.56/~jnz1568/getInfo.php?workbook=14_04.xlsx&amp;sheet=U0&amp;row=7057&amp;col=6&amp;number=4.3&amp;sourceID=14","4.3")</f>
        <v>4.3</v>
      </c>
      <c r="G7057" s="4" t="str">
        <f>HYPERLINK("http://141.218.60.56/~jnz1568/getInfo.php?workbook=14_04.xlsx&amp;sheet=U0&amp;row=7057&amp;col=7&amp;number=0.00242&amp;sourceID=14","0.00242")</f>
        <v>0.00242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HYPERLINK("http://141.218.60.56/~jnz1568/getInfo.php?workbook=14_04.xlsx&amp;sheet=U0&amp;row=7058&amp;col=6&amp;number=4.4&amp;sourceID=14","4.4")</f>
        <v>4.4</v>
      </c>
      <c r="G7058" s="4" t="str">
        <f>HYPERLINK("http://141.218.60.56/~jnz1568/getInfo.php?workbook=14_04.xlsx&amp;sheet=U0&amp;row=7058&amp;col=7&amp;number=0.00242&amp;sourceID=14","0.00242")</f>
        <v>0.00242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HYPERLINK("http://141.218.60.56/~jnz1568/getInfo.php?workbook=14_04.xlsx&amp;sheet=U0&amp;row=7059&amp;col=6&amp;number=4.5&amp;sourceID=14","4.5")</f>
        <v>4.5</v>
      </c>
      <c r="G7059" s="4" t="str">
        <f>HYPERLINK("http://141.218.60.56/~jnz1568/getInfo.php?workbook=14_04.xlsx&amp;sheet=U0&amp;row=7059&amp;col=7&amp;number=0.00242&amp;sourceID=14","0.00242")</f>
        <v>0.00242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HYPERLINK("http://141.218.60.56/~jnz1568/getInfo.php?workbook=14_04.xlsx&amp;sheet=U0&amp;row=7060&amp;col=6&amp;number=4.6&amp;sourceID=14","4.6")</f>
        <v>4.6</v>
      </c>
      <c r="G7060" s="4" t="str">
        <f>HYPERLINK("http://141.218.60.56/~jnz1568/getInfo.php?workbook=14_04.xlsx&amp;sheet=U0&amp;row=7060&amp;col=7&amp;number=0.00242&amp;sourceID=14","0.00242")</f>
        <v>0.00242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HYPERLINK("http://141.218.60.56/~jnz1568/getInfo.php?workbook=14_04.xlsx&amp;sheet=U0&amp;row=7061&amp;col=6&amp;number=4.7&amp;sourceID=14","4.7")</f>
        <v>4.7</v>
      </c>
      <c r="G7061" s="4" t="str">
        <f>HYPERLINK("http://141.218.60.56/~jnz1568/getInfo.php?workbook=14_04.xlsx&amp;sheet=U0&amp;row=7061&amp;col=7&amp;number=0.00241&amp;sourceID=14","0.00241")</f>
        <v>0.00241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HYPERLINK("http://141.218.60.56/~jnz1568/getInfo.php?workbook=14_04.xlsx&amp;sheet=U0&amp;row=7062&amp;col=6&amp;number=4.8&amp;sourceID=14","4.8")</f>
        <v>4.8</v>
      </c>
      <c r="G7062" s="4" t="str">
        <f>HYPERLINK("http://141.218.60.56/~jnz1568/getInfo.php?workbook=14_04.xlsx&amp;sheet=U0&amp;row=7062&amp;col=7&amp;number=0.00241&amp;sourceID=14","0.00241")</f>
        <v>0.00241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HYPERLINK("http://141.218.60.56/~jnz1568/getInfo.php?workbook=14_04.xlsx&amp;sheet=U0&amp;row=7063&amp;col=6&amp;number=4.9&amp;sourceID=14","4.9")</f>
        <v>4.9</v>
      </c>
      <c r="G7063" s="4" t="str">
        <f>HYPERLINK("http://141.218.60.56/~jnz1568/getInfo.php?workbook=14_04.xlsx&amp;sheet=U0&amp;row=7063&amp;col=7&amp;number=0.0024&amp;sourceID=14","0.0024")</f>
        <v>0.0024</v>
      </c>
    </row>
    <row r="7064" spans="1:7">
      <c r="A7064" s="3">
        <v>14</v>
      </c>
      <c r="B7064" s="3">
        <v>4</v>
      </c>
      <c r="C7064" s="3">
        <v>4</v>
      </c>
      <c r="D7064" s="3">
        <v>73</v>
      </c>
      <c r="E7064" s="3">
        <v>1</v>
      </c>
      <c r="F7064" s="4" t="str">
        <f>HYPERLINK("http://141.218.60.56/~jnz1568/getInfo.php?workbook=14_04.xlsx&amp;sheet=U0&amp;row=7064&amp;col=6&amp;number=3&amp;sourceID=14","3")</f>
        <v>3</v>
      </c>
      <c r="G7064" s="4" t="str">
        <f>HYPERLINK("http://141.218.60.56/~jnz1568/getInfo.php?workbook=14_04.xlsx&amp;sheet=U0&amp;row=7064&amp;col=7&amp;number=0.011&amp;sourceID=14","0.011")</f>
        <v>0.011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HYPERLINK("http://141.218.60.56/~jnz1568/getInfo.php?workbook=14_04.xlsx&amp;sheet=U0&amp;row=7065&amp;col=6&amp;number=3.1&amp;sourceID=14","3.1")</f>
        <v>3.1</v>
      </c>
      <c r="G7065" s="4" t="str">
        <f>HYPERLINK("http://141.218.60.56/~jnz1568/getInfo.php?workbook=14_04.xlsx&amp;sheet=U0&amp;row=7065&amp;col=7&amp;number=0.011&amp;sourceID=14","0.011")</f>
        <v>0.011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HYPERLINK("http://141.218.60.56/~jnz1568/getInfo.php?workbook=14_04.xlsx&amp;sheet=U0&amp;row=7066&amp;col=6&amp;number=3.2&amp;sourceID=14","3.2")</f>
        <v>3.2</v>
      </c>
      <c r="G7066" s="4" t="str">
        <f>HYPERLINK("http://141.218.60.56/~jnz1568/getInfo.php?workbook=14_04.xlsx&amp;sheet=U0&amp;row=7066&amp;col=7&amp;number=0.011&amp;sourceID=14","0.011")</f>
        <v>0.011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HYPERLINK("http://141.218.60.56/~jnz1568/getInfo.php?workbook=14_04.xlsx&amp;sheet=U0&amp;row=7067&amp;col=6&amp;number=3.3&amp;sourceID=14","3.3")</f>
        <v>3.3</v>
      </c>
      <c r="G7067" s="4" t="str">
        <f>HYPERLINK("http://141.218.60.56/~jnz1568/getInfo.php?workbook=14_04.xlsx&amp;sheet=U0&amp;row=7067&amp;col=7&amp;number=0.011&amp;sourceID=14","0.011")</f>
        <v>0.011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HYPERLINK("http://141.218.60.56/~jnz1568/getInfo.php?workbook=14_04.xlsx&amp;sheet=U0&amp;row=7068&amp;col=6&amp;number=3.4&amp;sourceID=14","3.4")</f>
        <v>3.4</v>
      </c>
      <c r="G7068" s="4" t="str">
        <f>HYPERLINK("http://141.218.60.56/~jnz1568/getInfo.php?workbook=14_04.xlsx&amp;sheet=U0&amp;row=7068&amp;col=7&amp;number=0.011&amp;sourceID=14","0.011")</f>
        <v>0.011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HYPERLINK("http://141.218.60.56/~jnz1568/getInfo.php?workbook=14_04.xlsx&amp;sheet=U0&amp;row=7069&amp;col=6&amp;number=3.5&amp;sourceID=14","3.5")</f>
        <v>3.5</v>
      </c>
      <c r="G7069" s="4" t="str">
        <f>HYPERLINK("http://141.218.60.56/~jnz1568/getInfo.php?workbook=14_04.xlsx&amp;sheet=U0&amp;row=7069&amp;col=7&amp;number=0.011&amp;sourceID=14","0.011")</f>
        <v>0.011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HYPERLINK("http://141.218.60.56/~jnz1568/getInfo.php?workbook=14_04.xlsx&amp;sheet=U0&amp;row=7070&amp;col=6&amp;number=3.6&amp;sourceID=14","3.6")</f>
        <v>3.6</v>
      </c>
      <c r="G7070" s="4" t="str">
        <f>HYPERLINK("http://141.218.60.56/~jnz1568/getInfo.php?workbook=14_04.xlsx&amp;sheet=U0&amp;row=7070&amp;col=7&amp;number=0.011&amp;sourceID=14","0.011")</f>
        <v>0.011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HYPERLINK("http://141.218.60.56/~jnz1568/getInfo.php?workbook=14_04.xlsx&amp;sheet=U0&amp;row=7071&amp;col=6&amp;number=3.7&amp;sourceID=14","3.7")</f>
        <v>3.7</v>
      </c>
      <c r="G7071" s="4" t="str">
        <f>HYPERLINK("http://141.218.60.56/~jnz1568/getInfo.php?workbook=14_04.xlsx&amp;sheet=U0&amp;row=7071&amp;col=7&amp;number=0.011&amp;sourceID=14","0.011")</f>
        <v>0.011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HYPERLINK("http://141.218.60.56/~jnz1568/getInfo.php?workbook=14_04.xlsx&amp;sheet=U0&amp;row=7072&amp;col=6&amp;number=3.8&amp;sourceID=14","3.8")</f>
        <v>3.8</v>
      </c>
      <c r="G7072" s="4" t="str">
        <f>HYPERLINK("http://141.218.60.56/~jnz1568/getInfo.php?workbook=14_04.xlsx&amp;sheet=U0&amp;row=7072&amp;col=7&amp;number=0.011&amp;sourceID=14","0.011")</f>
        <v>0.011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HYPERLINK("http://141.218.60.56/~jnz1568/getInfo.php?workbook=14_04.xlsx&amp;sheet=U0&amp;row=7073&amp;col=6&amp;number=3.9&amp;sourceID=14","3.9")</f>
        <v>3.9</v>
      </c>
      <c r="G7073" s="4" t="str">
        <f>HYPERLINK("http://141.218.60.56/~jnz1568/getInfo.php?workbook=14_04.xlsx&amp;sheet=U0&amp;row=7073&amp;col=7&amp;number=0.011&amp;sourceID=14","0.011")</f>
        <v>0.011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HYPERLINK("http://141.218.60.56/~jnz1568/getInfo.php?workbook=14_04.xlsx&amp;sheet=U0&amp;row=7074&amp;col=6&amp;number=4&amp;sourceID=14","4")</f>
        <v>4</v>
      </c>
      <c r="G7074" s="4" t="str">
        <f>HYPERLINK("http://141.218.60.56/~jnz1568/getInfo.php?workbook=14_04.xlsx&amp;sheet=U0&amp;row=7074&amp;col=7&amp;number=0.011&amp;sourceID=14","0.011")</f>
        <v>0.011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HYPERLINK("http://141.218.60.56/~jnz1568/getInfo.php?workbook=14_04.xlsx&amp;sheet=U0&amp;row=7075&amp;col=6&amp;number=4.1&amp;sourceID=14","4.1")</f>
        <v>4.1</v>
      </c>
      <c r="G7075" s="4" t="str">
        <f>HYPERLINK("http://141.218.60.56/~jnz1568/getInfo.php?workbook=14_04.xlsx&amp;sheet=U0&amp;row=7075&amp;col=7&amp;number=0.011&amp;sourceID=14","0.011")</f>
        <v>0.011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HYPERLINK("http://141.218.60.56/~jnz1568/getInfo.php?workbook=14_04.xlsx&amp;sheet=U0&amp;row=7076&amp;col=6&amp;number=4.2&amp;sourceID=14","4.2")</f>
        <v>4.2</v>
      </c>
      <c r="G7076" s="4" t="str">
        <f>HYPERLINK("http://141.218.60.56/~jnz1568/getInfo.php?workbook=14_04.xlsx&amp;sheet=U0&amp;row=7076&amp;col=7&amp;number=0.0111&amp;sourceID=14","0.0111")</f>
        <v>0.0111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HYPERLINK("http://141.218.60.56/~jnz1568/getInfo.php?workbook=14_04.xlsx&amp;sheet=U0&amp;row=7077&amp;col=6&amp;number=4.3&amp;sourceID=14","4.3")</f>
        <v>4.3</v>
      </c>
      <c r="G7077" s="4" t="str">
        <f>HYPERLINK("http://141.218.60.56/~jnz1568/getInfo.php?workbook=14_04.xlsx&amp;sheet=U0&amp;row=7077&amp;col=7&amp;number=0.0111&amp;sourceID=14","0.0111")</f>
        <v>0.0111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HYPERLINK("http://141.218.60.56/~jnz1568/getInfo.php?workbook=14_04.xlsx&amp;sheet=U0&amp;row=7078&amp;col=6&amp;number=4.4&amp;sourceID=14","4.4")</f>
        <v>4.4</v>
      </c>
      <c r="G7078" s="4" t="str">
        <f>HYPERLINK("http://141.218.60.56/~jnz1568/getInfo.php?workbook=14_04.xlsx&amp;sheet=U0&amp;row=7078&amp;col=7&amp;number=0.0111&amp;sourceID=14","0.0111")</f>
        <v>0.0111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HYPERLINK("http://141.218.60.56/~jnz1568/getInfo.php?workbook=14_04.xlsx&amp;sheet=U0&amp;row=7079&amp;col=6&amp;number=4.5&amp;sourceID=14","4.5")</f>
        <v>4.5</v>
      </c>
      <c r="G7079" s="4" t="str">
        <f>HYPERLINK("http://141.218.60.56/~jnz1568/getInfo.php?workbook=14_04.xlsx&amp;sheet=U0&amp;row=7079&amp;col=7&amp;number=0.0111&amp;sourceID=14","0.0111")</f>
        <v>0.0111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HYPERLINK("http://141.218.60.56/~jnz1568/getInfo.php?workbook=14_04.xlsx&amp;sheet=U0&amp;row=7080&amp;col=6&amp;number=4.6&amp;sourceID=14","4.6")</f>
        <v>4.6</v>
      </c>
      <c r="G7080" s="4" t="str">
        <f>HYPERLINK("http://141.218.60.56/~jnz1568/getInfo.php?workbook=14_04.xlsx&amp;sheet=U0&amp;row=7080&amp;col=7&amp;number=0.0111&amp;sourceID=14","0.0111")</f>
        <v>0.0111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HYPERLINK("http://141.218.60.56/~jnz1568/getInfo.php?workbook=14_04.xlsx&amp;sheet=U0&amp;row=7081&amp;col=6&amp;number=4.7&amp;sourceID=14","4.7")</f>
        <v>4.7</v>
      </c>
      <c r="G7081" s="4" t="str">
        <f>HYPERLINK("http://141.218.60.56/~jnz1568/getInfo.php?workbook=14_04.xlsx&amp;sheet=U0&amp;row=7081&amp;col=7&amp;number=0.0111&amp;sourceID=14","0.0111")</f>
        <v>0.0111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HYPERLINK("http://141.218.60.56/~jnz1568/getInfo.php?workbook=14_04.xlsx&amp;sheet=U0&amp;row=7082&amp;col=6&amp;number=4.8&amp;sourceID=14","4.8")</f>
        <v>4.8</v>
      </c>
      <c r="G7082" s="4" t="str">
        <f>HYPERLINK("http://141.218.60.56/~jnz1568/getInfo.php?workbook=14_04.xlsx&amp;sheet=U0&amp;row=7082&amp;col=7&amp;number=0.0111&amp;sourceID=14","0.0111")</f>
        <v>0.0111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HYPERLINK("http://141.218.60.56/~jnz1568/getInfo.php?workbook=14_04.xlsx&amp;sheet=U0&amp;row=7083&amp;col=6&amp;number=4.9&amp;sourceID=14","4.9")</f>
        <v>4.9</v>
      </c>
      <c r="G7083" s="4" t="str">
        <f>HYPERLINK("http://141.218.60.56/~jnz1568/getInfo.php?workbook=14_04.xlsx&amp;sheet=U0&amp;row=7083&amp;col=7&amp;number=0.0111&amp;sourceID=14","0.0111")</f>
        <v>0.0111</v>
      </c>
    </row>
    <row r="7084" spans="1:7">
      <c r="A7084" s="3">
        <v>14</v>
      </c>
      <c r="B7084" s="3">
        <v>4</v>
      </c>
      <c r="C7084" s="3">
        <v>4</v>
      </c>
      <c r="D7084" s="3">
        <v>74</v>
      </c>
      <c r="E7084" s="3">
        <v>1</v>
      </c>
      <c r="F7084" s="4" t="str">
        <f>HYPERLINK("http://141.218.60.56/~jnz1568/getInfo.php?workbook=14_04.xlsx&amp;sheet=U0&amp;row=7084&amp;col=6&amp;number=3&amp;sourceID=14","3")</f>
        <v>3</v>
      </c>
      <c r="G7084" s="4" t="str">
        <f>HYPERLINK("http://141.218.60.56/~jnz1568/getInfo.php?workbook=14_04.xlsx&amp;sheet=U0&amp;row=7084&amp;col=7&amp;number=0.00046&amp;sourceID=14","0.00046")</f>
        <v>0.00046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HYPERLINK("http://141.218.60.56/~jnz1568/getInfo.php?workbook=14_04.xlsx&amp;sheet=U0&amp;row=7085&amp;col=6&amp;number=3.1&amp;sourceID=14","3.1")</f>
        <v>3.1</v>
      </c>
      <c r="G7085" s="4" t="str">
        <f>HYPERLINK("http://141.218.60.56/~jnz1568/getInfo.php?workbook=14_04.xlsx&amp;sheet=U0&amp;row=7085&amp;col=7&amp;number=0.00046&amp;sourceID=14","0.00046")</f>
        <v>0.00046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HYPERLINK("http://141.218.60.56/~jnz1568/getInfo.php?workbook=14_04.xlsx&amp;sheet=U0&amp;row=7086&amp;col=6&amp;number=3.2&amp;sourceID=14","3.2")</f>
        <v>3.2</v>
      </c>
      <c r="G7086" s="4" t="str">
        <f>HYPERLINK("http://141.218.60.56/~jnz1568/getInfo.php?workbook=14_04.xlsx&amp;sheet=U0&amp;row=7086&amp;col=7&amp;number=0.00046&amp;sourceID=14","0.00046")</f>
        <v>0.00046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HYPERLINK("http://141.218.60.56/~jnz1568/getInfo.php?workbook=14_04.xlsx&amp;sheet=U0&amp;row=7087&amp;col=6&amp;number=3.3&amp;sourceID=14","3.3")</f>
        <v>3.3</v>
      </c>
      <c r="G7087" s="4" t="str">
        <f>HYPERLINK("http://141.218.60.56/~jnz1568/getInfo.php?workbook=14_04.xlsx&amp;sheet=U0&amp;row=7087&amp;col=7&amp;number=0.00046&amp;sourceID=14","0.00046")</f>
        <v>0.00046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HYPERLINK("http://141.218.60.56/~jnz1568/getInfo.php?workbook=14_04.xlsx&amp;sheet=U0&amp;row=7088&amp;col=6&amp;number=3.4&amp;sourceID=14","3.4")</f>
        <v>3.4</v>
      </c>
      <c r="G7088" s="4" t="str">
        <f>HYPERLINK("http://141.218.60.56/~jnz1568/getInfo.php?workbook=14_04.xlsx&amp;sheet=U0&amp;row=7088&amp;col=7&amp;number=0.000459&amp;sourceID=14","0.000459")</f>
        <v>0.000459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HYPERLINK("http://141.218.60.56/~jnz1568/getInfo.php?workbook=14_04.xlsx&amp;sheet=U0&amp;row=7089&amp;col=6&amp;number=3.5&amp;sourceID=14","3.5")</f>
        <v>3.5</v>
      </c>
      <c r="G7089" s="4" t="str">
        <f>HYPERLINK("http://141.218.60.56/~jnz1568/getInfo.php?workbook=14_04.xlsx&amp;sheet=U0&amp;row=7089&amp;col=7&amp;number=0.000459&amp;sourceID=14","0.000459")</f>
        <v>0.000459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HYPERLINK("http://141.218.60.56/~jnz1568/getInfo.php?workbook=14_04.xlsx&amp;sheet=U0&amp;row=7090&amp;col=6&amp;number=3.6&amp;sourceID=14","3.6")</f>
        <v>3.6</v>
      </c>
      <c r="G7090" s="4" t="str">
        <f>HYPERLINK("http://141.218.60.56/~jnz1568/getInfo.php?workbook=14_04.xlsx&amp;sheet=U0&amp;row=7090&amp;col=7&amp;number=0.000459&amp;sourceID=14","0.000459")</f>
        <v>0.000459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HYPERLINK("http://141.218.60.56/~jnz1568/getInfo.php?workbook=14_04.xlsx&amp;sheet=U0&amp;row=7091&amp;col=6&amp;number=3.7&amp;sourceID=14","3.7")</f>
        <v>3.7</v>
      </c>
      <c r="G7091" s="4" t="str">
        <f>HYPERLINK("http://141.218.60.56/~jnz1568/getInfo.php?workbook=14_04.xlsx&amp;sheet=U0&amp;row=7091&amp;col=7&amp;number=0.000459&amp;sourceID=14","0.000459")</f>
        <v>0.000459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HYPERLINK("http://141.218.60.56/~jnz1568/getInfo.php?workbook=14_04.xlsx&amp;sheet=U0&amp;row=7092&amp;col=6&amp;number=3.8&amp;sourceID=14","3.8")</f>
        <v>3.8</v>
      </c>
      <c r="G7092" s="4" t="str">
        <f>HYPERLINK("http://141.218.60.56/~jnz1568/getInfo.php?workbook=14_04.xlsx&amp;sheet=U0&amp;row=7092&amp;col=7&amp;number=0.000459&amp;sourceID=14","0.000459")</f>
        <v>0.000459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HYPERLINK("http://141.218.60.56/~jnz1568/getInfo.php?workbook=14_04.xlsx&amp;sheet=U0&amp;row=7093&amp;col=6&amp;number=3.9&amp;sourceID=14","3.9")</f>
        <v>3.9</v>
      </c>
      <c r="G7093" s="4" t="str">
        <f>HYPERLINK("http://141.218.60.56/~jnz1568/getInfo.php?workbook=14_04.xlsx&amp;sheet=U0&amp;row=7093&amp;col=7&amp;number=0.000459&amp;sourceID=14","0.000459")</f>
        <v>0.000459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HYPERLINK("http://141.218.60.56/~jnz1568/getInfo.php?workbook=14_04.xlsx&amp;sheet=U0&amp;row=7094&amp;col=6&amp;number=4&amp;sourceID=14","4")</f>
        <v>4</v>
      </c>
      <c r="G7094" s="4" t="str">
        <f>HYPERLINK("http://141.218.60.56/~jnz1568/getInfo.php?workbook=14_04.xlsx&amp;sheet=U0&amp;row=7094&amp;col=7&amp;number=0.000459&amp;sourceID=14","0.000459")</f>
        <v>0.000459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HYPERLINK("http://141.218.60.56/~jnz1568/getInfo.php?workbook=14_04.xlsx&amp;sheet=U0&amp;row=7095&amp;col=6&amp;number=4.1&amp;sourceID=14","4.1")</f>
        <v>4.1</v>
      </c>
      <c r="G7095" s="4" t="str">
        <f>HYPERLINK("http://141.218.60.56/~jnz1568/getInfo.php?workbook=14_04.xlsx&amp;sheet=U0&amp;row=7095&amp;col=7&amp;number=0.000459&amp;sourceID=14","0.000459")</f>
        <v>0.000459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HYPERLINK("http://141.218.60.56/~jnz1568/getInfo.php?workbook=14_04.xlsx&amp;sheet=U0&amp;row=7096&amp;col=6&amp;number=4.2&amp;sourceID=14","4.2")</f>
        <v>4.2</v>
      </c>
      <c r="G7096" s="4" t="str">
        <f>HYPERLINK("http://141.218.60.56/~jnz1568/getInfo.php?workbook=14_04.xlsx&amp;sheet=U0&amp;row=7096&amp;col=7&amp;number=0.000459&amp;sourceID=14","0.000459")</f>
        <v>0.000459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HYPERLINK("http://141.218.60.56/~jnz1568/getInfo.php?workbook=14_04.xlsx&amp;sheet=U0&amp;row=7097&amp;col=6&amp;number=4.3&amp;sourceID=14","4.3")</f>
        <v>4.3</v>
      </c>
      <c r="G7097" s="4" t="str">
        <f>HYPERLINK("http://141.218.60.56/~jnz1568/getInfo.php?workbook=14_04.xlsx&amp;sheet=U0&amp;row=7097&amp;col=7&amp;number=0.000459&amp;sourceID=14","0.000459")</f>
        <v>0.000459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HYPERLINK("http://141.218.60.56/~jnz1568/getInfo.php?workbook=14_04.xlsx&amp;sheet=U0&amp;row=7098&amp;col=6&amp;number=4.4&amp;sourceID=14","4.4")</f>
        <v>4.4</v>
      </c>
      <c r="G7098" s="4" t="str">
        <f>HYPERLINK("http://141.218.60.56/~jnz1568/getInfo.php?workbook=14_04.xlsx&amp;sheet=U0&amp;row=7098&amp;col=7&amp;number=0.000458&amp;sourceID=14","0.000458")</f>
        <v>0.000458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HYPERLINK("http://141.218.60.56/~jnz1568/getInfo.php?workbook=14_04.xlsx&amp;sheet=U0&amp;row=7099&amp;col=6&amp;number=4.5&amp;sourceID=14","4.5")</f>
        <v>4.5</v>
      </c>
      <c r="G7099" s="4" t="str">
        <f>HYPERLINK("http://141.218.60.56/~jnz1568/getInfo.php?workbook=14_04.xlsx&amp;sheet=U0&amp;row=7099&amp;col=7&amp;number=0.000458&amp;sourceID=14","0.000458")</f>
        <v>0.000458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HYPERLINK("http://141.218.60.56/~jnz1568/getInfo.php?workbook=14_04.xlsx&amp;sheet=U0&amp;row=7100&amp;col=6&amp;number=4.6&amp;sourceID=14","4.6")</f>
        <v>4.6</v>
      </c>
      <c r="G7100" s="4" t="str">
        <f>HYPERLINK("http://141.218.60.56/~jnz1568/getInfo.php?workbook=14_04.xlsx&amp;sheet=U0&amp;row=7100&amp;col=7&amp;number=0.000458&amp;sourceID=14","0.000458")</f>
        <v>0.000458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HYPERLINK("http://141.218.60.56/~jnz1568/getInfo.php?workbook=14_04.xlsx&amp;sheet=U0&amp;row=7101&amp;col=6&amp;number=4.7&amp;sourceID=14","4.7")</f>
        <v>4.7</v>
      </c>
      <c r="G7101" s="4" t="str">
        <f>HYPERLINK("http://141.218.60.56/~jnz1568/getInfo.php?workbook=14_04.xlsx&amp;sheet=U0&amp;row=7101&amp;col=7&amp;number=0.000457&amp;sourceID=14","0.000457")</f>
        <v>0.000457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HYPERLINK("http://141.218.60.56/~jnz1568/getInfo.php?workbook=14_04.xlsx&amp;sheet=U0&amp;row=7102&amp;col=6&amp;number=4.8&amp;sourceID=14","4.8")</f>
        <v>4.8</v>
      </c>
      <c r="G7102" s="4" t="str">
        <f>HYPERLINK("http://141.218.60.56/~jnz1568/getInfo.php?workbook=14_04.xlsx&amp;sheet=U0&amp;row=7102&amp;col=7&amp;number=0.000457&amp;sourceID=14","0.000457")</f>
        <v>0.000457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HYPERLINK("http://141.218.60.56/~jnz1568/getInfo.php?workbook=14_04.xlsx&amp;sheet=U0&amp;row=7103&amp;col=6&amp;number=4.9&amp;sourceID=14","4.9")</f>
        <v>4.9</v>
      </c>
      <c r="G7103" s="4" t="str">
        <f>HYPERLINK("http://141.218.60.56/~jnz1568/getInfo.php?workbook=14_04.xlsx&amp;sheet=U0&amp;row=7103&amp;col=7&amp;number=0.000456&amp;sourceID=14","0.000456")</f>
        <v>0.000456</v>
      </c>
    </row>
    <row r="7104" spans="1:7">
      <c r="A7104" s="3">
        <v>14</v>
      </c>
      <c r="B7104" s="3">
        <v>4</v>
      </c>
      <c r="C7104" s="3">
        <v>4</v>
      </c>
      <c r="D7104" s="3">
        <v>75</v>
      </c>
      <c r="E7104" s="3">
        <v>1</v>
      </c>
      <c r="F7104" s="4" t="str">
        <f>HYPERLINK("http://141.218.60.56/~jnz1568/getInfo.php?workbook=14_04.xlsx&amp;sheet=U0&amp;row=7104&amp;col=6&amp;number=3&amp;sourceID=14","3")</f>
        <v>3</v>
      </c>
      <c r="G7104" s="4" t="str">
        <f>HYPERLINK("http://141.218.60.56/~jnz1568/getInfo.php?workbook=14_04.xlsx&amp;sheet=U0&amp;row=7104&amp;col=7&amp;number=0.00276&amp;sourceID=14","0.00276")</f>
        <v>0.00276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HYPERLINK("http://141.218.60.56/~jnz1568/getInfo.php?workbook=14_04.xlsx&amp;sheet=U0&amp;row=7105&amp;col=6&amp;number=3.1&amp;sourceID=14","3.1")</f>
        <v>3.1</v>
      </c>
      <c r="G7105" s="4" t="str">
        <f>HYPERLINK("http://141.218.60.56/~jnz1568/getInfo.php?workbook=14_04.xlsx&amp;sheet=U0&amp;row=7105&amp;col=7&amp;number=0.00276&amp;sourceID=14","0.00276")</f>
        <v>0.00276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HYPERLINK("http://141.218.60.56/~jnz1568/getInfo.php?workbook=14_04.xlsx&amp;sheet=U0&amp;row=7106&amp;col=6&amp;number=3.2&amp;sourceID=14","3.2")</f>
        <v>3.2</v>
      </c>
      <c r="G7106" s="4" t="str">
        <f>HYPERLINK("http://141.218.60.56/~jnz1568/getInfo.php?workbook=14_04.xlsx&amp;sheet=U0&amp;row=7106&amp;col=7&amp;number=0.00276&amp;sourceID=14","0.00276")</f>
        <v>0.00276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HYPERLINK("http://141.218.60.56/~jnz1568/getInfo.php?workbook=14_04.xlsx&amp;sheet=U0&amp;row=7107&amp;col=6&amp;number=3.3&amp;sourceID=14","3.3")</f>
        <v>3.3</v>
      </c>
      <c r="G7107" s="4" t="str">
        <f>HYPERLINK("http://141.218.60.56/~jnz1568/getInfo.php?workbook=14_04.xlsx&amp;sheet=U0&amp;row=7107&amp;col=7&amp;number=0.00276&amp;sourceID=14","0.00276")</f>
        <v>0.00276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HYPERLINK("http://141.218.60.56/~jnz1568/getInfo.php?workbook=14_04.xlsx&amp;sheet=U0&amp;row=7108&amp;col=6&amp;number=3.4&amp;sourceID=14","3.4")</f>
        <v>3.4</v>
      </c>
      <c r="G7108" s="4" t="str">
        <f>HYPERLINK("http://141.218.60.56/~jnz1568/getInfo.php?workbook=14_04.xlsx&amp;sheet=U0&amp;row=7108&amp;col=7&amp;number=0.00276&amp;sourceID=14","0.00276")</f>
        <v>0.00276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HYPERLINK("http://141.218.60.56/~jnz1568/getInfo.php?workbook=14_04.xlsx&amp;sheet=U0&amp;row=7109&amp;col=6&amp;number=3.5&amp;sourceID=14","3.5")</f>
        <v>3.5</v>
      </c>
      <c r="G7109" s="4" t="str">
        <f>HYPERLINK("http://141.218.60.56/~jnz1568/getInfo.php?workbook=14_04.xlsx&amp;sheet=U0&amp;row=7109&amp;col=7&amp;number=0.00276&amp;sourceID=14","0.00276")</f>
        <v>0.00276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HYPERLINK("http://141.218.60.56/~jnz1568/getInfo.php?workbook=14_04.xlsx&amp;sheet=U0&amp;row=7110&amp;col=6&amp;number=3.6&amp;sourceID=14","3.6")</f>
        <v>3.6</v>
      </c>
      <c r="G7110" s="4" t="str">
        <f>HYPERLINK("http://141.218.60.56/~jnz1568/getInfo.php?workbook=14_04.xlsx&amp;sheet=U0&amp;row=7110&amp;col=7&amp;number=0.00276&amp;sourceID=14","0.00276")</f>
        <v>0.00276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HYPERLINK("http://141.218.60.56/~jnz1568/getInfo.php?workbook=14_04.xlsx&amp;sheet=U0&amp;row=7111&amp;col=6&amp;number=3.7&amp;sourceID=14","3.7")</f>
        <v>3.7</v>
      </c>
      <c r="G7111" s="4" t="str">
        <f>HYPERLINK("http://141.218.60.56/~jnz1568/getInfo.php?workbook=14_04.xlsx&amp;sheet=U0&amp;row=7111&amp;col=7&amp;number=0.00276&amp;sourceID=14","0.00276")</f>
        <v>0.00276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HYPERLINK("http://141.218.60.56/~jnz1568/getInfo.php?workbook=14_04.xlsx&amp;sheet=U0&amp;row=7112&amp;col=6&amp;number=3.8&amp;sourceID=14","3.8")</f>
        <v>3.8</v>
      </c>
      <c r="G7112" s="4" t="str">
        <f>HYPERLINK("http://141.218.60.56/~jnz1568/getInfo.php?workbook=14_04.xlsx&amp;sheet=U0&amp;row=7112&amp;col=7&amp;number=0.00276&amp;sourceID=14","0.00276")</f>
        <v>0.00276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HYPERLINK("http://141.218.60.56/~jnz1568/getInfo.php?workbook=14_04.xlsx&amp;sheet=U0&amp;row=7113&amp;col=6&amp;number=3.9&amp;sourceID=14","3.9")</f>
        <v>3.9</v>
      </c>
      <c r="G7113" s="4" t="str">
        <f>HYPERLINK("http://141.218.60.56/~jnz1568/getInfo.php?workbook=14_04.xlsx&amp;sheet=U0&amp;row=7113&amp;col=7&amp;number=0.00276&amp;sourceID=14","0.00276")</f>
        <v>0.00276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HYPERLINK("http://141.218.60.56/~jnz1568/getInfo.php?workbook=14_04.xlsx&amp;sheet=U0&amp;row=7114&amp;col=6&amp;number=4&amp;sourceID=14","4")</f>
        <v>4</v>
      </c>
      <c r="G7114" s="4" t="str">
        <f>HYPERLINK("http://141.218.60.56/~jnz1568/getInfo.php?workbook=14_04.xlsx&amp;sheet=U0&amp;row=7114&amp;col=7&amp;number=0.00276&amp;sourceID=14","0.00276")</f>
        <v>0.00276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HYPERLINK("http://141.218.60.56/~jnz1568/getInfo.php?workbook=14_04.xlsx&amp;sheet=U0&amp;row=7115&amp;col=6&amp;number=4.1&amp;sourceID=14","4.1")</f>
        <v>4.1</v>
      </c>
      <c r="G7115" s="4" t="str">
        <f>HYPERLINK("http://141.218.60.56/~jnz1568/getInfo.php?workbook=14_04.xlsx&amp;sheet=U0&amp;row=7115&amp;col=7&amp;number=0.00276&amp;sourceID=14","0.00276")</f>
        <v>0.00276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HYPERLINK("http://141.218.60.56/~jnz1568/getInfo.php?workbook=14_04.xlsx&amp;sheet=U0&amp;row=7116&amp;col=6&amp;number=4.2&amp;sourceID=14","4.2")</f>
        <v>4.2</v>
      </c>
      <c r="G7116" s="4" t="str">
        <f>HYPERLINK("http://141.218.60.56/~jnz1568/getInfo.php?workbook=14_04.xlsx&amp;sheet=U0&amp;row=7116&amp;col=7&amp;number=0.00276&amp;sourceID=14","0.00276")</f>
        <v>0.00276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HYPERLINK("http://141.218.60.56/~jnz1568/getInfo.php?workbook=14_04.xlsx&amp;sheet=U0&amp;row=7117&amp;col=6&amp;number=4.3&amp;sourceID=14","4.3")</f>
        <v>4.3</v>
      </c>
      <c r="G7117" s="4" t="str">
        <f>HYPERLINK("http://141.218.60.56/~jnz1568/getInfo.php?workbook=14_04.xlsx&amp;sheet=U0&amp;row=7117&amp;col=7&amp;number=0.00276&amp;sourceID=14","0.00276")</f>
        <v>0.00276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HYPERLINK("http://141.218.60.56/~jnz1568/getInfo.php?workbook=14_04.xlsx&amp;sheet=U0&amp;row=7118&amp;col=6&amp;number=4.4&amp;sourceID=14","4.4")</f>
        <v>4.4</v>
      </c>
      <c r="G7118" s="4" t="str">
        <f>HYPERLINK("http://141.218.60.56/~jnz1568/getInfo.php?workbook=14_04.xlsx&amp;sheet=U0&amp;row=7118&amp;col=7&amp;number=0.00276&amp;sourceID=14","0.00276")</f>
        <v>0.00276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HYPERLINK("http://141.218.60.56/~jnz1568/getInfo.php?workbook=14_04.xlsx&amp;sheet=U0&amp;row=7119&amp;col=6&amp;number=4.5&amp;sourceID=14","4.5")</f>
        <v>4.5</v>
      </c>
      <c r="G7119" s="4" t="str">
        <f>HYPERLINK("http://141.218.60.56/~jnz1568/getInfo.php?workbook=14_04.xlsx&amp;sheet=U0&amp;row=7119&amp;col=7&amp;number=0.00276&amp;sourceID=14","0.00276")</f>
        <v>0.00276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HYPERLINK("http://141.218.60.56/~jnz1568/getInfo.php?workbook=14_04.xlsx&amp;sheet=U0&amp;row=7120&amp;col=6&amp;number=4.6&amp;sourceID=14","4.6")</f>
        <v>4.6</v>
      </c>
      <c r="G7120" s="4" t="str">
        <f>HYPERLINK("http://141.218.60.56/~jnz1568/getInfo.php?workbook=14_04.xlsx&amp;sheet=U0&amp;row=7120&amp;col=7&amp;number=0.00275&amp;sourceID=14","0.00275")</f>
        <v>0.00275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HYPERLINK("http://141.218.60.56/~jnz1568/getInfo.php?workbook=14_04.xlsx&amp;sheet=U0&amp;row=7121&amp;col=6&amp;number=4.7&amp;sourceID=14","4.7")</f>
        <v>4.7</v>
      </c>
      <c r="G7121" s="4" t="str">
        <f>HYPERLINK("http://141.218.60.56/~jnz1568/getInfo.php?workbook=14_04.xlsx&amp;sheet=U0&amp;row=7121&amp;col=7&amp;number=0.00275&amp;sourceID=14","0.00275")</f>
        <v>0.00275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HYPERLINK("http://141.218.60.56/~jnz1568/getInfo.php?workbook=14_04.xlsx&amp;sheet=U0&amp;row=7122&amp;col=6&amp;number=4.8&amp;sourceID=14","4.8")</f>
        <v>4.8</v>
      </c>
      <c r="G7122" s="4" t="str">
        <f>HYPERLINK("http://141.218.60.56/~jnz1568/getInfo.php?workbook=14_04.xlsx&amp;sheet=U0&amp;row=7122&amp;col=7&amp;number=0.00275&amp;sourceID=14","0.00275")</f>
        <v>0.00275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HYPERLINK("http://141.218.60.56/~jnz1568/getInfo.php?workbook=14_04.xlsx&amp;sheet=U0&amp;row=7123&amp;col=6&amp;number=4.9&amp;sourceID=14","4.9")</f>
        <v>4.9</v>
      </c>
      <c r="G7123" s="4" t="str">
        <f>HYPERLINK("http://141.218.60.56/~jnz1568/getInfo.php?workbook=14_04.xlsx&amp;sheet=U0&amp;row=7123&amp;col=7&amp;number=0.00275&amp;sourceID=14","0.00275")</f>
        <v>0.00275</v>
      </c>
    </row>
    <row r="7124" spans="1:7">
      <c r="A7124" s="3">
        <v>14</v>
      </c>
      <c r="B7124" s="3">
        <v>4</v>
      </c>
      <c r="C7124" s="3">
        <v>4</v>
      </c>
      <c r="D7124" s="3">
        <v>76</v>
      </c>
      <c r="E7124" s="3">
        <v>1</v>
      </c>
      <c r="F7124" s="4" t="str">
        <f>HYPERLINK("http://141.218.60.56/~jnz1568/getInfo.php?workbook=14_04.xlsx&amp;sheet=U0&amp;row=7124&amp;col=6&amp;number=3&amp;sourceID=14","3")</f>
        <v>3</v>
      </c>
      <c r="G7124" s="4" t="str">
        <f>HYPERLINK("http://141.218.60.56/~jnz1568/getInfo.php?workbook=14_04.xlsx&amp;sheet=U0&amp;row=7124&amp;col=7&amp;number=0.00815&amp;sourceID=14","0.00815")</f>
        <v>0.00815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HYPERLINK("http://141.218.60.56/~jnz1568/getInfo.php?workbook=14_04.xlsx&amp;sheet=U0&amp;row=7125&amp;col=6&amp;number=3.1&amp;sourceID=14","3.1")</f>
        <v>3.1</v>
      </c>
      <c r="G7125" s="4" t="str">
        <f>HYPERLINK("http://141.218.60.56/~jnz1568/getInfo.php?workbook=14_04.xlsx&amp;sheet=U0&amp;row=7125&amp;col=7&amp;number=0.00816&amp;sourceID=14","0.00816")</f>
        <v>0.00816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HYPERLINK("http://141.218.60.56/~jnz1568/getInfo.php?workbook=14_04.xlsx&amp;sheet=U0&amp;row=7126&amp;col=6&amp;number=3.2&amp;sourceID=14","3.2")</f>
        <v>3.2</v>
      </c>
      <c r="G7126" s="4" t="str">
        <f>HYPERLINK("http://141.218.60.56/~jnz1568/getInfo.php?workbook=14_04.xlsx&amp;sheet=U0&amp;row=7126&amp;col=7&amp;number=0.00816&amp;sourceID=14","0.00816")</f>
        <v>0.00816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HYPERLINK("http://141.218.60.56/~jnz1568/getInfo.php?workbook=14_04.xlsx&amp;sheet=U0&amp;row=7127&amp;col=6&amp;number=3.3&amp;sourceID=14","3.3")</f>
        <v>3.3</v>
      </c>
      <c r="G7127" s="4" t="str">
        <f>HYPERLINK("http://141.218.60.56/~jnz1568/getInfo.php?workbook=14_04.xlsx&amp;sheet=U0&amp;row=7127&amp;col=7&amp;number=0.00816&amp;sourceID=14","0.00816")</f>
        <v>0.00816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HYPERLINK("http://141.218.60.56/~jnz1568/getInfo.php?workbook=14_04.xlsx&amp;sheet=U0&amp;row=7128&amp;col=6&amp;number=3.4&amp;sourceID=14","3.4")</f>
        <v>3.4</v>
      </c>
      <c r="G7128" s="4" t="str">
        <f>HYPERLINK("http://141.218.60.56/~jnz1568/getInfo.php?workbook=14_04.xlsx&amp;sheet=U0&amp;row=7128&amp;col=7&amp;number=0.00816&amp;sourceID=14","0.00816")</f>
        <v>0.00816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HYPERLINK("http://141.218.60.56/~jnz1568/getInfo.php?workbook=14_04.xlsx&amp;sheet=U0&amp;row=7129&amp;col=6&amp;number=3.5&amp;sourceID=14","3.5")</f>
        <v>3.5</v>
      </c>
      <c r="G7129" s="4" t="str">
        <f>HYPERLINK("http://141.218.60.56/~jnz1568/getInfo.php?workbook=14_04.xlsx&amp;sheet=U0&amp;row=7129&amp;col=7&amp;number=0.00816&amp;sourceID=14","0.00816")</f>
        <v>0.00816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HYPERLINK("http://141.218.60.56/~jnz1568/getInfo.php?workbook=14_04.xlsx&amp;sheet=U0&amp;row=7130&amp;col=6&amp;number=3.6&amp;sourceID=14","3.6")</f>
        <v>3.6</v>
      </c>
      <c r="G7130" s="4" t="str">
        <f>HYPERLINK("http://141.218.60.56/~jnz1568/getInfo.php?workbook=14_04.xlsx&amp;sheet=U0&amp;row=7130&amp;col=7&amp;number=0.00816&amp;sourceID=14","0.00816")</f>
        <v>0.00816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HYPERLINK("http://141.218.60.56/~jnz1568/getInfo.php?workbook=14_04.xlsx&amp;sheet=U0&amp;row=7131&amp;col=6&amp;number=3.7&amp;sourceID=14","3.7")</f>
        <v>3.7</v>
      </c>
      <c r="G7131" s="4" t="str">
        <f>HYPERLINK("http://141.218.60.56/~jnz1568/getInfo.php?workbook=14_04.xlsx&amp;sheet=U0&amp;row=7131&amp;col=7&amp;number=0.00816&amp;sourceID=14","0.00816")</f>
        <v>0.00816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HYPERLINK("http://141.218.60.56/~jnz1568/getInfo.php?workbook=14_04.xlsx&amp;sheet=U0&amp;row=7132&amp;col=6&amp;number=3.8&amp;sourceID=14","3.8")</f>
        <v>3.8</v>
      </c>
      <c r="G7132" s="4" t="str">
        <f>HYPERLINK("http://141.218.60.56/~jnz1568/getInfo.php?workbook=14_04.xlsx&amp;sheet=U0&amp;row=7132&amp;col=7&amp;number=0.00816&amp;sourceID=14","0.00816")</f>
        <v>0.00816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HYPERLINK("http://141.218.60.56/~jnz1568/getInfo.php?workbook=14_04.xlsx&amp;sheet=U0&amp;row=7133&amp;col=6&amp;number=3.9&amp;sourceID=14","3.9")</f>
        <v>3.9</v>
      </c>
      <c r="G7133" s="4" t="str">
        <f>HYPERLINK("http://141.218.60.56/~jnz1568/getInfo.php?workbook=14_04.xlsx&amp;sheet=U0&amp;row=7133&amp;col=7&amp;number=0.00816&amp;sourceID=14","0.00816")</f>
        <v>0.00816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HYPERLINK("http://141.218.60.56/~jnz1568/getInfo.php?workbook=14_04.xlsx&amp;sheet=U0&amp;row=7134&amp;col=6&amp;number=4&amp;sourceID=14","4")</f>
        <v>4</v>
      </c>
      <c r="G7134" s="4" t="str">
        <f>HYPERLINK("http://141.218.60.56/~jnz1568/getInfo.php?workbook=14_04.xlsx&amp;sheet=U0&amp;row=7134&amp;col=7&amp;number=0.00816&amp;sourceID=14","0.00816")</f>
        <v>0.00816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HYPERLINK("http://141.218.60.56/~jnz1568/getInfo.php?workbook=14_04.xlsx&amp;sheet=U0&amp;row=7135&amp;col=6&amp;number=4.1&amp;sourceID=14","4.1")</f>
        <v>4.1</v>
      </c>
      <c r="G7135" s="4" t="str">
        <f>HYPERLINK("http://141.218.60.56/~jnz1568/getInfo.php?workbook=14_04.xlsx&amp;sheet=U0&amp;row=7135&amp;col=7&amp;number=0.00817&amp;sourceID=14","0.00817")</f>
        <v>0.00817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HYPERLINK("http://141.218.60.56/~jnz1568/getInfo.php?workbook=14_04.xlsx&amp;sheet=U0&amp;row=7136&amp;col=6&amp;number=4.2&amp;sourceID=14","4.2")</f>
        <v>4.2</v>
      </c>
      <c r="G7136" s="4" t="str">
        <f>HYPERLINK("http://141.218.60.56/~jnz1568/getInfo.php?workbook=14_04.xlsx&amp;sheet=U0&amp;row=7136&amp;col=7&amp;number=0.00817&amp;sourceID=14","0.00817")</f>
        <v>0.00817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HYPERLINK("http://141.218.60.56/~jnz1568/getInfo.php?workbook=14_04.xlsx&amp;sheet=U0&amp;row=7137&amp;col=6&amp;number=4.3&amp;sourceID=14","4.3")</f>
        <v>4.3</v>
      </c>
      <c r="G7137" s="4" t="str">
        <f>HYPERLINK("http://141.218.60.56/~jnz1568/getInfo.php?workbook=14_04.xlsx&amp;sheet=U0&amp;row=7137&amp;col=7&amp;number=0.00817&amp;sourceID=14","0.00817")</f>
        <v>0.00817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HYPERLINK("http://141.218.60.56/~jnz1568/getInfo.php?workbook=14_04.xlsx&amp;sheet=U0&amp;row=7138&amp;col=6&amp;number=4.4&amp;sourceID=14","4.4")</f>
        <v>4.4</v>
      </c>
      <c r="G7138" s="4" t="str">
        <f>HYPERLINK("http://141.218.60.56/~jnz1568/getInfo.php?workbook=14_04.xlsx&amp;sheet=U0&amp;row=7138&amp;col=7&amp;number=0.00818&amp;sourceID=14","0.00818")</f>
        <v>0.00818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HYPERLINK("http://141.218.60.56/~jnz1568/getInfo.php?workbook=14_04.xlsx&amp;sheet=U0&amp;row=7139&amp;col=6&amp;number=4.5&amp;sourceID=14","4.5")</f>
        <v>4.5</v>
      </c>
      <c r="G7139" s="4" t="str">
        <f>HYPERLINK("http://141.218.60.56/~jnz1568/getInfo.php?workbook=14_04.xlsx&amp;sheet=U0&amp;row=7139&amp;col=7&amp;number=0.00818&amp;sourceID=14","0.00818")</f>
        <v>0.00818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HYPERLINK("http://141.218.60.56/~jnz1568/getInfo.php?workbook=14_04.xlsx&amp;sheet=U0&amp;row=7140&amp;col=6&amp;number=4.6&amp;sourceID=14","4.6")</f>
        <v>4.6</v>
      </c>
      <c r="G7140" s="4" t="str">
        <f>HYPERLINK("http://141.218.60.56/~jnz1568/getInfo.php?workbook=14_04.xlsx&amp;sheet=U0&amp;row=7140&amp;col=7&amp;number=0.00819&amp;sourceID=14","0.00819")</f>
        <v>0.00819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HYPERLINK("http://141.218.60.56/~jnz1568/getInfo.php?workbook=14_04.xlsx&amp;sheet=U0&amp;row=7141&amp;col=6&amp;number=4.7&amp;sourceID=14","4.7")</f>
        <v>4.7</v>
      </c>
      <c r="G7141" s="4" t="str">
        <f>HYPERLINK("http://141.218.60.56/~jnz1568/getInfo.php?workbook=14_04.xlsx&amp;sheet=U0&amp;row=7141&amp;col=7&amp;number=0.0082&amp;sourceID=14","0.0082")</f>
        <v>0.0082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HYPERLINK("http://141.218.60.56/~jnz1568/getInfo.php?workbook=14_04.xlsx&amp;sheet=U0&amp;row=7142&amp;col=6&amp;number=4.8&amp;sourceID=14","4.8")</f>
        <v>4.8</v>
      </c>
      <c r="G7142" s="4" t="str">
        <f>HYPERLINK("http://141.218.60.56/~jnz1568/getInfo.php?workbook=14_04.xlsx&amp;sheet=U0&amp;row=7142&amp;col=7&amp;number=0.00821&amp;sourceID=14","0.00821")</f>
        <v>0.00821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HYPERLINK("http://141.218.60.56/~jnz1568/getInfo.php?workbook=14_04.xlsx&amp;sheet=U0&amp;row=7143&amp;col=6&amp;number=4.9&amp;sourceID=14","4.9")</f>
        <v>4.9</v>
      </c>
      <c r="G7143" s="4" t="str">
        <f>HYPERLINK("http://141.218.60.56/~jnz1568/getInfo.php?workbook=14_04.xlsx&amp;sheet=U0&amp;row=7143&amp;col=7&amp;number=0.00822&amp;sourceID=14","0.00822")</f>
        <v>0.00822</v>
      </c>
    </row>
    <row r="7144" spans="1:7">
      <c r="A7144" s="3">
        <v>14</v>
      </c>
      <c r="B7144" s="3">
        <v>4</v>
      </c>
      <c r="C7144" s="3">
        <v>4</v>
      </c>
      <c r="D7144" s="3">
        <v>77</v>
      </c>
      <c r="E7144" s="3">
        <v>1</v>
      </c>
      <c r="F7144" s="4" t="str">
        <f>HYPERLINK("http://141.218.60.56/~jnz1568/getInfo.php?workbook=14_04.xlsx&amp;sheet=U0&amp;row=7144&amp;col=6&amp;number=3&amp;sourceID=14","3")</f>
        <v>3</v>
      </c>
      <c r="G7144" s="4" t="str">
        <f>HYPERLINK("http://141.218.60.56/~jnz1568/getInfo.php?workbook=14_04.xlsx&amp;sheet=U0&amp;row=7144&amp;col=7&amp;number=0.00602&amp;sourceID=14","0.00602")</f>
        <v>0.00602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HYPERLINK("http://141.218.60.56/~jnz1568/getInfo.php?workbook=14_04.xlsx&amp;sheet=U0&amp;row=7145&amp;col=6&amp;number=3.1&amp;sourceID=14","3.1")</f>
        <v>3.1</v>
      </c>
      <c r="G7145" s="4" t="str">
        <f>HYPERLINK("http://141.218.60.56/~jnz1568/getInfo.php?workbook=14_04.xlsx&amp;sheet=U0&amp;row=7145&amp;col=7&amp;number=0.00602&amp;sourceID=14","0.00602")</f>
        <v>0.00602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HYPERLINK("http://141.218.60.56/~jnz1568/getInfo.php?workbook=14_04.xlsx&amp;sheet=U0&amp;row=7146&amp;col=6&amp;number=3.2&amp;sourceID=14","3.2")</f>
        <v>3.2</v>
      </c>
      <c r="G7146" s="4" t="str">
        <f>HYPERLINK("http://141.218.60.56/~jnz1568/getInfo.php?workbook=14_04.xlsx&amp;sheet=U0&amp;row=7146&amp;col=7&amp;number=0.00602&amp;sourceID=14","0.00602")</f>
        <v>0.00602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HYPERLINK("http://141.218.60.56/~jnz1568/getInfo.php?workbook=14_04.xlsx&amp;sheet=U0&amp;row=7147&amp;col=6&amp;number=3.3&amp;sourceID=14","3.3")</f>
        <v>3.3</v>
      </c>
      <c r="G7147" s="4" t="str">
        <f>HYPERLINK("http://141.218.60.56/~jnz1568/getInfo.php?workbook=14_04.xlsx&amp;sheet=U0&amp;row=7147&amp;col=7&amp;number=0.00602&amp;sourceID=14","0.00602")</f>
        <v>0.00602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HYPERLINK("http://141.218.60.56/~jnz1568/getInfo.php?workbook=14_04.xlsx&amp;sheet=U0&amp;row=7148&amp;col=6&amp;number=3.4&amp;sourceID=14","3.4")</f>
        <v>3.4</v>
      </c>
      <c r="G7148" s="4" t="str">
        <f>HYPERLINK("http://141.218.60.56/~jnz1568/getInfo.php?workbook=14_04.xlsx&amp;sheet=U0&amp;row=7148&amp;col=7&amp;number=0.00602&amp;sourceID=14","0.00602")</f>
        <v>0.00602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HYPERLINK("http://141.218.60.56/~jnz1568/getInfo.php?workbook=14_04.xlsx&amp;sheet=U0&amp;row=7149&amp;col=6&amp;number=3.5&amp;sourceID=14","3.5")</f>
        <v>3.5</v>
      </c>
      <c r="G7149" s="4" t="str">
        <f>HYPERLINK("http://141.218.60.56/~jnz1568/getInfo.php?workbook=14_04.xlsx&amp;sheet=U0&amp;row=7149&amp;col=7&amp;number=0.00602&amp;sourceID=14","0.00602")</f>
        <v>0.00602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HYPERLINK("http://141.218.60.56/~jnz1568/getInfo.php?workbook=14_04.xlsx&amp;sheet=U0&amp;row=7150&amp;col=6&amp;number=3.6&amp;sourceID=14","3.6")</f>
        <v>3.6</v>
      </c>
      <c r="G7150" s="4" t="str">
        <f>HYPERLINK("http://141.218.60.56/~jnz1568/getInfo.php?workbook=14_04.xlsx&amp;sheet=U0&amp;row=7150&amp;col=7&amp;number=0.00602&amp;sourceID=14","0.00602")</f>
        <v>0.00602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HYPERLINK("http://141.218.60.56/~jnz1568/getInfo.php?workbook=14_04.xlsx&amp;sheet=U0&amp;row=7151&amp;col=6&amp;number=3.7&amp;sourceID=14","3.7")</f>
        <v>3.7</v>
      </c>
      <c r="G7151" s="4" t="str">
        <f>HYPERLINK("http://141.218.60.56/~jnz1568/getInfo.php?workbook=14_04.xlsx&amp;sheet=U0&amp;row=7151&amp;col=7&amp;number=0.00602&amp;sourceID=14","0.00602")</f>
        <v>0.00602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HYPERLINK("http://141.218.60.56/~jnz1568/getInfo.php?workbook=14_04.xlsx&amp;sheet=U0&amp;row=7152&amp;col=6&amp;number=3.8&amp;sourceID=14","3.8")</f>
        <v>3.8</v>
      </c>
      <c r="G7152" s="4" t="str">
        <f>HYPERLINK("http://141.218.60.56/~jnz1568/getInfo.php?workbook=14_04.xlsx&amp;sheet=U0&amp;row=7152&amp;col=7&amp;number=0.00602&amp;sourceID=14","0.00602")</f>
        <v>0.00602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HYPERLINK("http://141.218.60.56/~jnz1568/getInfo.php?workbook=14_04.xlsx&amp;sheet=U0&amp;row=7153&amp;col=6&amp;number=3.9&amp;sourceID=14","3.9")</f>
        <v>3.9</v>
      </c>
      <c r="G7153" s="4" t="str">
        <f>HYPERLINK("http://141.218.60.56/~jnz1568/getInfo.php?workbook=14_04.xlsx&amp;sheet=U0&amp;row=7153&amp;col=7&amp;number=0.00602&amp;sourceID=14","0.00602")</f>
        <v>0.00602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HYPERLINK("http://141.218.60.56/~jnz1568/getInfo.php?workbook=14_04.xlsx&amp;sheet=U0&amp;row=7154&amp;col=6&amp;number=4&amp;sourceID=14","4")</f>
        <v>4</v>
      </c>
      <c r="G7154" s="4" t="str">
        <f>HYPERLINK("http://141.218.60.56/~jnz1568/getInfo.php?workbook=14_04.xlsx&amp;sheet=U0&amp;row=7154&amp;col=7&amp;number=0.00602&amp;sourceID=14","0.00602")</f>
        <v>0.00602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HYPERLINK("http://141.218.60.56/~jnz1568/getInfo.php?workbook=14_04.xlsx&amp;sheet=U0&amp;row=7155&amp;col=6&amp;number=4.1&amp;sourceID=14","4.1")</f>
        <v>4.1</v>
      </c>
      <c r="G7155" s="4" t="str">
        <f>HYPERLINK("http://141.218.60.56/~jnz1568/getInfo.php?workbook=14_04.xlsx&amp;sheet=U0&amp;row=7155&amp;col=7&amp;number=0.00602&amp;sourceID=14","0.00602")</f>
        <v>0.00602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HYPERLINK("http://141.218.60.56/~jnz1568/getInfo.php?workbook=14_04.xlsx&amp;sheet=U0&amp;row=7156&amp;col=6&amp;number=4.2&amp;sourceID=14","4.2")</f>
        <v>4.2</v>
      </c>
      <c r="G7156" s="4" t="str">
        <f>HYPERLINK("http://141.218.60.56/~jnz1568/getInfo.php?workbook=14_04.xlsx&amp;sheet=U0&amp;row=7156&amp;col=7&amp;number=0.00603&amp;sourceID=14","0.00603")</f>
        <v>0.00603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HYPERLINK("http://141.218.60.56/~jnz1568/getInfo.php?workbook=14_04.xlsx&amp;sheet=U0&amp;row=7157&amp;col=6&amp;number=4.3&amp;sourceID=14","4.3")</f>
        <v>4.3</v>
      </c>
      <c r="G7157" s="4" t="str">
        <f>HYPERLINK("http://141.218.60.56/~jnz1568/getInfo.php?workbook=14_04.xlsx&amp;sheet=U0&amp;row=7157&amp;col=7&amp;number=0.00603&amp;sourceID=14","0.00603")</f>
        <v>0.00603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HYPERLINK("http://141.218.60.56/~jnz1568/getInfo.php?workbook=14_04.xlsx&amp;sheet=U0&amp;row=7158&amp;col=6&amp;number=4.4&amp;sourceID=14","4.4")</f>
        <v>4.4</v>
      </c>
      <c r="G7158" s="4" t="str">
        <f>HYPERLINK("http://141.218.60.56/~jnz1568/getInfo.php?workbook=14_04.xlsx&amp;sheet=U0&amp;row=7158&amp;col=7&amp;number=0.00603&amp;sourceID=14","0.00603")</f>
        <v>0.00603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HYPERLINK("http://141.218.60.56/~jnz1568/getInfo.php?workbook=14_04.xlsx&amp;sheet=U0&amp;row=7159&amp;col=6&amp;number=4.5&amp;sourceID=14","4.5")</f>
        <v>4.5</v>
      </c>
      <c r="G7159" s="4" t="str">
        <f>HYPERLINK("http://141.218.60.56/~jnz1568/getInfo.php?workbook=14_04.xlsx&amp;sheet=U0&amp;row=7159&amp;col=7&amp;number=0.00604&amp;sourceID=14","0.00604")</f>
        <v>0.00604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HYPERLINK("http://141.218.60.56/~jnz1568/getInfo.php?workbook=14_04.xlsx&amp;sheet=U0&amp;row=7160&amp;col=6&amp;number=4.6&amp;sourceID=14","4.6")</f>
        <v>4.6</v>
      </c>
      <c r="G7160" s="4" t="str">
        <f>HYPERLINK("http://141.218.60.56/~jnz1568/getInfo.php?workbook=14_04.xlsx&amp;sheet=U0&amp;row=7160&amp;col=7&amp;number=0.00604&amp;sourceID=14","0.00604")</f>
        <v>0.00604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HYPERLINK("http://141.218.60.56/~jnz1568/getInfo.php?workbook=14_04.xlsx&amp;sheet=U0&amp;row=7161&amp;col=6&amp;number=4.7&amp;sourceID=14","4.7")</f>
        <v>4.7</v>
      </c>
      <c r="G7161" s="4" t="str">
        <f>HYPERLINK("http://141.218.60.56/~jnz1568/getInfo.php?workbook=14_04.xlsx&amp;sheet=U0&amp;row=7161&amp;col=7&amp;number=0.00605&amp;sourceID=14","0.00605")</f>
        <v>0.00605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HYPERLINK("http://141.218.60.56/~jnz1568/getInfo.php?workbook=14_04.xlsx&amp;sheet=U0&amp;row=7162&amp;col=6&amp;number=4.8&amp;sourceID=14","4.8")</f>
        <v>4.8</v>
      </c>
      <c r="G7162" s="4" t="str">
        <f>HYPERLINK("http://141.218.60.56/~jnz1568/getInfo.php?workbook=14_04.xlsx&amp;sheet=U0&amp;row=7162&amp;col=7&amp;number=0.00605&amp;sourceID=14","0.00605")</f>
        <v>0.00605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HYPERLINK("http://141.218.60.56/~jnz1568/getInfo.php?workbook=14_04.xlsx&amp;sheet=U0&amp;row=7163&amp;col=6&amp;number=4.9&amp;sourceID=14","4.9")</f>
        <v>4.9</v>
      </c>
      <c r="G7163" s="4" t="str">
        <f>HYPERLINK("http://141.218.60.56/~jnz1568/getInfo.php?workbook=14_04.xlsx&amp;sheet=U0&amp;row=7163&amp;col=7&amp;number=0.00606&amp;sourceID=14","0.00606")</f>
        <v>0.00606</v>
      </c>
    </row>
    <row r="7164" spans="1:7">
      <c r="A7164" s="3">
        <v>14</v>
      </c>
      <c r="B7164" s="3">
        <v>4</v>
      </c>
      <c r="C7164" s="3">
        <v>4</v>
      </c>
      <c r="D7164" s="3">
        <v>78</v>
      </c>
      <c r="E7164" s="3">
        <v>1</v>
      </c>
      <c r="F7164" s="4" t="str">
        <f>HYPERLINK("http://141.218.60.56/~jnz1568/getInfo.php?workbook=14_04.xlsx&amp;sheet=U0&amp;row=7164&amp;col=6&amp;number=3&amp;sourceID=14","3")</f>
        <v>3</v>
      </c>
      <c r="G7164" s="4" t="str">
        <f>HYPERLINK("http://141.218.60.56/~jnz1568/getInfo.php?workbook=14_04.xlsx&amp;sheet=U0&amp;row=7164&amp;col=7&amp;number=0.00369&amp;sourceID=14","0.00369")</f>
        <v>0.00369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HYPERLINK("http://141.218.60.56/~jnz1568/getInfo.php?workbook=14_04.xlsx&amp;sheet=U0&amp;row=7165&amp;col=6&amp;number=3.1&amp;sourceID=14","3.1")</f>
        <v>3.1</v>
      </c>
      <c r="G7165" s="4" t="str">
        <f>HYPERLINK("http://141.218.60.56/~jnz1568/getInfo.php?workbook=14_04.xlsx&amp;sheet=U0&amp;row=7165&amp;col=7&amp;number=0.00369&amp;sourceID=14","0.00369")</f>
        <v>0.00369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HYPERLINK("http://141.218.60.56/~jnz1568/getInfo.php?workbook=14_04.xlsx&amp;sheet=U0&amp;row=7166&amp;col=6&amp;number=3.2&amp;sourceID=14","3.2")</f>
        <v>3.2</v>
      </c>
      <c r="G7166" s="4" t="str">
        <f>HYPERLINK("http://141.218.60.56/~jnz1568/getInfo.php?workbook=14_04.xlsx&amp;sheet=U0&amp;row=7166&amp;col=7&amp;number=0.00369&amp;sourceID=14","0.00369")</f>
        <v>0.00369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HYPERLINK("http://141.218.60.56/~jnz1568/getInfo.php?workbook=14_04.xlsx&amp;sheet=U0&amp;row=7167&amp;col=6&amp;number=3.3&amp;sourceID=14","3.3")</f>
        <v>3.3</v>
      </c>
      <c r="G7167" s="4" t="str">
        <f>HYPERLINK("http://141.218.60.56/~jnz1568/getInfo.php?workbook=14_04.xlsx&amp;sheet=U0&amp;row=7167&amp;col=7&amp;number=0.00369&amp;sourceID=14","0.00369")</f>
        <v>0.00369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HYPERLINK("http://141.218.60.56/~jnz1568/getInfo.php?workbook=14_04.xlsx&amp;sheet=U0&amp;row=7168&amp;col=6&amp;number=3.4&amp;sourceID=14","3.4")</f>
        <v>3.4</v>
      </c>
      <c r="G7168" s="4" t="str">
        <f>HYPERLINK("http://141.218.60.56/~jnz1568/getInfo.php?workbook=14_04.xlsx&amp;sheet=U0&amp;row=7168&amp;col=7&amp;number=0.00369&amp;sourceID=14","0.00369")</f>
        <v>0.00369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HYPERLINK("http://141.218.60.56/~jnz1568/getInfo.php?workbook=14_04.xlsx&amp;sheet=U0&amp;row=7169&amp;col=6&amp;number=3.5&amp;sourceID=14","3.5")</f>
        <v>3.5</v>
      </c>
      <c r="G7169" s="4" t="str">
        <f>HYPERLINK("http://141.218.60.56/~jnz1568/getInfo.php?workbook=14_04.xlsx&amp;sheet=U0&amp;row=7169&amp;col=7&amp;number=0.00369&amp;sourceID=14","0.00369")</f>
        <v>0.00369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HYPERLINK("http://141.218.60.56/~jnz1568/getInfo.php?workbook=14_04.xlsx&amp;sheet=U0&amp;row=7170&amp;col=6&amp;number=3.6&amp;sourceID=14","3.6")</f>
        <v>3.6</v>
      </c>
      <c r="G7170" s="4" t="str">
        <f>HYPERLINK("http://141.218.60.56/~jnz1568/getInfo.php?workbook=14_04.xlsx&amp;sheet=U0&amp;row=7170&amp;col=7&amp;number=0.00369&amp;sourceID=14","0.00369")</f>
        <v>0.00369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HYPERLINK("http://141.218.60.56/~jnz1568/getInfo.php?workbook=14_04.xlsx&amp;sheet=U0&amp;row=7171&amp;col=6&amp;number=3.7&amp;sourceID=14","3.7")</f>
        <v>3.7</v>
      </c>
      <c r="G7171" s="4" t="str">
        <f>HYPERLINK("http://141.218.60.56/~jnz1568/getInfo.php?workbook=14_04.xlsx&amp;sheet=U0&amp;row=7171&amp;col=7&amp;number=0.00369&amp;sourceID=14","0.00369")</f>
        <v>0.00369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HYPERLINK("http://141.218.60.56/~jnz1568/getInfo.php?workbook=14_04.xlsx&amp;sheet=U0&amp;row=7172&amp;col=6&amp;number=3.8&amp;sourceID=14","3.8")</f>
        <v>3.8</v>
      </c>
      <c r="G7172" s="4" t="str">
        <f>HYPERLINK("http://141.218.60.56/~jnz1568/getInfo.php?workbook=14_04.xlsx&amp;sheet=U0&amp;row=7172&amp;col=7&amp;number=0.00369&amp;sourceID=14","0.00369")</f>
        <v>0.00369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HYPERLINK("http://141.218.60.56/~jnz1568/getInfo.php?workbook=14_04.xlsx&amp;sheet=U0&amp;row=7173&amp;col=6&amp;number=3.9&amp;sourceID=14","3.9")</f>
        <v>3.9</v>
      </c>
      <c r="G7173" s="4" t="str">
        <f>HYPERLINK("http://141.218.60.56/~jnz1568/getInfo.php?workbook=14_04.xlsx&amp;sheet=U0&amp;row=7173&amp;col=7&amp;number=0.00369&amp;sourceID=14","0.00369")</f>
        <v>0.00369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HYPERLINK("http://141.218.60.56/~jnz1568/getInfo.php?workbook=14_04.xlsx&amp;sheet=U0&amp;row=7174&amp;col=6&amp;number=4&amp;sourceID=14","4")</f>
        <v>4</v>
      </c>
      <c r="G7174" s="4" t="str">
        <f>HYPERLINK("http://141.218.60.56/~jnz1568/getInfo.php?workbook=14_04.xlsx&amp;sheet=U0&amp;row=7174&amp;col=7&amp;number=0.00369&amp;sourceID=14","0.00369")</f>
        <v>0.00369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HYPERLINK("http://141.218.60.56/~jnz1568/getInfo.php?workbook=14_04.xlsx&amp;sheet=U0&amp;row=7175&amp;col=6&amp;number=4.1&amp;sourceID=14","4.1")</f>
        <v>4.1</v>
      </c>
      <c r="G7175" s="4" t="str">
        <f>HYPERLINK("http://141.218.60.56/~jnz1568/getInfo.php?workbook=14_04.xlsx&amp;sheet=U0&amp;row=7175&amp;col=7&amp;number=0.00369&amp;sourceID=14","0.00369")</f>
        <v>0.00369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HYPERLINK("http://141.218.60.56/~jnz1568/getInfo.php?workbook=14_04.xlsx&amp;sheet=U0&amp;row=7176&amp;col=6&amp;number=4.2&amp;sourceID=14","4.2")</f>
        <v>4.2</v>
      </c>
      <c r="G7176" s="4" t="str">
        <f>HYPERLINK("http://141.218.60.56/~jnz1568/getInfo.php?workbook=14_04.xlsx&amp;sheet=U0&amp;row=7176&amp;col=7&amp;number=0.00369&amp;sourceID=14","0.00369")</f>
        <v>0.00369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HYPERLINK("http://141.218.60.56/~jnz1568/getInfo.php?workbook=14_04.xlsx&amp;sheet=U0&amp;row=7177&amp;col=6&amp;number=4.3&amp;sourceID=14","4.3")</f>
        <v>4.3</v>
      </c>
      <c r="G7177" s="4" t="str">
        <f>HYPERLINK("http://141.218.60.56/~jnz1568/getInfo.php?workbook=14_04.xlsx&amp;sheet=U0&amp;row=7177&amp;col=7&amp;number=0.00369&amp;sourceID=14","0.00369")</f>
        <v>0.00369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HYPERLINK("http://141.218.60.56/~jnz1568/getInfo.php?workbook=14_04.xlsx&amp;sheet=U0&amp;row=7178&amp;col=6&amp;number=4.4&amp;sourceID=14","4.4")</f>
        <v>4.4</v>
      </c>
      <c r="G7178" s="4" t="str">
        <f>HYPERLINK("http://141.218.60.56/~jnz1568/getInfo.php?workbook=14_04.xlsx&amp;sheet=U0&amp;row=7178&amp;col=7&amp;number=0.0037&amp;sourceID=14","0.0037")</f>
        <v>0.0037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HYPERLINK("http://141.218.60.56/~jnz1568/getInfo.php?workbook=14_04.xlsx&amp;sheet=U0&amp;row=7179&amp;col=6&amp;number=4.5&amp;sourceID=14","4.5")</f>
        <v>4.5</v>
      </c>
      <c r="G7179" s="4" t="str">
        <f>HYPERLINK("http://141.218.60.56/~jnz1568/getInfo.php?workbook=14_04.xlsx&amp;sheet=U0&amp;row=7179&amp;col=7&amp;number=0.0037&amp;sourceID=14","0.0037")</f>
        <v>0.0037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HYPERLINK("http://141.218.60.56/~jnz1568/getInfo.php?workbook=14_04.xlsx&amp;sheet=U0&amp;row=7180&amp;col=6&amp;number=4.6&amp;sourceID=14","4.6")</f>
        <v>4.6</v>
      </c>
      <c r="G7180" s="4" t="str">
        <f>HYPERLINK("http://141.218.60.56/~jnz1568/getInfo.php?workbook=14_04.xlsx&amp;sheet=U0&amp;row=7180&amp;col=7&amp;number=0.0037&amp;sourceID=14","0.0037")</f>
        <v>0.0037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HYPERLINK("http://141.218.60.56/~jnz1568/getInfo.php?workbook=14_04.xlsx&amp;sheet=U0&amp;row=7181&amp;col=6&amp;number=4.7&amp;sourceID=14","4.7")</f>
        <v>4.7</v>
      </c>
      <c r="G7181" s="4" t="str">
        <f>HYPERLINK("http://141.218.60.56/~jnz1568/getInfo.php?workbook=14_04.xlsx&amp;sheet=U0&amp;row=7181&amp;col=7&amp;number=0.00371&amp;sourceID=14","0.00371")</f>
        <v>0.00371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HYPERLINK("http://141.218.60.56/~jnz1568/getInfo.php?workbook=14_04.xlsx&amp;sheet=U0&amp;row=7182&amp;col=6&amp;number=4.8&amp;sourceID=14","4.8")</f>
        <v>4.8</v>
      </c>
      <c r="G7182" s="4" t="str">
        <f>HYPERLINK("http://141.218.60.56/~jnz1568/getInfo.php?workbook=14_04.xlsx&amp;sheet=U0&amp;row=7182&amp;col=7&amp;number=0.00371&amp;sourceID=14","0.00371")</f>
        <v>0.00371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HYPERLINK("http://141.218.60.56/~jnz1568/getInfo.php?workbook=14_04.xlsx&amp;sheet=U0&amp;row=7183&amp;col=6&amp;number=4.9&amp;sourceID=14","4.9")</f>
        <v>4.9</v>
      </c>
      <c r="G7183" s="4" t="str">
        <f>HYPERLINK("http://141.218.60.56/~jnz1568/getInfo.php?workbook=14_04.xlsx&amp;sheet=U0&amp;row=7183&amp;col=7&amp;number=0.00372&amp;sourceID=14","0.00372")</f>
        <v>0.00372</v>
      </c>
    </row>
    <row r="7184" spans="1:7">
      <c r="A7184" s="3">
        <v>14</v>
      </c>
      <c r="B7184" s="3">
        <v>4</v>
      </c>
      <c r="C7184" s="3">
        <v>4</v>
      </c>
      <c r="D7184" s="3">
        <v>79</v>
      </c>
      <c r="E7184" s="3">
        <v>1</v>
      </c>
      <c r="F7184" s="4" t="str">
        <f>HYPERLINK("http://141.218.60.56/~jnz1568/getInfo.php?workbook=14_04.xlsx&amp;sheet=U0&amp;row=7184&amp;col=6&amp;number=3&amp;sourceID=14","3")</f>
        <v>3</v>
      </c>
      <c r="G7184" s="4" t="str">
        <f>HYPERLINK("http://141.218.60.56/~jnz1568/getInfo.php?workbook=14_04.xlsx&amp;sheet=U0&amp;row=7184&amp;col=7&amp;number=0.00125&amp;sourceID=14","0.00125")</f>
        <v>0.00125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HYPERLINK("http://141.218.60.56/~jnz1568/getInfo.php?workbook=14_04.xlsx&amp;sheet=U0&amp;row=7185&amp;col=6&amp;number=3.1&amp;sourceID=14","3.1")</f>
        <v>3.1</v>
      </c>
      <c r="G7185" s="4" t="str">
        <f>HYPERLINK("http://141.218.60.56/~jnz1568/getInfo.php?workbook=14_04.xlsx&amp;sheet=U0&amp;row=7185&amp;col=7&amp;number=0.00125&amp;sourceID=14","0.00125")</f>
        <v>0.00125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HYPERLINK("http://141.218.60.56/~jnz1568/getInfo.php?workbook=14_04.xlsx&amp;sheet=U0&amp;row=7186&amp;col=6&amp;number=3.2&amp;sourceID=14","3.2")</f>
        <v>3.2</v>
      </c>
      <c r="G7186" s="4" t="str">
        <f>HYPERLINK("http://141.218.60.56/~jnz1568/getInfo.php?workbook=14_04.xlsx&amp;sheet=U0&amp;row=7186&amp;col=7&amp;number=0.00125&amp;sourceID=14","0.00125")</f>
        <v>0.00125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HYPERLINK("http://141.218.60.56/~jnz1568/getInfo.php?workbook=14_04.xlsx&amp;sheet=U0&amp;row=7187&amp;col=6&amp;number=3.3&amp;sourceID=14","3.3")</f>
        <v>3.3</v>
      </c>
      <c r="G7187" s="4" t="str">
        <f>HYPERLINK("http://141.218.60.56/~jnz1568/getInfo.php?workbook=14_04.xlsx&amp;sheet=U0&amp;row=7187&amp;col=7&amp;number=0.00125&amp;sourceID=14","0.00125")</f>
        <v>0.00125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HYPERLINK("http://141.218.60.56/~jnz1568/getInfo.php?workbook=14_04.xlsx&amp;sheet=U0&amp;row=7188&amp;col=6&amp;number=3.4&amp;sourceID=14","3.4")</f>
        <v>3.4</v>
      </c>
      <c r="G7188" s="4" t="str">
        <f>HYPERLINK("http://141.218.60.56/~jnz1568/getInfo.php?workbook=14_04.xlsx&amp;sheet=U0&amp;row=7188&amp;col=7&amp;number=0.00125&amp;sourceID=14","0.00125")</f>
        <v>0.00125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HYPERLINK("http://141.218.60.56/~jnz1568/getInfo.php?workbook=14_04.xlsx&amp;sheet=U0&amp;row=7189&amp;col=6&amp;number=3.5&amp;sourceID=14","3.5")</f>
        <v>3.5</v>
      </c>
      <c r="G7189" s="4" t="str">
        <f>HYPERLINK("http://141.218.60.56/~jnz1568/getInfo.php?workbook=14_04.xlsx&amp;sheet=U0&amp;row=7189&amp;col=7&amp;number=0.00125&amp;sourceID=14","0.00125")</f>
        <v>0.00125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HYPERLINK("http://141.218.60.56/~jnz1568/getInfo.php?workbook=14_04.xlsx&amp;sheet=U0&amp;row=7190&amp;col=6&amp;number=3.6&amp;sourceID=14","3.6")</f>
        <v>3.6</v>
      </c>
      <c r="G7190" s="4" t="str">
        <f>HYPERLINK("http://141.218.60.56/~jnz1568/getInfo.php?workbook=14_04.xlsx&amp;sheet=U0&amp;row=7190&amp;col=7&amp;number=0.00125&amp;sourceID=14","0.00125")</f>
        <v>0.00125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HYPERLINK("http://141.218.60.56/~jnz1568/getInfo.php?workbook=14_04.xlsx&amp;sheet=U0&amp;row=7191&amp;col=6&amp;number=3.7&amp;sourceID=14","3.7")</f>
        <v>3.7</v>
      </c>
      <c r="G7191" s="4" t="str">
        <f>HYPERLINK("http://141.218.60.56/~jnz1568/getInfo.php?workbook=14_04.xlsx&amp;sheet=U0&amp;row=7191&amp;col=7&amp;number=0.00125&amp;sourceID=14","0.00125")</f>
        <v>0.00125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HYPERLINK("http://141.218.60.56/~jnz1568/getInfo.php?workbook=14_04.xlsx&amp;sheet=U0&amp;row=7192&amp;col=6&amp;number=3.8&amp;sourceID=14","3.8")</f>
        <v>3.8</v>
      </c>
      <c r="G7192" s="4" t="str">
        <f>HYPERLINK("http://141.218.60.56/~jnz1568/getInfo.php?workbook=14_04.xlsx&amp;sheet=U0&amp;row=7192&amp;col=7&amp;number=0.00125&amp;sourceID=14","0.00125")</f>
        <v>0.00125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HYPERLINK("http://141.218.60.56/~jnz1568/getInfo.php?workbook=14_04.xlsx&amp;sheet=U0&amp;row=7193&amp;col=6&amp;number=3.9&amp;sourceID=14","3.9")</f>
        <v>3.9</v>
      </c>
      <c r="G7193" s="4" t="str">
        <f>HYPERLINK("http://141.218.60.56/~jnz1568/getInfo.php?workbook=14_04.xlsx&amp;sheet=U0&amp;row=7193&amp;col=7&amp;number=0.00125&amp;sourceID=14","0.00125")</f>
        <v>0.00125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HYPERLINK("http://141.218.60.56/~jnz1568/getInfo.php?workbook=14_04.xlsx&amp;sheet=U0&amp;row=7194&amp;col=6&amp;number=4&amp;sourceID=14","4")</f>
        <v>4</v>
      </c>
      <c r="G7194" s="4" t="str">
        <f>HYPERLINK("http://141.218.60.56/~jnz1568/getInfo.php?workbook=14_04.xlsx&amp;sheet=U0&amp;row=7194&amp;col=7&amp;number=0.00125&amp;sourceID=14","0.00125")</f>
        <v>0.00125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HYPERLINK("http://141.218.60.56/~jnz1568/getInfo.php?workbook=14_04.xlsx&amp;sheet=U0&amp;row=7195&amp;col=6&amp;number=4.1&amp;sourceID=14","4.1")</f>
        <v>4.1</v>
      </c>
      <c r="G7195" s="4" t="str">
        <f>HYPERLINK("http://141.218.60.56/~jnz1568/getInfo.php?workbook=14_04.xlsx&amp;sheet=U0&amp;row=7195&amp;col=7&amp;number=0.00125&amp;sourceID=14","0.00125")</f>
        <v>0.00125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HYPERLINK("http://141.218.60.56/~jnz1568/getInfo.php?workbook=14_04.xlsx&amp;sheet=U0&amp;row=7196&amp;col=6&amp;number=4.2&amp;sourceID=14","4.2")</f>
        <v>4.2</v>
      </c>
      <c r="G7196" s="4" t="str">
        <f>HYPERLINK("http://141.218.60.56/~jnz1568/getInfo.php?workbook=14_04.xlsx&amp;sheet=U0&amp;row=7196&amp;col=7&amp;number=0.00125&amp;sourceID=14","0.00125")</f>
        <v>0.00125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HYPERLINK("http://141.218.60.56/~jnz1568/getInfo.php?workbook=14_04.xlsx&amp;sheet=U0&amp;row=7197&amp;col=6&amp;number=4.3&amp;sourceID=14","4.3")</f>
        <v>4.3</v>
      </c>
      <c r="G7197" s="4" t="str">
        <f>HYPERLINK("http://141.218.60.56/~jnz1568/getInfo.php?workbook=14_04.xlsx&amp;sheet=U0&amp;row=7197&amp;col=7&amp;number=0.00125&amp;sourceID=14","0.00125")</f>
        <v>0.00125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HYPERLINK("http://141.218.60.56/~jnz1568/getInfo.php?workbook=14_04.xlsx&amp;sheet=U0&amp;row=7198&amp;col=6&amp;number=4.4&amp;sourceID=14","4.4")</f>
        <v>4.4</v>
      </c>
      <c r="G7198" s="4" t="str">
        <f>HYPERLINK("http://141.218.60.56/~jnz1568/getInfo.php?workbook=14_04.xlsx&amp;sheet=U0&amp;row=7198&amp;col=7&amp;number=0.00125&amp;sourceID=14","0.00125")</f>
        <v>0.00125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HYPERLINK("http://141.218.60.56/~jnz1568/getInfo.php?workbook=14_04.xlsx&amp;sheet=U0&amp;row=7199&amp;col=6&amp;number=4.5&amp;sourceID=14","4.5")</f>
        <v>4.5</v>
      </c>
      <c r="G7199" s="4" t="str">
        <f>HYPERLINK("http://141.218.60.56/~jnz1568/getInfo.php?workbook=14_04.xlsx&amp;sheet=U0&amp;row=7199&amp;col=7&amp;number=0.00125&amp;sourceID=14","0.00125")</f>
        <v>0.00125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HYPERLINK("http://141.218.60.56/~jnz1568/getInfo.php?workbook=14_04.xlsx&amp;sheet=U0&amp;row=7200&amp;col=6&amp;number=4.6&amp;sourceID=14","4.6")</f>
        <v>4.6</v>
      </c>
      <c r="G7200" s="4" t="str">
        <f>HYPERLINK("http://141.218.60.56/~jnz1568/getInfo.php?workbook=14_04.xlsx&amp;sheet=U0&amp;row=7200&amp;col=7&amp;number=0.00125&amp;sourceID=14","0.00125")</f>
        <v>0.00125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HYPERLINK("http://141.218.60.56/~jnz1568/getInfo.php?workbook=14_04.xlsx&amp;sheet=U0&amp;row=7201&amp;col=6&amp;number=4.7&amp;sourceID=14","4.7")</f>
        <v>4.7</v>
      </c>
      <c r="G7201" s="4" t="str">
        <f>HYPERLINK("http://141.218.60.56/~jnz1568/getInfo.php?workbook=14_04.xlsx&amp;sheet=U0&amp;row=7201&amp;col=7&amp;number=0.00125&amp;sourceID=14","0.00125")</f>
        <v>0.00125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HYPERLINK("http://141.218.60.56/~jnz1568/getInfo.php?workbook=14_04.xlsx&amp;sheet=U0&amp;row=7202&amp;col=6&amp;number=4.8&amp;sourceID=14","4.8")</f>
        <v>4.8</v>
      </c>
      <c r="G7202" s="4" t="str">
        <f>HYPERLINK("http://141.218.60.56/~jnz1568/getInfo.php?workbook=14_04.xlsx&amp;sheet=U0&amp;row=7202&amp;col=7&amp;number=0.00126&amp;sourceID=14","0.00126")</f>
        <v>0.00126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HYPERLINK("http://141.218.60.56/~jnz1568/getInfo.php?workbook=14_04.xlsx&amp;sheet=U0&amp;row=7203&amp;col=6&amp;number=4.9&amp;sourceID=14","4.9")</f>
        <v>4.9</v>
      </c>
      <c r="G7203" s="4" t="str">
        <f>HYPERLINK("http://141.218.60.56/~jnz1568/getInfo.php?workbook=14_04.xlsx&amp;sheet=U0&amp;row=7203&amp;col=7&amp;number=0.00126&amp;sourceID=14","0.00126")</f>
        <v>0.00126</v>
      </c>
    </row>
    <row r="7204" spans="1:7">
      <c r="A7204" s="3">
        <v>14</v>
      </c>
      <c r="B7204" s="3">
        <v>4</v>
      </c>
      <c r="C7204" s="3">
        <v>4</v>
      </c>
      <c r="D7204" s="3">
        <v>80</v>
      </c>
      <c r="E7204" s="3">
        <v>1</v>
      </c>
      <c r="F7204" s="4" t="str">
        <f>HYPERLINK("http://141.218.60.56/~jnz1568/getInfo.php?workbook=14_04.xlsx&amp;sheet=U0&amp;row=7204&amp;col=6&amp;number=3&amp;sourceID=14","3")</f>
        <v>3</v>
      </c>
      <c r="G7204" s="4" t="str">
        <f>HYPERLINK("http://141.218.60.56/~jnz1568/getInfo.php?workbook=14_04.xlsx&amp;sheet=U0&amp;row=7204&amp;col=7&amp;number=0.000615&amp;sourceID=14","0.000615")</f>
        <v>0.000615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HYPERLINK("http://141.218.60.56/~jnz1568/getInfo.php?workbook=14_04.xlsx&amp;sheet=U0&amp;row=7205&amp;col=6&amp;number=3.1&amp;sourceID=14","3.1")</f>
        <v>3.1</v>
      </c>
      <c r="G7205" s="4" t="str">
        <f>HYPERLINK("http://141.218.60.56/~jnz1568/getInfo.php?workbook=14_04.xlsx&amp;sheet=U0&amp;row=7205&amp;col=7&amp;number=0.000615&amp;sourceID=14","0.000615")</f>
        <v>0.000615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HYPERLINK("http://141.218.60.56/~jnz1568/getInfo.php?workbook=14_04.xlsx&amp;sheet=U0&amp;row=7206&amp;col=6&amp;number=3.2&amp;sourceID=14","3.2")</f>
        <v>3.2</v>
      </c>
      <c r="G7206" s="4" t="str">
        <f>HYPERLINK("http://141.218.60.56/~jnz1568/getInfo.php?workbook=14_04.xlsx&amp;sheet=U0&amp;row=7206&amp;col=7&amp;number=0.000615&amp;sourceID=14","0.000615")</f>
        <v>0.000615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HYPERLINK("http://141.218.60.56/~jnz1568/getInfo.php?workbook=14_04.xlsx&amp;sheet=U0&amp;row=7207&amp;col=6&amp;number=3.3&amp;sourceID=14","3.3")</f>
        <v>3.3</v>
      </c>
      <c r="G7207" s="4" t="str">
        <f>HYPERLINK("http://141.218.60.56/~jnz1568/getInfo.php?workbook=14_04.xlsx&amp;sheet=U0&amp;row=7207&amp;col=7&amp;number=0.000614&amp;sourceID=14","0.000614")</f>
        <v>0.000614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HYPERLINK("http://141.218.60.56/~jnz1568/getInfo.php?workbook=14_04.xlsx&amp;sheet=U0&amp;row=7208&amp;col=6&amp;number=3.4&amp;sourceID=14","3.4")</f>
        <v>3.4</v>
      </c>
      <c r="G7208" s="4" t="str">
        <f>HYPERLINK("http://141.218.60.56/~jnz1568/getInfo.php?workbook=14_04.xlsx&amp;sheet=U0&amp;row=7208&amp;col=7&amp;number=0.000614&amp;sourceID=14","0.000614")</f>
        <v>0.000614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HYPERLINK("http://141.218.60.56/~jnz1568/getInfo.php?workbook=14_04.xlsx&amp;sheet=U0&amp;row=7209&amp;col=6&amp;number=3.5&amp;sourceID=14","3.5")</f>
        <v>3.5</v>
      </c>
      <c r="G7209" s="4" t="str">
        <f>HYPERLINK("http://141.218.60.56/~jnz1568/getInfo.php?workbook=14_04.xlsx&amp;sheet=U0&amp;row=7209&amp;col=7&amp;number=0.000614&amp;sourceID=14","0.000614")</f>
        <v>0.000614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HYPERLINK("http://141.218.60.56/~jnz1568/getInfo.php?workbook=14_04.xlsx&amp;sheet=U0&amp;row=7210&amp;col=6&amp;number=3.6&amp;sourceID=14","3.6")</f>
        <v>3.6</v>
      </c>
      <c r="G7210" s="4" t="str">
        <f>HYPERLINK("http://141.218.60.56/~jnz1568/getInfo.php?workbook=14_04.xlsx&amp;sheet=U0&amp;row=7210&amp;col=7&amp;number=0.000614&amp;sourceID=14","0.000614")</f>
        <v>0.000614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HYPERLINK("http://141.218.60.56/~jnz1568/getInfo.php?workbook=14_04.xlsx&amp;sheet=U0&amp;row=7211&amp;col=6&amp;number=3.7&amp;sourceID=14","3.7")</f>
        <v>3.7</v>
      </c>
      <c r="G7211" s="4" t="str">
        <f>HYPERLINK("http://141.218.60.56/~jnz1568/getInfo.php?workbook=14_04.xlsx&amp;sheet=U0&amp;row=7211&amp;col=7&amp;number=0.000614&amp;sourceID=14","0.000614")</f>
        <v>0.000614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HYPERLINK("http://141.218.60.56/~jnz1568/getInfo.php?workbook=14_04.xlsx&amp;sheet=U0&amp;row=7212&amp;col=6&amp;number=3.8&amp;sourceID=14","3.8")</f>
        <v>3.8</v>
      </c>
      <c r="G7212" s="4" t="str">
        <f>HYPERLINK("http://141.218.60.56/~jnz1568/getInfo.php?workbook=14_04.xlsx&amp;sheet=U0&amp;row=7212&amp;col=7&amp;number=0.000614&amp;sourceID=14","0.000614")</f>
        <v>0.000614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HYPERLINK("http://141.218.60.56/~jnz1568/getInfo.php?workbook=14_04.xlsx&amp;sheet=U0&amp;row=7213&amp;col=6&amp;number=3.9&amp;sourceID=14","3.9")</f>
        <v>3.9</v>
      </c>
      <c r="G7213" s="4" t="str">
        <f>HYPERLINK("http://141.218.60.56/~jnz1568/getInfo.php?workbook=14_04.xlsx&amp;sheet=U0&amp;row=7213&amp;col=7&amp;number=0.000613&amp;sourceID=14","0.000613")</f>
        <v>0.000613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HYPERLINK("http://141.218.60.56/~jnz1568/getInfo.php?workbook=14_04.xlsx&amp;sheet=U0&amp;row=7214&amp;col=6&amp;number=4&amp;sourceID=14","4")</f>
        <v>4</v>
      </c>
      <c r="G7214" s="4" t="str">
        <f>HYPERLINK("http://141.218.60.56/~jnz1568/getInfo.php?workbook=14_04.xlsx&amp;sheet=U0&amp;row=7214&amp;col=7&amp;number=0.000613&amp;sourceID=14","0.000613")</f>
        <v>0.000613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HYPERLINK("http://141.218.60.56/~jnz1568/getInfo.php?workbook=14_04.xlsx&amp;sheet=U0&amp;row=7215&amp;col=6&amp;number=4.1&amp;sourceID=14","4.1")</f>
        <v>4.1</v>
      </c>
      <c r="G7215" s="4" t="str">
        <f>HYPERLINK("http://141.218.60.56/~jnz1568/getInfo.php?workbook=14_04.xlsx&amp;sheet=U0&amp;row=7215&amp;col=7&amp;number=0.000612&amp;sourceID=14","0.000612")</f>
        <v>0.000612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HYPERLINK("http://141.218.60.56/~jnz1568/getInfo.php?workbook=14_04.xlsx&amp;sheet=U0&amp;row=7216&amp;col=6&amp;number=4.2&amp;sourceID=14","4.2")</f>
        <v>4.2</v>
      </c>
      <c r="G7216" s="4" t="str">
        <f>HYPERLINK("http://141.218.60.56/~jnz1568/getInfo.php?workbook=14_04.xlsx&amp;sheet=U0&amp;row=7216&amp;col=7&amp;number=0.000612&amp;sourceID=14","0.000612")</f>
        <v>0.000612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HYPERLINK("http://141.218.60.56/~jnz1568/getInfo.php?workbook=14_04.xlsx&amp;sheet=U0&amp;row=7217&amp;col=6&amp;number=4.3&amp;sourceID=14","4.3")</f>
        <v>4.3</v>
      </c>
      <c r="G7217" s="4" t="str">
        <f>HYPERLINK("http://141.218.60.56/~jnz1568/getInfo.php?workbook=14_04.xlsx&amp;sheet=U0&amp;row=7217&amp;col=7&amp;number=0.000611&amp;sourceID=14","0.000611")</f>
        <v>0.000611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HYPERLINK("http://141.218.60.56/~jnz1568/getInfo.php?workbook=14_04.xlsx&amp;sheet=U0&amp;row=7218&amp;col=6&amp;number=4.4&amp;sourceID=14","4.4")</f>
        <v>4.4</v>
      </c>
      <c r="G7218" s="4" t="str">
        <f>HYPERLINK("http://141.218.60.56/~jnz1568/getInfo.php?workbook=14_04.xlsx&amp;sheet=U0&amp;row=7218&amp;col=7&amp;number=0.00061&amp;sourceID=14","0.00061")</f>
        <v>0.00061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HYPERLINK("http://141.218.60.56/~jnz1568/getInfo.php?workbook=14_04.xlsx&amp;sheet=U0&amp;row=7219&amp;col=6&amp;number=4.5&amp;sourceID=14","4.5")</f>
        <v>4.5</v>
      </c>
      <c r="G7219" s="4" t="str">
        <f>HYPERLINK("http://141.218.60.56/~jnz1568/getInfo.php?workbook=14_04.xlsx&amp;sheet=U0&amp;row=7219&amp;col=7&amp;number=0.000609&amp;sourceID=14","0.000609")</f>
        <v>0.000609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HYPERLINK("http://141.218.60.56/~jnz1568/getInfo.php?workbook=14_04.xlsx&amp;sheet=U0&amp;row=7220&amp;col=6&amp;number=4.6&amp;sourceID=14","4.6")</f>
        <v>4.6</v>
      </c>
      <c r="G7220" s="4" t="str">
        <f>HYPERLINK("http://141.218.60.56/~jnz1568/getInfo.php?workbook=14_04.xlsx&amp;sheet=U0&amp;row=7220&amp;col=7&amp;number=0.000607&amp;sourceID=14","0.000607")</f>
        <v>0.000607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HYPERLINK("http://141.218.60.56/~jnz1568/getInfo.php?workbook=14_04.xlsx&amp;sheet=U0&amp;row=7221&amp;col=6&amp;number=4.7&amp;sourceID=14","4.7")</f>
        <v>4.7</v>
      </c>
      <c r="G7221" s="4" t="str">
        <f>HYPERLINK("http://141.218.60.56/~jnz1568/getInfo.php?workbook=14_04.xlsx&amp;sheet=U0&amp;row=7221&amp;col=7&amp;number=0.000605&amp;sourceID=14","0.000605")</f>
        <v>0.000605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HYPERLINK("http://141.218.60.56/~jnz1568/getInfo.php?workbook=14_04.xlsx&amp;sheet=U0&amp;row=7222&amp;col=6&amp;number=4.8&amp;sourceID=14","4.8")</f>
        <v>4.8</v>
      </c>
      <c r="G7222" s="4" t="str">
        <f>HYPERLINK("http://141.218.60.56/~jnz1568/getInfo.php?workbook=14_04.xlsx&amp;sheet=U0&amp;row=7222&amp;col=7&amp;number=0.000603&amp;sourceID=14","0.000603")</f>
        <v>0.000603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HYPERLINK("http://141.218.60.56/~jnz1568/getInfo.php?workbook=14_04.xlsx&amp;sheet=U0&amp;row=7223&amp;col=6&amp;number=4.9&amp;sourceID=14","4.9")</f>
        <v>4.9</v>
      </c>
      <c r="G7223" s="4" t="str">
        <f>HYPERLINK("http://141.218.60.56/~jnz1568/getInfo.php?workbook=14_04.xlsx&amp;sheet=U0&amp;row=7223&amp;col=7&amp;number=0.0006&amp;sourceID=14","0.0006")</f>
        <v>0.0006</v>
      </c>
    </row>
    <row r="7224" spans="1:7">
      <c r="A7224" s="3">
        <v>14</v>
      </c>
      <c r="B7224" s="3">
        <v>4</v>
      </c>
      <c r="C7224" s="3">
        <v>4</v>
      </c>
      <c r="D7224" s="3">
        <v>81</v>
      </c>
      <c r="E7224" s="3">
        <v>1</v>
      </c>
      <c r="F7224" s="4" t="str">
        <f>HYPERLINK("http://141.218.60.56/~jnz1568/getInfo.php?workbook=14_04.xlsx&amp;sheet=U0&amp;row=7224&amp;col=6&amp;number=3&amp;sourceID=14","3")</f>
        <v>3</v>
      </c>
      <c r="G7224" s="4" t="str">
        <f>HYPERLINK("http://141.218.60.56/~jnz1568/getInfo.php?workbook=14_04.xlsx&amp;sheet=U0&amp;row=7224&amp;col=7&amp;number=0.00503&amp;sourceID=14","0.00503")</f>
        <v>0.00503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HYPERLINK("http://141.218.60.56/~jnz1568/getInfo.php?workbook=14_04.xlsx&amp;sheet=U0&amp;row=7225&amp;col=6&amp;number=3.1&amp;sourceID=14","3.1")</f>
        <v>3.1</v>
      </c>
      <c r="G7225" s="4" t="str">
        <f>HYPERLINK("http://141.218.60.56/~jnz1568/getInfo.php?workbook=14_04.xlsx&amp;sheet=U0&amp;row=7225&amp;col=7&amp;number=0.00503&amp;sourceID=14","0.00503")</f>
        <v>0.00503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HYPERLINK("http://141.218.60.56/~jnz1568/getInfo.php?workbook=14_04.xlsx&amp;sheet=U0&amp;row=7226&amp;col=6&amp;number=3.2&amp;sourceID=14","3.2")</f>
        <v>3.2</v>
      </c>
      <c r="G7226" s="4" t="str">
        <f>HYPERLINK("http://141.218.60.56/~jnz1568/getInfo.php?workbook=14_04.xlsx&amp;sheet=U0&amp;row=7226&amp;col=7&amp;number=0.00503&amp;sourceID=14","0.00503")</f>
        <v>0.00503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HYPERLINK("http://141.218.60.56/~jnz1568/getInfo.php?workbook=14_04.xlsx&amp;sheet=U0&amp;row=7227&amp;col=6&amp;number=3.3&amp;sourceID=14","3.3")</f>
        <v>3.3</v>
      </c>
      <c r="G7227" s="4" t="str">
        <f>HYPERLINK("http://141.218.60.56/~jnz1568/getInfo.php?workbook=14_04.xlsx&amp;sheet=U0&amp;row=7227&amp;col=7&amp;number=0.00503&amp;sourceID=14","0.00503")</f>
        <v>0.00503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HYPERLINK("http://141.218.60.56/~jnz1568/getInfo.php?workbook=14_04.xlsx&amp;sheet=U0&amp;row=7228&amp;col=6&amp;number=3.4&amp;sourceID=14","3.4")</f>
        <v>3.4</v>
      </c>
      <c r="G7228" s="4" t="str">
        <f>HYPERLINK("http://141.218.60.56/~jnz1568/getInfo.php?workbook=14_04.xlsx&amp;sheet=U0&amp;row=7228&amp;col=7&amp;number=0.00503&amp;sourceID=14","0.00503")</f>
        <v>0.00503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HYPERLINK("http://141.218.60.56/~jnz1568/getInfo.php?workbook=14_04.xlsx&amp;sheet=U0&amp;row=7229&amp;col=6&amp;number=3.5&amp;sourceID=14","3.5")</f>
        <v>3.5</v>
      </c>
      <c r="G7229" s="4" t="str">
        <f>HYPERLINK("http://141.218.60.56/~jnz1568/getInfo.php?workbook=14_04.xlsx&amp;sheet=U0&amp;row=7229&amp;col=7&amp;number=0.00503&amp;sourceID=14","0.00503")</f>
        <v>0.00503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HYPERLINK("http://141.218.60.56/~jnz1568/getInfo.php?workbook=14_04.xlsx&amp;sheet=U0&amp;row=7230&amp;col=6&amp;number=3.6&amp;sourceID=14","3.6")</f>
        <v>3.6</v>
      </c>
      <c r="G7230" s="4" t="str">
        <f>HYPERLINK("http://141.218.60.56/~jnz1568/getInfo.php?workbook=14_04.xlsx&amp;sheet=U0&amp;row=7230&amp;col=7&amp;number=0.00503&amp;sourceID=14","0.00503")</f>
        <v>0.00503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HYPERLINK("http://141.218.60.56/~jnz1568/getInfo.php?workbook=14_04.xlsx&amp;sheet=U0&amp;row=7231&amp;col=6&amp;number=3.7&amp;sourceID=14","3.7")</f>
        <v>3.7</v>
      </c>
      <c r="G7231" s="4" t="str">
        <f>HYPERLINK("http://141.218.60.56/~jnz1568/getInfo.php?workbook=14_04.xlsx&amp;sheet=U0&amp;row=7231&amp;col=7&amp;number=0.00503&amp;sourceID=14","0.00503")</f>
        <v>0.00503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HYPERLINK("http://141.218.60.56/~jnz1568/getInfo.php?workbook=14_04.xlsx&amp;sheet=U0&amp;row=7232&amp;col=6&amp;number=3.8&amp;sourceID=14","3.8")</f>
        <v>3.8</v>
      </c>
      <c r="G7232" s="4" t="str">
        <f>HYPERLINK("http://141.218.60.56/~jnz1568/getInfo.php?workbook=14_04.xlsx&amp;sheet=U0&amp;row=7232&amp;col=7&amp;number=0.00503&amp;sourceID=14","0.00503")</f>
        <v>0.00503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HYPERLINK("http://141.218.60.56/~jnz1568/getInfo.php?workbook=14_04.xlsx&amp;sheet=U0&amp;row=7233&amp;col=6&amp;number=3.9&amp;sourceID=14","3.9")</f>
        <v>3.9</v>
      </c>
      <c r="G7233" s="4" t="str">
        <f>HYPERLINK("http://141.218.60.56/~jnz1568/getInfo.php?workbook=14_04.xlsx&amp;sheet=U0&amp;row=7233&amp;col=7&amp;number=0.00502&amp;sourceID=14","0.00502")</f>
        <v>0.00502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HYPERLINK("http://141.218.60.56/~jnz1568/getInfo.php?workbook=14_04.xlsx&amp;sheet=U0&amp;row=7234&amp;col=6&amp;number=4&amp;sourceID=14","4")</f>
        <v>4</v>
      </c>
      <c r="G7234" s="4" t="str">
        <f>HYPERLINK("http://141.218.60.56/~jnz1568/getInfo.php?workbook=14_04.xlsx&amp;sheet=U0&amp;row=7234&amp;col=7&amp;number=0.00502&amp;sourceID=14","0.00502")</f>
        <v>0.00502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HYPERLINK("http://141.218.60.56/~jnz1568/getInfo.php?workbook=14_04.xlsx&amp;sheet=U0&amp;row=7235&amp;col=6&amp;number=4.1&amp;sourceID=14","4.1")</f>
        <v>4.1</v>
      </c>
      <c r="G7235" s="4" t="str">
        <f>HYPERLINK("http://141.218.60.56/~jnz1568/getInfo.php?workbook=14_04.xlsx&amp;sheet=U0&amp;row=7235&amp;col=7&amp;number=0.00502&amp;sourceID=14","0.00502")</f>
        <v>0.00502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HYPERLINK("http://141.218.60.56/~jnz1568/getInfo.php?workbook=14_04.xlsx&amp;sheet=U0&amp;row=7236&amp;col=6&amp;number=4.2&amp;sourceID=14","4.2")</f>
        <v>4.2</v>
      </c>
      <c r="G7236" s="4" t="str">
        <f>HYPERLINK("http://141.218.60.56/~jnz1568/getInfo.php?workbook=14_04.xlsx&amp;sheet=U0&amp;row=7236&amp;col=7&amp;number=0.00501&amp;sourceID=14","0.00501")</f>
        <v>0.00501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HYPERLINK("http://141.218.60.56/~jnz1568/getInfo.php?workbook=14_04.xlsx&amp;sheet=U0&amp;row=7237&amp;col=6&amp;number=4.3&amp;sourceID=14","4.3")</f>
        <v>4.3</v>
      </c>
      <c r="G7237" s="4" t="str">
        <f>HYPERLINK("http://141.218.60.56/~jnz1568/getInfo.php?workbook=14_04.xlsx&amp;sheet=U0&amp;row=7237&amp;col=7&amp;number=0.00501&amp;sourceID=14","0.00501")</f>
        <v>0.00501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HYPERLINK("http://141.218.60.56/~jnz1568/getInfo.php?workbook=14_04.xlsx&amp;sheet=U0&amp;row=7238&amp;col=6&amp;number=4.4&amp;sourceID=14","4.4")</f>
        <v>4.4</v>
      </c>
      <c r="G7238" s="4" t="str">
        <f>HYPERLINK("http://141.218.60.56/~jnz1568/getInfo.php?workbook=14_04.xlsx&amp;sheet=U0&amp;row=7238&amp;col=7&amp;number=0.005&amp;sourceID=14","0.005")</f>
        <v>0.005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HYPERLINK("http://141.218.60.56/~jnz1568/getInfo.php?workbook=14_04.xlsx&amp;sheet=U0&amp;row=7239&amp;col=6&amp;number=4.5&amp;sourceID=14","4.5")</f>
        <v>4.5</v>
      </c>
      <c r="G7239" s="4" t="str">
        <f>HYPERLINK("http://141.218.60.56/~jnz1568/getInfo.php?workbook=14_04.xlsx&amp;sheet=U0&amp;row=7239&amp;col=7&amp;number=0.00499&amp;sourceID=14","0.00499")</f>
        <v>0.00499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HYPERLINK("http://141.218.60.56/~jnz1568/getInfo.php?workbook=14_04.xlsx&amp;sheet=U0&amp;row=7240&amp;col=6&amp;number=4.6&amp;sourceID=14","4.6")</f>
        <v>4.6</v>
      </c>
      <c r="G7240" s="4" t="str">
        <f>HYPERLINK("http://141.218.60.56/~jnz1568/getInfo.php?workbook=14_04.xlsx&amp;sheet=U0&amp;row=7240&amp;col=7&amp;number=0.00498&amp;sourceID=14","0.00498")</f>
        <v>0.00498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HYPERLINK("http://141.218.60.56/~jnz1568/getInfo.php?workbook=14_04.xlsx&amp;sheet=U0&amp;row=7241&amp;col=6&amp;number=4.7&amp;sourceID=14","4.7")</f>
        <v>4.7</v>
      </c>
      <c r="G7241" s="4" t="str">
        <f>HYPERLINK("http://141.218.60.56/~jnz1568/getInfo.php?workbook=14_04.xlsx&amp;sheet=U0&amp;row=7241&amp;col=7&amp;number=0.00497&amp;sourceID=14","0.00497")</f>
        <v>0.00497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HYPERLINK("http://141.218.60.56/~jnz1568/getInfo.php?workbook=14_04.xlsx&amp;sheet=U0&amp;row=7242&amp;col=6&amp;number=4.8&amp;sourceID=14","4.8")</f>
        <v>4.8</v>
      </c>
      <c r="G7242" s="4" t="str">
        <f>HYPERLINK("http://141.218.60.56/~jnz1568/getInfo.php?workbook=14_04.xlsx&amp;sheet=U0&amp;row=7242&amp;col=7&amp;number=0.00496&amp;sourceID=14","0.00496")</f>
        <v>0.00496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HYPERLINK("http://141.218.60.56/~jnz1568/getInfo.php?workbook=14_04.xlsx&amp;sheet=U0&amp;row=7243&amp;col=6&amp;number=4.9&amp;sourceID=14","4.9")</f>
        <v>4.9</v>
      </c>
      <c r="G7243" s="4" t="str">
        <f>HYPERLINK("http://141.218.60.56/~jnz1568/getInfo.php?workbook=14_04.xlsx&amp;sheet=U0&amp;row=7243&amp;col=7&amp;number=0.00494&amp;sourceID=14","0.00494")</f>
        <v>0.00494</v>
      </c>
    </row>
    <row r="7244" spans="1:7">
      <c r="A7244" s="3">
        <v>14</v>
      </c>
      <c r="B7244" s="3">
        <v>4</v>
      </c>
      <c r="C7244" s="3">
        <v>4</v>
      </c>
      <c r="D7244" s="3">
        <v>82</v>
      </c>
      <c r="E7244" s="3">
        <v>1</v>
      </c>
      <c r="F7244" s="4" t="str">
        <f>HYPERLINK("http://141.218.60.56/~jnz1568/getInfo.php?workbook=14_04.xlsx&amp;sheet=U0&amp;row=7244&amp;col=6&amp;number=3&amp;sourceID=14","3")</f>
        <v>3</v>
      </c>
      <c r="G7244" s="4" t="str">
        <f>HYPERLINK("http://141.218.60.56/~jnz1568/getInfo.php?workbook=14_04.xlsx&amp;sheet=U0&amp;row=7244&amp;col=7&amp;number=0.00202&amp;sourceID=14","0.00202")</f>
        <v>0.00202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HYPERLINK("http://141.218.60.56/~jnz1568/getInfo.php?workbook=14_04.xlsx&amp;sheet=U0&amp;row=7245&amp;col=6&amp;number=3.1&amp;sourceID=14","3.1")</f>
        <v>3.1</v>
      </c>
      <c r="G7245" s="4" t="str">
        <f>HYPERLINK("http://141.218.60.56/~jnz1568/getInfo.php?workbook=14_04.xlsx&amp;sheet=U0&amp;row=7245&amp;col=7&amp;number=0.00202&amp;sourceID=14","0.00202")</f>
        <v>0.00202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HYPERLINK("http://141.218.60.56/~jnz1568/getInfo.php?workbook=14_04.xlsx&amp;sheet=U0&amp;row=7246&amp;col=6&amp;number=3.2&amp;sourceID=14","3.2")</f>
        <v>3.2</v>
      </c>
      <c r="G7246" s="4" t="str">
        <f>HYPERLINK("http://141.218.60.56/~jnz1568/getInfo.php?workbook=14_04.xlsx&amp;sheet=U0&amp;row=7246&amp;col=7&amp;number=0.00202&amp;sourceID=14","0.00202")</f>
        <v>0.00202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HYPERLINK("http://141.218.60.56/~jnz1568/getInfo.php?workbook=14_04.xlsx&amp;sheet=U0&amp;row=7247&amp;col=6&amp;number=3.3&amp;sourceID=14","3.3")</f>
        <v>3.3</v>
      </c>
      <c r="G7247" s="4" t="str">
        <f>HYPERLINK("http://141.218.60.56/~jnz1568/getInfo.php?workbook=14_04.xlsx&amp;sheet=U0&amp;row=7247&amp;col=7&amp;number=0.00202&amp;sourceID=14","0.00202")</f>
        <v>0.00202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HYPERLINK("http://141.218.60.56/~jnz1568/getInfo.php?workbook=14_04.xlsx&amp;sheet=U0&amp;row=7248&amp;col=6&amp;number=3.4&amp;sourceID=14","3.4")</f>
        <v>3.4</v>
      </c>
      <c r="G7248" s="4" t="str">
        <f>HYPERLINK("http://141.218.60.56/~jnz1568/getInfo.php?workbook=14_04.xlsx&amp;sheet=U0&amp;row=7248&amp;col=7&amp;number=0.00202&amp;sourceID=14","0.00202")</f>
        <v>0.00202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HYPERLINK("http://141.218.60.56/~jnz1568/getInfo.php?workbook=14_04.xlsx&amp;sheet=U0&amp;row=7249&amp;col=6&amp;number=3.5&amp;sourceID=14","3.5")</f>
        <v>3.5</v>
      </c>
      <c r="G7249" s="4" t="str">
        <f>HYPERLINK("http://141.218.60.56/~jnz1568/getInfo.php?workbook=14_04.xlsx&amp;sheet=U0&amp;row=7249&amp;col=7&amp;number=0.00202&amp;sourceID=14","0.00202")</f>
        <v>0.00202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HYPERLINK("http://141.218.60.56/~jnz1568/getInfo.php?workbook=14_04.xlsx&amp;sheet=U0&amp;row=7250&amp;col=6&amp;number=3.6&amp;sourceID=14","3.6")</f>
        <v>3.6</v>
      </c>
      <c r="G7250" s="4" t="str">
        <f>HYPERLINK("http://141.218.60.56/~jnz1568/getInfo.php?workbook=14_04.xlsx&amp;sheet=U0&amp;row=7250&amp;col=7&amp;number=0.00202&amp;sourceID=14","0.00202")</f>
        <v>0.00202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HYPERLINK("http://141.218.60.56/~jnz1568/getInfo.php?workbook=14_04.xlsx&amp;sheet=U0&amp;row=7251&amp;col=6&amp;number=3.7&amp;sourceID=14","3.7")</f>
        <v>3.7</v>
      </c>
      <c r="G7251" s="4" t="str">
        <f>HYPERLINK("http://141.218.60.56/~jnz1568/getInfo.php?workbook=14_04.xlsx&amp;sheet=U0&amp;row=7251&amp;col=7&amp;number=0.00202&amp;sourceID=14","0.00202")</f>
        <v>0.00202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HYPERLINK("http://141.218.60.56/~jnz1568/getInfo.php?workbook=14_04.xlsx&amp;sheet=U0&amp;row=7252&amp;col=6&amp;number=3.8&amp;sourceID=14","3.8")</f>
        <v>3.8</v>
      </c>
      <c r="G7252" s="4" t="str">
        <f>HYPERLINK("http://141.218.60.56/~jnz1568/getInfo.php?workbook=14_04.xlsx&amp;sheet=U0&amp;row=7252&amp;col=7&amp;number=0.00201&amp;sourceID=14","0.00201")</f>
        <v>0.00201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HYPERLINK("http://141.218.60.56/~jnz1568/getInfo.php?workbook=14_04.xlsx&amp;sheet=U0&amp;row=7253&amp;col=6&amp;number=3.9&amp;sourceID=14","3.9")</f>
        <v>3.9</v>
      </c>
      <c r="G7253" s="4" t="str">
        <f>HYPERLINK("http://141.218.60.56/~jnz1568/getInfo.php?workbook=14_04.xlsx&amp;sheet=U0&amp;row=7253&amp;col=7&amp;number=0.00201&amp;sourceID=14","0.00201")</f>
        <v>0.00201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HYPERLINK("http://141.218.60.56/~jnz1568/getInfo.php?workbook=14_04.xlsx&amp;sheet=U0&amp;row=7254&amp;col=6&amp;number=4&amp;sourceID=14","4")</f>
        <v>4</v>
      </c>
      <c r="G7254" s="4" t="str">
        <f>HYPERLINK("http://141.218.60.56/~jnz1568/getInfo.php?workbook=14_04.xlsx&amp;sheet=U0&amp;row=7254&amp;col=7&amp;number=0.00201&amp;sourceID=14","0.00201")</f>
        <v>0.00201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HYPERLINK("http://141.218.60.56/~jnz1568/getInfo.php?workbook=14_04.xlsx&amp;sheet=U0&amp;row=7255&amp;col=6&amp;number=4.1&amp;sourceID=14","4.1")</f>
        <v>4.1</v>
      </c>
      <c r="G7255" s="4" t="str">
        <f>HYPERLINK("http://141.218.60.56/~jnz1568/getInfo.php?workbook=14_04.xlsx&amp;sheet=U0&amp;row=7255&amp;col=7&amp;number=0.00201&amp;sourceID=14","0.00201")</f>
        <v>0.00201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HYPERLINK("http://141.218.60.56/~jnz1568/getInfo.php?workbook=14_04.xlsx&amp;sheet=U0&amp;row=7256&amp;col=6&amp;number=4.2&amp;sourceID=14","4.2")</f>
        <v>4.2</v>
      </c>
      <c r="G7256" s="4" t="str">
        <f>HYPERLINK("http://141.218.60.56/~jnz1568/getInfo.php?workbook=14_04.xlsx&amp;sheet=U0&amp;row=7256&amp;col=7&amp;number=0.00201&amp;sourceID=14","0.00201")</f>
        <v>0.00201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HYPERLINK("http://141.218.60.56/~jnz1568/getInfo.php?workbook=14_04.xlsx&amp;sheet=U0&amp;row=7257&amp;col=6&amp;number=4.3&amp;sourceID=14","4.3")</f>
        <v>4.3</v>
      </c>
      <c r="G7257" s="4" t="str">
        <f>HYPERLINK("http://141.218.60.56/~jnz1568/getInfo.php?workbook=14_04.xlsx&amp;sheet=U0&amp;row=7257&amp;col=7&amp;number=0.00201&amp;sourceID=14","0.00201")</f>
        <v>0.00201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HYPERLINK("http://141.218.60.56/~jnz1568/getInfo.php?workbook=14_04.xlsx&amp;sheet=U0&amp;row=7258&amp;col=6&amp;number=4.4&amp;sourceID=14","4.4")</f>
        <v>4.4</v>
      </c>
      <c r="G7258" s="4" t="str">
        <f>HYPERLINK("http://141.218.60.56/~jnz1568/getInfo.php?workbook=14_04.xlsx&amp;sheet=U0&amp;row=7258&amp;col=7&amp;number=0.002&amp;sourceID=14","0.002")</f>
        <v>0.002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HYPERLINK("http://141.218.60.56/~jnz1568/getInfo.php?workbook=14_04.xlsx&amp;sheet=U0&amp;row=7259&amp;col=6&amp;number=4.5&amp;sourceID=14","4.5")</f>
        <v>4.5</v>
      </c>
      <c r="G7259" s="4" t="str">
        <f>HYPERLINK("http://141.218.60.56/~jnz1568/getInfo.php?workbook=14_04.xlsx&amp;sheet=U0&amp;row=7259&amp;col=7&amp;number=0.002&amp;sourceID=14","0.002")</f>
        <v>0.002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HYPERLINK("http://141.218.60.56/~jnz1568/getInfo.php?workbook=14_04.xlsx&amp;sheet=U0&amp;row=7260&amp;col=6&amp;number=4.6&amp;sourceID=14","4.6")</f>
        <v>4.6</v>
      </c>
      <c r="G7260" s="4" t="str">
        <f>HYPERLINK("http://141.218.60.56/~jnz1568/getInfo.php?workbook=14_04.xlsx&amp;sheet=U0&amp;row=7260&amp;col=7&amp;number=0.002&amp;sourceID=14","0.002")</f>
        <v>0.002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HYPERLINK("http://141.218.60.56/~jnz1568/getInfo.php?workbook=14_04.xlsx&amp;sheet=U0&amp;row=7261&amp;col=6&amp;number=4.7&amp;sourceID=14","4.7")</f>
        <v>4.7</v>
      </c>
      <c r="G7261" s="4" t="str">
        <f>HYPERLINK("http://141.218.60.56/~jnz1568/getInfo.php?workbook=14_04.xlsx&amp;sheet=U0&amp;row=7261&amp;col=7&amp;number=0.00199&amp;sourceID=14","0.00199")</f>
        <v>0.00199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HYPERLINK("http://141.218.60.56/~jnz1568/getInfo.php?workbook=14_04.xlsx&amp;sheet=U0&amp;row=7262&amp;col=6&amp;number=4.8&amp;sourceID=14","4.8")</f>
        <v>4.8</v>
      </c>
      <c r="G7262" s="4" t="str">
        <f>HYPERLINK("http://141.218.60.56/~jnz1568/getInfo.php?workbook=14_04.xlsx&amp;sheet=U0&amp;row=7262&amp;col=7&amp;number=0.00198&amp;sourceID=14","0.00198")</f>
        <v>0.00198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HYPERLINK("http://141.218.60.56/~jnz1568/getInfo.php?workbook=14_04.xlsx&amp;sheet=U0&amp;row=7263&amp;col=6&amp;number=4.9&amp;sourceID=14","4.9")</f>
        <v>4.9</v>
      </c>
      <c r="G7263" s="4" t="str">
        <f>HYPERLINK("http://141.218.60.56/~jnz1568/getInfo.php?workbook=14_04.xlsx&amp;sheet=U0&amp;row=7263&amp;col=7&amp;number=0.00198&amp;sourceID=14","0.00198")</f>
        <v>0.00198</v>
      </c>
    </row>
    <row r="7264" spans="1:7">
      <c r="A7264" s="3">
        <v>14</v>
      </c>
      <c r="B7264" s="3">
        <v>4</v>
      </c>
      <c r="C7264" s="3">
        <v>4</v>
      </c>
      <c r="D7264" s="3">
        <v>83</v>
      </c>
      <c r="E7264" s="3">
        <v>1</v>
      </c>
      <c r="F7264" s="4" t="str">
        <f>HYPERLINK("http://141.218.60.56/~jnz1568/getInfo.php?workbook=14_04.xlsx&amp;sheet=U0&amp;row=7264&amp;col=6&amp;number=3&amp;sourceID=14","3")</f>
        <v>3</v>
      </c>
      <c r="G7264" s="4" t="str">
        <f>HYPERLINK("http://141.218.60.56/~jnz1568/getInfo.php?workbook=14_04.xlsx&amp;sheet=U0&amp;row=7264&amp;col=7&amp;number=0.00115&amp;sourceID=14","0.00115")</f>
        <v>0.00115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HYPERLINK("http://141.218.60.56/~jnz1568/getInfo.php?workbook=14_04.xlsx&amp;sheet=U0&amp;row=7265&amp;col=6&amp;number=3.1&amp;sourceID=14","3.1")</f>
        <v>3.1</v>
      </c>
      <c r="G7265" s="4" t="str">
        <f>HYPERLINK("http://141.218.60.56/~jnz1568/getInfo.php?workbook=14_04.xlsx&amp;sheet=U0&amp;row=7265&amp;col=7&amp;number=0.00115&amp;sourceID=14","0.00115")</f>
        <v>0.00115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HYPERLINK("http://141.218.60.56/~jnz1568/getInfo.php?workbook=14_04.xlsx&amp;sheet=U0&amp;row=7266&amp;col=6&amp;number=3.2&amp;sourceID=14","3.2")</f>
        <v>3.2</v>
      </c>
      <c r="G7266" s="4" t="str">
        <f>HYPERLINK("http://141.218.60.56/~jnz1568/getInfo.php?workbook=14_04.xlsx&amp;sheet=U0&amp;row=7266&amp;col=7&amp;number=0.00115&amp;sourceID=14","0.00115")</f>
        <v>0.00115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HYPERLINK("http://141.218.60.56/~jnz1568/getInfo.php?workbook=14_04.xlsx&amp;sheet=U0&amp;row=7267&amp;col=6&amp;number=3.3&amp;sourceID=14","3.3")</f>
        <v>3.3</v>
      </c>
      <c r="G7267" s="4" t="str">
        <f>HYPERLINK("http://141.218.60.56/~jnz1568/getInfo.php?workbook=14_04.xlsx&amp;sheet=U0&amp;row=7267&amp;col=7&amp;number=0.00115&amp;sourceID=14","0.00115")</f>
        <v>0.00115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HYPERLINK("http://141.218.60.56/~jnz1568/getInfo.php?workbook=14_04.xlsx&amp;sheet=U0&amp;row=7268&amp;col=6&amp;number=3.4&amp;sourceID=14","3.4")</f>
        <v>3.4</v>
      </c>
      <c r="G7268" s="4" t="str">
        <f>HYPERLINK("http://141.218.60.56/~jnz1568/getInfo.php?workbook=14_04.xlsx&amp;sheet=U0&amp;row=7268&amp;col=7&amp;number=0.00115&amp;sourceID=14","0.00115")</f>
        <v>0.00115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HYPERLINK("http://141.218.60.56/~jnz1568/getInfo.php?workbook=14_04.xlsx&amp;sheet=U0&amp;row=7269&amp;col=6&amp;number=3.5&amp;sourceID=14","3.5")</f>
        <v>3.5</v>
      </c>
      <c r="G7269" s="4" t="str">
        <f>HYPERLINK("http://141.218.60.56/~jnz1568/getInfo.php?workbook=14_04.xlsx&amp;sheet=U0&amp;row=7269&amp;col=7&amp;number=0.00115&amp;sourceID=14","0.00115")</f>
        <v>0.00115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HYPERLINK("http://141.218.60.56/~jnz1568/getInfo.php?workbook=14_04.xlsx&amp;sheet=U0&amp;row=7270&amp;col=6&amp;number=3.6&amp;sourceID=14","3.6")</f>
        <v>3.6</v>
      </c>
      <c r="G7270" s="4" t="str">
        <f>HYPERLINK("http://141.218.60.56/~jnz1568/getInfo.php?workbook=14_04.xlsx&amp;sheet=U0&amp;row=7270&amp;col=7&amp;number=0.00115&amp;sourceID=14","0.00115")</f>
        <v>0.00115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HYPERLINK("http://141.218.60.56/~jnz1568/getInfo.php?workbook=14_04.xlsx&amp;sheet=U0&amp;row=7271&amp;col=6&amp;number=3.7&amp;sourceID=14","3.7")</f>
        <v>3.7</v>
      </c>
      <c r="G7271" s="4" t="str">
        <f>HYPERLINK("http://141.218.60.56/~jnz1568/getInfo.php?workbook=14_04.xlsx&amp;sheet=U0&amp;row=7271&amp;col=7&amp;number=0.00115&amp;sourceID=14","0.00115")</f>
        <v>0.00115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HYPERLINK("http://141.218.60.56/~jnz1568/getInfo.php?workbook=14_04.xlsx&amp;sheet=U0&amp;row=7272&amp;col=6&amp;number=3.8&amp;sourceID=14","3.8")</f>
        <v>3.8</v>
      </c>
      <c r="G7272" s="4" t="str">
        <f>HYPERLINK("http://141.218.60.56/~jnz1568/getInfo.php?workbook=14_04.xlsx&amp;sheet=U0&amp;row=7272&amp;col=7&amp;number=0.00115&amp;sourceID=14","0.00115")</f>
        <v>0.00115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HYPERLINK("http://141.218.60.56/~jnz1568/getInfo.php?workbook=14_04.xlsx&amp;sheet=U0&amp;row=7273&amp;col=6&amp;number=3.9&amp;sourceID=14","3.9")</f>
        <v>3.9</v>
      </c>
      <c r="G7273" s="4" t="str">
        <f>HYPERLINK("http://141.218.60.56/~jnz1568/getInfo.php?workbook=14_04.xlsx&amp;sheet=U0&amp;row=7273&amp;col=7&amp;number=0.00115&amp;sourceID=14","0.00115")</f>
        <v>0.00115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HYPERLINK("http://141.218.60.56/~jnz1568/getInfo.php?workbook=14_04.xlsx&amp;sheet=U0&amp;row=7274&amp;col=6&amp;number=4&amp;sourceID=14","4")</f>
        <v>4</v>
      </c>
      <c r="G7274" s="4" t="str">
        <f>HYPERLINK("http://141.218.60.56/~jnz1568/getInfo.php?workbook=14_04.xlsx&amp;sheet=U0&amp;row=7274&amp;col=7&amp;number=0.00115&amp;sourceID=14","0.00115")</f>
        <v>0.00115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HYPERLINK("http://141.218.60.56/~jnz1568/getInfo.php?workbook=14_04.xlsx&amp;sheet=U0&amp;row=7275&amp;col=6&amp;number=4.1&amp;sourceID=14","4.1")</f>
        <v>4.1</v>
      </c>
      <c r="G7275" s="4" t="str">
        <f>HYPERLINK("http://141.218.60.56/~jnz1568/getInfo.php?workbook=14_04.xlsx&amp;sheet=U0&amp;row=7275&amp;col=7&amp;number=0.00115&amp;sourceID=14","0.00115")</f>
        <v>0.00115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HYPERLINK("http://141.218.60.56/~jnz1568/getInfo.php?workbook=14_04.xlsx&amp;sheet=U0&amp;row=7276&amp;col=6&amp;number=4.2&amp;sourceID=14","4.2")</f>
        <v>4.2</v>
      </c>
      <c r="G7276" s="4" t="str">
        <f>HYPERLINK("http://141.218.60.56/~jnz1568/getInfo.php?workbook=14_04.xlsx&amp;sheet=U0&amp;row=7276&amp;col=7&amp;number=0.00115&amp;sourceID=14","0.00115")</f>
        <v>0.00115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HYPERLINK("http://141.218.60.56/~jnz1568/getInfo.php?workbook=14_04.xlsx&amp;sheet=U0&amp;row=7277&amp;col=6&amp;number=4.3&amp;sourceID=14","4.3")</f>
        <v>4.3</v>
      </c>
      <c r="G7277" s="4" t="str">
        <f>HYPERLINK("http://141.218.60.56/~jnz1568/getInfo.php?workbook=14_04.xlsx&amp;sheet=U0&amp;row=7277&amp;col=7&amp;number=0.00115&amp;sourceID=14","0.00115")</f>
        <v>0.00115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HYPERLINK("http://141.218.60.56/~jnz1568/getInfo.php?workbook=14_04.xlsx&amp;sheet=U0&amp;row=7278&amp;col=6&amp;number=4.4&amp;sourceID=14","4.4")</f>
        <v>4.4</v>
      </c>
      <c r="G7278" s="4" t="str">
        <f>HYPERLINK("http://141.218.60.56/~jnz1568/getInfo.php?workbook=14_04.xlsx&amp;sheet=U0&amp;row=7278&amp;col=7&amp;number=0.00115&amp;sourceID=14","0.00115")</f>
        <v>0.00115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HYPERLINK("http://141.218.60.56/~jnz1568/getInfo.php?workbook=14_04.xlsx&amp;sheet=U0&amp;row=7279&amp;col=6&amp;number=4.5&amp;sourceID=14","4.5")</f>
        <v>4.5</v>
      </c>
      <c r="G7279" s="4" t="str">
        <f>HYPERLINK("http://141.218.60.56/~jnz1568/getInfo.php?workbook=14_04.xlsx&amp;sheet=U0&amp;row=7279&amp;col=7&amp;number=0.00115&amp;sourceID=14","0.00115")</f>
        <v>0.00115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HYPERLINK("http://141.218.60.56/~jnz1568/getInfo.php?workbook=14_04.xlsx&amp;sheet=U0&amp;row=7280&amp;col=6&amp;number=4.6&amp;sourceID=14","4.6")</f>
        <v>4.6</v>
      </c>
      <c r="G7280" s="4" t="str">
        <f>HYPERLINK("http://141.218.60.56/~jnz1568/getInfo.php?workbook=14_04.xlsx&amp;sheet=U0&amp;row=7280&amp;col=7&amp;number=0.00115&amp;sourceID=14","0.00115")</f>
        <v>0.00115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HYPERLINK("http://141.218.60.56/~jnz1568/getInfo.php?workbook=14_04.xlsx&amp;sheet=U0&amp;row=7281&amp;col=6&amp;number=4.7&amp;sourceID=14","4.7")</f>
        <v>4.7</v>
      </c>
      <c r="G7281" s="4" t="str">
        <f>HYPERLINK("http://141.218.60.56/~jnz1568/getInfo.php?workbook=14_04.xlsx&amp;sheet=U0&amp;row=7281&amp;col=7&amp;number=0.00115&amp;sourceID=14","0.00115")</f>
        <v>0.00115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HYPERLINK("http://141.218.60.56/~jnz1568/getInfo.php?workbook=14_04.xlsx&amp;sheet=U0&amp;row=7282&amp;col=6&amp;number=4.8&amp;sourceID=14","4.8")</f>
        <v>4.8</v>
      </c>
      <c r="G7282" s="4" t="str">
        <f>HYPERLINK("http://141.218.60.56/~jnz1568/getInfo.php?workbook=14_04.xlsx&amp;sheet=U0&amp;row=7282&amp;col=7&amp;number=0.00115&amp;sourceID=14","0.00115")</f>
        <v>0.00115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HYPERLINK("http://141.218.60.56/~jnz1568/getInfo.php?workbook=14_04.xlsx&amp;sheet=U0&amp;row=7283&amp;col=6&amp;number=4.9&amp;sourceID=14","4.9")</f>
        <v>4.9</v>
      </c>
      <c r="G7283" s="4" t="str">
        <f>HYPERLINK("http://141.218.60.56/~jnz1568/getInfo.php?workbook=14_04.xlsx&amp;sheet=U0&amp;row=7283&amp;col=7&amp;number=0.00114&amp;sourceID=14","0.00114")</f>
        <v>0.00114</v>
      </c>
    </row>
    <row r="7284" spans="1:7">
      <c r="A7284" s="3">
        <v>14</v>
      </c>
      <c r="B7284" s="3">
        <v>4</v>
      </c>
      <c r="C7284" s="3">
        <v>4</v>
      </c>
      <c r="D7284" s="3">
        <v>84</v>
      </c>
      <c r="E7284" s="3">
        <v>1</v>
      </c>
      <c r="F7284" s="4" t="str">
        <f>HYPERLINK("http://141.218.60.56/~jnz1568/getInfo.php?workbook=14_04.xlsx&amp;sheet=U0&amp;row=7284&amp;col=6&amp;number=3&amp;sourceID=14","3")</f>
        <v>3</v>
      </c>
      <c r="G7284" s="4" t="str">
        <f>HYPERLINK("http://141.218.60.56/~jnz1568/getInfo.php?workbook=14_04.xlsx&amp;sheet=U0&amp;row=7284&amp;col=7&amp;number=0.00048&amp;sourceID=14","0.00048")</f>
        <v>0.00048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HYPERLINK("http://141.218.60.56/~jnz1568/getInfo.php?workbook=14_04.xlsx&amp;sheet=U0&amp;row=7285&amp;col=6&amp;number=3.1&amp;sourceID=14","3.1")</f>
        <v>3.1</v>
      </c>
      <c r="G7285" s="4" t="str">
        <f>HYPERLINK("http://141.218.60.56/~jnz1568/getInfo.php?workbook=14_04.xlsx&amp;sheet=U0&amp;row=7285&amp;col=7&amp;number=0.00048&amp;sourceID=14","0.00048")</f>
        <v>0.00048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HYPERLINK("http://141.218.60.56/~jnz1568/getInfo.php?workbook=14_04.xlsx&amp;sheet=U0&amp;row=7286&amp;col=6&amp;number=3.2&amp;sourceID=14","3.2")</f>
        <v>3.2</v>
      </c>
      <c r="G7286" s="4" t="str">
        <f>HYPERLINK("http://141.218.60.56/~jnz1568/getInfo.php?workbook=14_04.xlsx&amp;sheet=U0&amp;row=7286&amp;col=7&amp;number=0.00048&amp;sourceID=14","0.00048")</f>
        <v>0.00048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HYPERLINK("http://141.218.60.56/~jnz1568/getInfo.php?workbook=14_04.xlsx&amp;sheet=U0&amp;row=7287&amp;col=6&amp;number=3.3&amp;sourceID=14","3.3")</f>
        <v>3.3</v>
      </c>
      <c r="G7287" s="4" t="str">
        <f>HYPERLINK("http://141.218.60.56/~jnz1568/getInfo.php?workbook=14_04.xlsx&amp;sheet=U0&amp;row=7287&amp;col=7&amp;number=0.00048&amp;sourceID=14","0.00048")</f>
        <v>0.00048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HYPERLINK("http://141.218.60.56/~jnz1568/getInfo.php?workbook=14_04.xlsx&amp;sheet=U0&amp;row=7288&amp;col=6&amp;number=3.4&amp;sourceID=14","3.4")</f>
        <v>3.4</v>
      </c>
      <c r="G7288" s="4" t="str">
        <f>HYPERLINK("http://141.218.60.56/~jnz1568/getInfo.php?workbook=14_04.xlsx&amp;sheet=U0&amp;row=7288&amp;col=7&amp;number=0.00048&amp;sourceID=14","0.00048")</f>
        <v>0.00048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HYPERLINK("http://141.218.60.56/~jnz1568/getInfo.php?workbook=14_04.xlsx&amp;sheet=U0&amp;row=7289&amp;col=6&amp;number=3.5&amp;sourceID=14","3.5")</f>
        <v>3.5</v>
      </c>
      <c r="G7289" s="4" t="str">
        <f>HYPERLINK("http://141.218.60.56/~jnz1568/getInfo.php?workbook=14_04.xlsx&amp;sheet=U0&amp;row=7289&amp;col=7&amp;number=0.000479&amp;sourceID=14","0.000479")</f>
        <v>0.000479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HYPERLINK("http://141.218.60.56/~jnz1568/getInfo.php?workbook=14_04.xlsx&amp;sheet=U0&amp;row=7290&amp;col=6&amp;number=3.6&amp;sourceID=14","3.6")</f>
        <v>3.6</v>
      </c>
      <c r="G7290" s="4" t="str">
        <f>HYPERLINK("http://141.218.60.56/~jnz1568/getInfo.php?workbook=14_04.xlsx&amp;sheet=U0&amp;row=7290&amp;col=7&amp;number=0.000479&amp;sourceID=14","0.000479")</f>
        <v>0.000479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HYPERLINK("http://141.218.60.56/~jnz1568/getInfo.php?workbook=14_04.xlsx&amp;sheet=U0&amp;row=7291&amp;col=6&amp;number=3.7&amp;sourceID=14","3.7")</f>
        <v>3.7</v>
      </c>
      <c r="G7291" s="4" t="str">
        <f>HYPERLINK("http://141.218.60.56/~jnz1568/getInfo.php?workbook=14_04.xlsx&amp;sheet=U0&amp;row=7291&amp;col=7&amp;number=0.000479&amp;sourceID=14","0.000479")</f>
        <v>0.000479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HYPERLINK("http://141.218.60.56/~jnz1568/getInfo.php?workbook=14_04.xlsx&amp;sheet=U0&amp;row=7292&amp;col=6&amp;number=3.8&amp;sourceID=14","3.8")</f>
        <v>3.8</v>
      </c>
      <c r="G7292" s="4" t="str">
        <f>HYPERLINK("http://141.218.60.56/~jnz1568/getInfo.php?workbook=14_04.xlsx&amp;sheet=U0&amp;row=7292&amp;col=7&amp;number=0.000479&amp;sourceID=14","0.000479")</f>
        <v>0.000479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HYPERLINK("http://141.218.60.56/~jnz1568/getInfo.php?workbook=14_04.xlsx&amp;sheet=U0&amp;row=7293&amp;col=6&amp;number=3.9&amp;sourceID=14","3.9")</f>
        <v>3.9</v>
      </c>
      <c r="G7293" s="4" t="str">
        <f>HYPERLINK("http://141.218.60.56/~jnz1568/getInfo.php?workbook=14_04.xlsx&amp;sheet=U0&amp;row=7293&amp;col=7&amp;number=0.000479&amp;sourceID=14","0.000479")</f>
        <v>0.000479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HYPERLINK("http://141.218.60.56/~jnz1568/getInfo.php?workbook=14_04.xlsx&amp;sheet=U0&amp;row=7294&amp;col=6&amp;number=4&amp;sourceID=14","4")</f>
        <v>4</v>
      </c>
      <c r="G7294" s="4" t="str">
        <f>HYPERLINK("http://141.218.60.56/~jnz1568/getInfo.php?workbook=14_04.xlsx&amp;sheet=U0&amp;row=7294&amp;col=7&amp;number=0.000479&amp;sourceID=14","0.000479")</f>
        <v>0.000479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HYPERLINK("http://141.218.60.56/~jnz1568/getInfo.php?workbook=14_04.xlsx&amp;sheet=U0&amp;row=7295&amp;col=6&amp;number=4.1&amp;sourceID=14","4.1")</f>
        <v>4.1</v>
      </c>
      <c r="G7295" s="4" t="str">
        <f>HYPERLINK("http://141.218.60.56/~jnz1568/getInfo.php?workbook=14_04.xlsx&amp;sheet=U0&amp;row=7295&amp;col=7&amp;number=0.000478&amp;sourceID=14","0.000478")</f>
        <v>0.000478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HYPERLINK("http://141.218.60.56/~jnz1568/getInfo.php?workbook=14_04.xlsx&amp;sheet=U0&amp;row=7296&amp;col=6&amp;number=4.2&amp;sourceID=14","4.2")</f>
        <v>4.2</v>
      </c>
      <c r="G7296" s="4" t="str">
        <f>HYPERLINK("http://141.218.60.56/~jnz1568/getInfo.php?workbook=14_04.xlsx&amp;sheet=U0&amp;row=7296&amp;col=7&amp;number=0.000478&amp;sourceID=14","0.000478")</f>
        <v>0.000478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HYPERLINK("http://141.218.60.56/~jnz1568/getInfo.php?workbook=14_04.xlsx&amp;sheet=U0&amp;row=7297&amp;col=6&amp;number=4.3&amp;sourceID=14","4.3")</f>
        <v>4.3</v>
      </c>
      <c r="G7297" s="4" t="str">
        <f>HYPERLINK("http://141.218.60.56/~jnz1568/getInfo.php?workbook=14_04.xlsx&amp;sheet=U0&amp;row=7297&amp;col=7&amp;number=0.000477&amp;sourceID=14","0.000477")</f>
        <v>0.000477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HYPERLINK("http://141.218.60.56/~jnz1568/getInfo.php?workbook=14_04.xlsx&amp;sheet=U0&amp;row=7298&amp;col=6&amp;number=4.4&amp;sourceID=14","4.4")</f>
        <v>4.4</v>
      </c>
      <c r="G7298" s="4" t="str">
        <f>HYPERLINK("http://141.218.60.56/~jnz1568/getInfo.php?workbook=14_04.xlsx&amp;sheet=U0&amp;row=7298&amp;col=7&amp;number=0.000477&amp;sourceID=14","0.000477")</f>
        <v>0.000477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HYPERLINK("http://141.218.60.56/~jnz1568/getInfo.php?workbook=14_04.xlsx&amp;sheet=U0&amp;row=7299&amp;col=6&amp;number=4.5&amp;sourceID=14","4.5")</f>
        <v>4.5</v>
      </c>
      <c r="G7299" s="4" t="str">
        <f>HYPERLINK("http://141.218.60.56/~jnz1568/getInfo.php?workbook=14_04.xlsx&amp;sheet=U0&amp;row=7299&amp;col=7&amp;number=0.000476&amp;sourceID=14","0.000476")</f>
        <v>0.000476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HYPERLINK("http://141.218.60.56/~jnz1568/getInfo.php?workbook=14_04.xlsx&amp;sheet=U0&amp;row=7300&amp;col=6&amp;number=4.6&amp;sourceID=14","4.6")</f>
        <v>4.6</v>
      </c>
      <c r="G7300" s="4" t="str">
        <f>HYPERLINK("http://141.218.60.56/~jnz1568/getInfo.php?workbook=14_04.xlsx&amp;sheet=U0&amp;row=7300&amp;col=7&amp;number=0.000475&amp;sourceID=14","0.000475")</f>
        <v>0.000475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HYPERLINK("http://141.218.60.56/~jnz1568/getInfo.php?workbook=14_04.xlsx&amp;sheet=U0&amp;row=7301&amp;col=6&amp;number=4.7&amp;sourceID=14","4.7")</f>
        <v>4.7</v>
      </c>
      <c r="G7301" s="4" t="str">
        <f>HYPERLINK("http://141.218.60.56/~jnz1568/getInfo.php?workbook=14_04.xlsx&amp;sheet=U0&amp;row=7301&amp;col=7&amp;number=0.000473&amp;sourceID=14","0.000473")</f>
        <v>0.000473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HYPERLINK("http://141.218.60.56/~jnz1568/getInfo.php?workbook=14_04.xlsx&amp;sheet=U0&amp;row=7302&amp;col=6&amp;number=4.8&amp;sourceID=14","4.8")</f>
        <v>4.8</v>
      </c>
      <c r="G7302" s="4" t="str">
        <f>HYPERLINK("http://141.218.60.56/~jnz1568/getInfo.php?workbook=14_04.xlsx&amp;sheet=U0&amp;row=7302&amp;col=7&amp;number=0.000472&amp;sourceID=14","0.000472")</f>
        <v>0.000472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HYPERLINK("http://141.218.60.56/~jnz1568/getInfo.php?workbook=14_04.xlsx&amp;sheet=U0&amp;row=7303&amp;col=6&amp;number=4.9&amp;sourceID=14","4.9")</f>
        <v>4.9</v>
      </c>
      <c r="G7303" s="4" t="str">
        <f>HYPERLINK("http://141.218.60.56/~jnz1568/getInfo.php?workbook=14_04.xlsx&amp;sheet=U0&amp;row=7303&amp;col=7&amp;number=0.000469&amp;sourceID=14","0.000469")</f>
        <v>0.000469</v>
      </c>
    </row>
    <row r="7304" spans="1:7">
      <c r="A7304" s="3">
        <v>14</v>
      </c>
      <c r="B7304" s="3">
        <v>4</v>
      </c>
      <c r="C7304" s="3">
        <v>4</v>
      </c>
      <c r="D7304" s="3">
        <v>85</v>
      </c>
      <c r="E7304" s="3">
        <v>1</v>
      </c>
      <c r="F7304" s="4" t="str">
        <f>HYPERLINK("http://141.218.60.56/~jnz1568/getInfo.php?workbook=14_04.xlsx&amp;sheet=U0&amp;row=7304&amp;col=6&amp;number=3&amp;sourceID=14","3")</f>
        <v>3</v>
      </c>
      <c r="G7304" s="4" t="str">
        <f>HYPERLINK("http://141.218.60.56/~jnz1568/getInfo.php?workbook=14_04.xlsx&amp;sheet=U0&amp;row=7304&amp;col=7&amp;number=0.000455&amp;sourceID=14","0.000455")</f>
        <v>0.000455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HYPERLINK("http://141.218.60.56/~jnz1568/getInfo.php?workbook=14_04.xlsx&amp;sheet=U0&amp;row=7305&amp;col=6&amp;number=3.1&amp;sourceID=14","3.1")</f>
        <v>3.1</v>
      </c>
      <c r="G7305" s="4" t="str">
        <f>HYPERLINK("http://141.218.60.56/~jnz1568/getInfo.php?workbook=14_04.xlsx&amp;sheet=U0&amp;row=7305&amp;col=7&amp;number=0.000455&amp;sourceID=14","0.000455")</f>
        <v>0.000455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HYPERLINK("http://141.218.60.56/~jnz1568/getInfo.php?workbook=14_04.xlsx&amp;sheet=U0&amp;row=7306&amp;col=6&amp;number=3.2&amp;sourceID=14","3.2")</f>
        <v>3.2</v>
      </c>
      <c r="G7306" s="4" t="str">
        <f>HYPERLINK("http://141.218.60.56/~jnz1568/getInfo.php?workbook=14_04.xlsx&amp;sheet=U0&amp;row=7306&amp;col=7&amp;number=0.000455&amp;sourceID=14","0.000455")</f>
        <v>0.000455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HYPERLINK("http://141.218.60.56/~jnz1568/getInfo.php?workbook=14_04.xlsx&amp;sheet=U0&amp;row=7307&amp;col=6&amp;number=3.3&amp;sourceID=14","3.3")</f>
        <v>3.3</v>
      </c>
      <c r="G7307" s="4" t="str">
        <f>HYPERLINK("http://141.218.60.56/~jnz1568/getInfo.php?workbook=14_04.xlsx&amp;sheet=U0&amp;row=7307&amp;col=7&amp;number=0.000455&amp;sourceID=14","0.000455")</f>
        <v>0.000455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HYPERLINK("http://141.218.60.56/~jnz1568/getInfo.php?workbook=14_04.xlsx&amp;sheet=U0&amp;row=7308&amp;col=6&amp;number=3.4&amp;sourceID=14","3.4")</f>
        <v>3.4</v>
      </c>
      <c r="G7308" s="4" t="str">
        <f>HYPERLINK("http://141.218.60.56/~jnz1568/getInfo.php?workbook=14_04.xlsx&amp;sheet=U0&amp;row=7308&amp;col=7&amp;number=0.000455&amp;sourceID=14","0.000455")</f>
        <v>0.000455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HYPERLINK("http://141.218.60.56/~jnz1568/getInfo.php?workbook=14_04.xlsx&amp;sheet=U0&amp;row=7309&amp;col=6&amp;number=3.5&amp;sourceID=14","3.5")</f>
        <v>3.5</v>
      </c>
      <c r="G7309" s="4" t="str">
        <f>HYPERLINK("http://141.218.60.56/~jnz1568/getInfo.php?workbook=14_04.xlsx&amp;sheet=U0&amp;row=7309&amp;col=7&amp;number=0.000455&amp;sourceID=14","0.000455")</f>
        <v>0.000455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HYPERLINK("http://141.218.60.56/~jnz1568/getInfo.php?workbook=14_04.xlsx&amp;sheet=U0&amp;row=7310&amp;col=6&amp;number=3.6&amp;sourceID=14","3.6")</f>
        <v>3.6</v>
      </c>
      <c r="G7310" s="4" t="str">
        <f>HYPERLINK("http://141.218.60.56/~jnz1568/getInfo.php?workbook=14_04.xlsx&amp;sheet=U0&amp;row=7310&amp;col=7&amp;number=0.000455&amp;sourceID=14","0.000455")</f>
        <v>0.000455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HYPERLINK("http://141.218.60.56/~jnz1568/getInfo.php?workbook=14_04.xlsx&amp;sheet=U0&amp;row=7311&amp;col=6&amp;number=3.7&amp;sourceID=14","3.7")</f>
        <v>3.7</v>
      </c>
      <c r="G7311" s="4" t="str">
        <f>HYPERLINK("http://141.218.60.56/~jnz1568/getInfo.php?workbook=14_04.xlsx&amp;sheet=U0&amp;row=7311&amp;col=7&amp;number=0.000455&amp;sourceID=14","0.000455")</f>
        <v>0.000455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HYPERLINK("http://141.218.60.56/~jnz1568/getInfo.php?workbook=14_04.xlsx&amp;sheet=U0&amp;row=7312&amp;col=6&amp;number=3.8&amp;sourceID=14","3.8")</f>
        <v>3.8</v>
      </c>
      <c r="G7312" s="4" t="str">
        <f>HYPERLINK("http://141.218.60.56/~jnz1568/getInfo.php?workbook=14_04.xlsx&amp;sheet=U0&amp;row=7312&amp;col=7&amp;number=0.000455&amp;sourceID=14","0.000455")</f>
        <v>0.000455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HYPERLINK("http://141.218.60.56/~jnz1568/getInfo.php?workbook=14_04.xlsx&amp;sheet=U0&amp;row=7313&amp;col=6&amp;number=3.9&amp;sourceID=14","3.9")</f>
        <v>3.9</v>
      </c>
      <c r="G7313" s="4" t="str">
        <f>HYPERLINK("http://141.218.60.56/~jnz1568/getInfo.php?workbook=14_04.xlsx&amp;sheet=U0&amp;row=7313&amp;col=7&amp;number=0.000455&amp;sourceID=14","0.000455")</f>
        <v>0.000455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HYPERLINK("http://141.218.60.56/~jnz1568/getInfo.php?workbook=14_04.xlsx&amp;sheet=U0&amp;row=7314&amp;col=6&amp;number=4&amp;sourceID=14","4")</f>
        <v>4</v>
      </c>
      <c r="G7314" s="4" t="str">
        <f>HYPERLINK("http://141.218.60.56/~jnz1568/getInfo.php?workbook=14_04.xlsx&amp;sheet=U0&amp;row=7314&amp;col=7&amp;number=0.000455&amp;sourceID=14","0.000455")</f>
        <v>0.000455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HYPERLINK("http://141.218.60.56/~jnz1568/getInfo.php?workbook=14_04.xlsx&amp;sheet=U0&amp;row=7315&amp;col=6&amp;number=4.1&amp;sourceID=14","4.1")</f>
        <v>4.1</v>
      </c>
      <c r="G7315" s="4" t="str">
        <f>HYPERLINK("http://141.218.60.56/~jnz1568/getInfo.php?workbook=14_04.xlsx&amp;sheet=U0&amp;row=7315&amp;col=7&amp;number=0.000455&amp;sourceID=14","0.000455")</f>
        <v>0.000455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HYPERLINK("http://141.218.60.56/~jnz1568/getInfo.php?workbook=14_04.xlsx&amp;sheet=U0&amp;row=7316&amp;col=6&amp;number=4.2&amp;sourceID=14","4.2")</f>
        <v>4.2</v>
      </c>
      <c r="G7316" s="4" t="str">
        <f>HYPERLINK("http://141.218.60.56/~jnz1568/getInfo.php?workbook=14_04.xlsx&amp;sheet=U0&amp;row=7316&amp;col=7&amp;number=0.000455&amp;sourceID=14","0.000455")</f>
        <v>0.000455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HYPERLINK("http://141.218.60.56/~jnz1568/getInfo.php?workbook=14_04.xlsx&amp;sheet=U0&amp;row=7317&amp;col=6&amp;number=4.3&amp;sourceID=14","4.3")</f>
        <v>4.3</v>
      </c>
      <c r="G7317" s="4" t="str">
        <f>HYPERLINK("http://141.218.60.56/~jnz1568/getInfo.php?workbook=14_04.xlsx&amp;sheet=U0&amp;row=7317&amp;col=7&amp;number=0.000455&amp;sourceID=14","0.000455")</f>
        <v>0.000455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HYPERLINK("http://141.218.60.56/~jnz1568/getInfo.php?workbook=14_04.xlsx&amp;sheet=U0&amp;row=7318&amp;col=6&amp;number=4.4&amp;sourceID=14","4.4")</f>
        <v>4.4</v>
      </c>
      <c r="G7318" s="4" t="str">
        <f>HYPERLINK("http://141.218.60.56/~jnz1568/getInfo.php?workbook=14_04.xlsx&amp;sheet=U0&amp;row=7318&amp;col=7&amp;number=0.000455&amp;sourceID=14","0.000455")</f>
        <v>0.000455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HYPERLINK("http://141.218.60.56/~jnz1568/getInfo.php?workbook=14_04.xlsx&amp;sheet=U0&amp;row=7319&amp;col=6&amp;number=4.5&amp;sourceID=14","4.5")</f>
        <v>4.5</v>
      </c>
      <c r="G7319" s="4" t="str">
        <f>HYPERLINK("http://141.218.60.56/~jnz1568/getInfo.php?workbook=14_04.xlsx&amp;sheet=U0&amp;row=7319&amp;col=7&amp;number=0.000455&amp;sourceID=14","0.000455")</f>
        <v>0.000455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HYPERLINK("http://141.218.60.56/~jnz1568/getInfo.php?workbook=14_04.xlsx&amp;sheet=U0&amp;row=7320&amp;col=6&amp;number=4.6&amp;sourceID=14","4.6")</f>
        <v>4.6</v>
      </c>
      <c r="G7320" s="4" t="str">
        <f>HYPERLINK("http://141.218.60.56/~jnz1568/getInfo.php?workbook=14_04.xlsx&amp;sheet=U0&amp;row=7320&amp;col=7&amp;number=0.000455&amp;sourceID=14","0.000455")</f>
        <v>0.000455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HYPERLINK("http://141.218.60.56/~jnz1568/getInfo.php?workbook=14_04.xlsx&amp;sheet=U0&amp;row=7321&amp;col=6&amp;number=4.7&amp;sourceID=14","4.7")</f>
        <v>4.7</v>
      </c>
      <c r="G7321" s="4" t="str">
        <f>HYPERLINK("http://141.218.60.56/~jnz1568/getInfo.php?workbook=14_04.xlsx&amp;sheet=U0&amp;row=7321&amp;col=7&amp;number=0.000454&amp;sourceID=14","0.000454")</f>
        <v>0.000454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HYPERLINK("http://141.218.60.56/~jnz1568/getInfo.php?workbook=14_04.xlsx&amp;sheet=U0&amp;row=7322&amp;col=6&amp;number=4.8&amp;sourceID=14","4.8")</f>
        <v>4.8</v>
      </c>
      <c r="G7322" s="4" t="str">
        <f>HYPERLINK("http://141.218.60.56/~jnz1568/getInfo.php?workbook=14_04.xlsx&amp;sheet=U0&amp;row=7322&amp;col=7&amp;number=0.000454&amp;sourceID=14","0.000454")</f>
        <v>0.000454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HYPERLINK("http://141.218.60.56/~jnz1568/getInfo.php?workbook=14_04.xlsx&amp;sheet=U0&amp;row=7323&amp;col=6&amp;number=4.9&amp;sourceID=14","4.9")</f>
        <v>4.9</v>
      </c>
      <c r="G7323" s="4" t="str">
        <f>HYPERLINK("http://141.218.60.56/~jnz1568/getInfo.php?workbook=14_04.xlsx&amp;sheet=U0&amp;row=7323&amp;col=7&amp;number=0.000454&amp;sourceID=14","0.000454")</f>
        <v>0.000454</v>
      </c>
    </row>
    <row r="7324" spans="1:7">
      <c r="A7324" s="3">
        <v>14</v>
      </c>
      <c r="B7324" s="3">
        <v>4</v>
      </c>
      <c r="C7324" s="3">
        <v>4</v>
      </c>
      <c r="D7324" s="3">
        <v>86</v>
      </c>
      <c r="E7324" s="3">
        <v>1</v>
      </c>
      <c r="F7324" s="4" t="str">
        <f>HYPERLINK("http://141.218.60.56/~jnz1568/getInfo.php?workbook=14_04.xlsx&amp;sheet=U0&amp;row=7324&amp;col=6&amp;number=3&amp;sourceID=14","3")</f>
        <v>3</v>
      </c>
      <c r="G7324" s="4" t="str">
        <f>HYPERLINK("http://141.218.60.56/~jnz1568/getInfo.php?workbook=14_04.xlsx&amp;sheet=U0&amp;row=7324&amp;col=7&amp;number=0.00149&amp;sourceID=14","0.00149")</f>
        <v>0.00149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HYPERLINK("http://141.218.60.56/~jnz1568/getInfo.php?workbook=14_04.xlsx&amp;sheet=U0&amp;row=7325&amp;col=6&amp;number=3.1&amp;sourceID=14","3.1")</f>
        <v>3.1</v>
      </c>
      <c r="G7325" s="4" t="str">
        <f>HYPERLINK("http://141.218.60.56/~jnz1568/getInfo.php?workbook=14_04.xlsx&amp;sheet=U0&amp;row=7325&amp;col=7&amp;number=0.00149&amp;sourceID=14","0.00149")</f>
        <v>0.00149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HYPERLINK("http://141.218.60.56/~jnz1568/getInfo.php?workbook=14_04.xlsx&amp;sheet=U0&amp;row=7326&amp;col=6&amp;number=3.2&amp;sourceID=14","3.2")</f>
        <v>3.2</v>
      </c>
      <c r="G7326" s="4" t="str">
        <f>HYPERLINK("http://141.218.60.56/~jnz1568/getInfo.php?workbook=14_04.xlsx&amp;sheet=U0&amp;row=7326&amp;col=7&amp;number=0.00149&amp;sourceID=14","0.00149")</f>
        <v>0.00149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HYPERLINK("http://141.218.60.56/~jnz1568/getInfo.php?workbook=14_04.xlsx&amp;sheet=U0&amp;row=7327&amp;col=6&amp;number=3.3&amp;sourceID=14","3.3")</f>
        <v>3.3</v>
      </c>
      <c r="G7327" s="4" t="str">
        <f>HYPERLINK("http://141.218.60.56/~jnz1568/getInfo.php?workbook=14_04.xlsx&amp;sheet=U0&amp;row=7327&amp;col=7&amp;number=0.00149&amp;sourceID=14","0.00149")</f>
        <v>0.00149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HYPERLINK("http://141.218.60.56/~jnz1568/getInfo.php?workbook=14_04.xlsx&amp;sheet=U0&amp;row=7328&amp;col=6&amp;number=3.4&amp;sourceID=14","3.4")</f>
        <v>3.4</v>
      </c>
      <c r="G7328" s="4" t="str">
        <f>HYPERLINK("http://141.218.60.56/~jnz1568/getInfo.php?workbook=14_04.xlsx&amp;sheet=U0&amp;row=7328&amp;col=7&amp;number=0.00149&amp;sourceID=14","0.00149")</f>
        <v>0.00149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HYPERLINK("http://141.218.60.56/~jnz1568/getInfo.php?workbook=14_04.xlsx&amp;sheet=U0&amp;row=7329&amp;col=6&amp;number=3.5&amp;sourceID=14","3.5")</f>
        <v>3.5</v>
      </c>
      <c r="G7329" s="4" t="str">
        <f>HYPERLINK("http://141.218.60.56/~jnz1568/getInfo.php?workbook=14_04.xlsx&amp;sheet=U0&amp;row=7329&amp;col=7&amp;number=0.00149&amp;sourceID=14","0.00149")</f>
        <v>0.00149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HYPERLINK("http://141.218.60.56/~jnz1568/getInfo.php?workbook=14_04.xlsx&amp;sheet=U0&amp;row=7330&amp;col=6&amp;number=3.6&amp;sourceID=14","3.6")</f>
        <v>3.6</v>
      </c>
      <c r="G7330" s="4" t="str">
        <f>HYPERLINK("http://141.218.60.56/~jnz1568/getInfo.php?workbook=14_04.xlsx&amp;sheet=U0&amp;row=7330&amp;col=7&amp;number=0.00149&amp;sourceID=14","0.00149")</f>
        <v>0.00149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HYPERLINK("http://141.218.60.56/~jnz1568/getInfo.php?workbook=14_04.xlsx&amp;sheet=U0&amp;row=7331&amp;col=6&amp;number=3.7&amp;sourceID=14","3.7")</f>
        <v>3.7</v>
      </c>
      <c r="G7331" s="4" t="str">
        <f>HYPERLINK("http://141.218.60.56/~jnz1568/getInfo.php?workbook=14_04.xlsx&amp;sheet=U0&amp;row=7331&amp;col=7&amp;number=0.00149&amp;sourceID=14","0.00149")</f>
        <v>0.00149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HYPERLINK("http://141.218.60.56/~jnz1568/getInfo.php?workbook=14_04.xlsx&amp;sheet=U0&amp;row=7332&amp;col=6&amp;number=3.8&amp;sourceID=14","3.8")</f>
        <v>3.8</v>
      </c>
      <c r="G7332" s="4" t="str">
        <f>HYPERLINK("http://141.218.60.56/~jnz1568/getInfo.php?workbook=14_04.xlsx&amp;sheet=U0&amp;row=7332&amp;col=7&amp;number=0.00149&amp;sourceID=14","0.00149")</f>
        <v>0.00149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HYPERLINK("http://141.218.60.56/~jnz1568/getInfo.php?workbook=14_04.xlsx&amp;sheet=U0&amp;row=7333&amp;col=6&amp;number=3.9&amp;sourceID=14","3.9")</f>
        <v>3.9</v>
      </c>
      <c r="G7333" s="4" t="str">
        <f>HYPERLINK("http://141.218.60.56/~jnz1568/getInfo.php?workbook=14_04.xlsx&amp;sheet=U0&amp;row=7333&amp;col=7&amp;number=0.00149&amp;sourceID=14","0.00149")</f>
        <v>0.00149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HYPERLINK("http://141.218.60.56/~jnz1568/getInfo.php?workbook=14_04.xlsx&amp;sheet=U0&amp;row=7334&amp;col=6&amp;number=4&amp;sourceID=14","4")</f>
        <v>4</v>
      </c>
      <c r="G7334" s="4" t="str">
        <f>HYPERLINK("http://141.218.60.56/~jnz1568/getInfo.php?workbook=14_04.xlsx&amp;sheet=U0&amp;row=7334&amp;col=7&amp;number=0.00149&amp;sourceID=14","0.00149")</f>
        <v>0.00149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HYPERLINK("http://141.218.60.56/~jnz1568/getInfo.php?workbook=14_04.xlsx&amp;sheet=U0&amp;row=7335&amp;col=6&amp;number=4.1&amp;sourceID=14","4.1")</f>
        <v>4.1</v>
      </c>
      <c r="G7335" s="4" t="str">
        <f>HYPERLINK("http://141.218.60.56/~jnz1568/getInfo.php?workbook=14_04.xlsx&amp;sheet=U0&amp;row=7335&amp;col=7&amp;number=0.00149&amp;sourceID=14","0.00149")</f>
        <v>0.00149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HYPERLINK("http://141.218.60.56/~jnz1568/getInfo.php?workbook=14_04.xlsx&amp;sheet=U0&amp;row=7336&amp;col=6&amp;number=4.2&amp;sourceID=14","4.2")</f>
        <v>4.2</v>
      </c>
      <c r="G7336" s="4" t="str">
        <f>HYPERLINK("http://141.218.60.56/~jnz1568/getInfo.php?workbook=14_04.xlsx&amp;sheet=U0&amp;row=7336&amp;col=7&amp;number=0.00149&amp;sourceID=14","0.00149")</f>
        <v>0.00149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HYPERLINK("http://141.218.60.56/~jnz1568/getInfo.php?workbook=14_04.xlsx&amp;sheet=U0&amp;row=7337&amp;col=6&amp;number=4.3&amp;sourceID=14","4.3")</f>
        <v>4.3</v>
      </c>
      <c r="G7337" s="4" t="str">
        <f>HYPERLINK("http://141.218.60.56/~jnz1568/getInfo.php?workbook=14_04.xlsx&amp;sheet=U0&amp;row=7337&amp;col=7&amp;number=0.00149&amp;sourceID=14","0.00149")</f>
        <v>0.00149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HYPERLINK("http://141.218.60.56/~jnz1568/getInfo.php?workbook=14_04.xlsx&amp;sheet=U0&amp;row=7338&amp;col=6&amp;number=4.4&amp;sourceID=14","4.4")</f>
        <v>4.4</v>
      </c>
      <c r="G7338" s="4" t="str">
        <f>HYPERLINK("http://141.218.60.56/~jnz1568/getInfo.php?workbook=14_04.xlsx&amp;sheet=U0&amp;row=7338&amp;col=7&amp;number=0.00149&amp;sourceID=14","0.00149")</f>
        <v>0.00149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HYPERLINK("http://141.218.60.56/~jnz1568/getInfo.php?workbook=14_04.xlsx&amp;sheet=U0&amp;row=7339&amp;col=6&amp;number=4.5&amp;sourceID=14","4.5")</f>
        <v>4.5</v>
      </c>
      <c r="G7339" s="4" t="str">
        <f>HYPERLINK("http://141.218.60.56/~jnz1568/getInfo.php?workbook=14_04.xlsx&amp;sheet=U0&amp;row=7339&amp;col=7&amp;number=0.00149&amp;sourceID=14","0.00149")</f>
        <v>0.00149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HYPERLINK("http://141.218.60.56/~jnz1568/getInfo.php?workbook=14_04.xlsx&amp;sheet=U0&amp;row=7340&amp;col=6&amp;number=4.6&amp;sourceID=14","4.6")</f>
        <v>4.6</v>
      </c>
      <c r="G7340" s="4" t="str">
        <f>HYPERLINK("http://141.218.60.56/~jnz1568/getInfo.php?workbook=14_04.xlsx&amp;sheet=U0&amp;row=7340&amp;col=7&amp;number=0.00148&amp;sourceID=14","0.00148")</f>
        <v>0.00148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HYPERLINK("http://141.218.60.56/~jnz1568/getInfo.php?workbook=14_04.xlsx&amp;sheet=U0&amp;row=7341&amp;col=6&amp;number=4.7&amp;sourceID=14","4.7")</f>
        <v>4.7</v>
      </c>
      <c r="G7341" s="4" t="str">
        <f>HYPERLINK("http://141.218.60.56/~jnz1568/getInfo.php?workbook=14_04.xlsx&amp;sheet=U0&amp;row=7341&amp;col=7&amp;number=0.00148&amp;sourceID=14","0.00148")</f>
        <v>0.00148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HYPERLINK("http://141.218.60.56/~jnz1568/getInfo.php?workbook=14_04.xlsx&amp;sheet=U0&amp;row=7342&amp;col=6&amp;number=4.8&amp;sourceID=14","4.8")</f>
        <v>4.8</v>
      </c>
      <c r="G7342" s="4" t="str">
        <f>HYPERLINK("http://141.218.60.56/~jnz1568/getInfo.php?workbook=14_04.xlsx&amp;sheet=U0&amp;row=7342&amp;col=7&amp;number=0.00148&amp;sourceID=14","0.00148")</f>
        <v>0.00148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HYPERLINK("http://141.218.60.56/~jnz1568/getInfo.php?workbook=14_04.xlsx&amp;sheet=U0&amp;row=7343&amp;col=6&amp;number=4.9&amp;sourceID=14","4.9")</f>
        <v>4.9</v>
      </c>
      <c r="G7343" s="4" t="str">
        <f>HYPERLINK("http://141.218.60.56/~jnz1568/getInfo.php?workbook=14_04.xlsx&amp;sheet=U0&amp;row=7343&amp;col=7&amp;number=0.00148&amp;sourceID=14","0.00148")</f>
        <v>0.00148</v>
      </c>
    </row>
    <row r="7344" spans="1:7">
      <c r="A7344" s="3">
        <v>14</v>
      </c>
      <c r="B7344" s="3">
        <v>4</v>
      </c>
      <c r="C7344" s="3">
        <v>4</v>
      </c>
      <c r="D7344" s="3">
        <v>87</v>
      </c>
      <c r="E7344" s="3">
        <v>1</v>
      </c>
      <c r="F7344" s="4" t="str">
        <f>HYPERLINK("http://141.218.60.56/~jnz1568/getInfo.php?workbook=14_04.xlsx&amp;sheet=U0&amp;row=7344&amp;col=6&amp;number=3&amp;sourceID=14","3")</f>
        <v>3</v>
      </c>
      <c r="G7344" s="4" t="str">
        <f>HYPERLINK("http://141.218.60.56/~jnz1568/getInfo.php?workbook=14_04.xlsx&amp;sheet=U0&amp;row=7344&amp;col=7&amp;number=0.0107&amp;sourceID=14","0.0107")</f>
        <v>0.0107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HYPERLINK("http://141.218.60.56/~jnz1568/getInfo.php?workbook=14_04.xlsx&amp;sheet=U0&amp;row=7345&amp;col=6&amp;number=3.1&amp;sourceID=14","3.1")</f>
        <v>3.1</v>
      </c>
      <c r="G7345" s="4" t="str">
        <f>HYPERLINK("http://141.218.60.56/~jnz1568/getInfo.php?workbook=14_04.xlsx&amp;sheet=U0&amp;row=7345&amp;col=7&amp;number=0.0107&amp;sourceID=14","0.0107")</f>
        <v>0.0107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HYPERLINK("http://141.218.60.56/~jnz1568/getInfo.php?workbook=14_04.xlsx&amp;sheet=U0&amp;row=7346&amp;col=6&amp;number=3.2&amp;sourceID=14","3.2")</f>
        <v>3.2</v>
      </c>
      <c r="G7346" s="4" t="str">
        <f>HYPERLINK("http://141.218.60.56/~jnz1568/getInfo.php?workbook=14_04.xlsx&amp;sheet=U0&amp;row=7346&amp;col=7&amp;number=0.0107&amp;sourceID=14","0.0107")</f>
        <v>0.0107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HYPERLINK("http://141.218.60.56/~jnz1568/getInfo.php?workbook=14_04.xlsx&amp;sheet=U0&amp;row=7347&amp;col=6&amp;number=3.3&amp;sourceID=14","3.3")</f>
        <v>3.3</v>
      </c>
      <c r="G7347" s="4" t="str">
        <f>HYPERLINK("http://141.218.60.56/~jnz1568/getInfo.php?workbook=14_04.xlsx&amp;sheet=U0&amp;row=7347&amp;col=7&amp;number=0.0107&amp;sourceID=14","0.0107")</f>
        <v>0.0107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HYPERLINK("http://141.218.60.56/~jnz1568/getInfo.php?workbook=14_04.xlsx&amp;sheet=U0&amp;row=7348&amp;col=6&amp;number=3.4&amp;sourceID=14","3.4")</f>
        <v>3.4</v>
      </c>
      <c r="G7348" s="4" t="str">
        <f>HYPERLINK("http://141.218.60.56/~jnz1568/getInfo.php?workbook=14_04.xlsx&amp;sheet=U0&amp;row=7348&amp;col=7&amp;number=0.0107&amp;sourceID=14","0.0107")</f>
        <v>0.0107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HYPERLINK("http://141.218.60.56/~jnz1568/getInfo.php?workbook=14_04.xlsx&amp;sheet=U0&amp;row=7349&amp;col=6&amp;number=3.5&amp;sourceID=14","3.5")</f>
        <v>3.5</v>
      </c>
      <c r="G7349" s="4" t="str">
        <f>HYPERLINK("http://141.218.60.56/~jnz1568/getInfo.php?workbook=14_04.xlsx&amp;sheet=U0&amp;row=7349&amp;col=7&amp;number=0.0107&amp;sourceID=14","0.0107")</f>
        <v>0.0107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HYPERLINK("http://141.218.60.56/~jnz1568/getInfo.php?workbook=14_04.xlsx&amp;sheet=U0&amp;row=7350&amp;col=6&amp;number=3.6&amp;sourceID=14","3.6")</f>
        <v>3.6</v>
      </c>
      <c r="G7350" s="4" t="str">
        <f>HYPERLINK("http://141.218.60.56/~jnz1568/getInfo.php?workbook=14_04.xlsx&amp;sheet=U0&amp;row=7350&amp;col=7&amp;number=0.0107&amp;sourceID=14","0.0107")</f>
        <v>0.0107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HYPERLINK("http://141.218.60.56/~jnz1568/getInfo.php?workbook=14_04.xlsx&amp;sheet=U0&amp;row=7351&amp;col=6&amp;number=3.7&amp;sourceID=14","3.7")</f>
        <v>3.7</v>
      </c>
      <c r="G7351" s="4" t="str">
        <f>HYPERLINK("http://141.218.60.56/~jnz1568/getInfo.php?workbook=14_04.xlsx&amp;sheet=U0&amp;row=7351&amp;col=7&amp;number=0.0107&amp;sourceID=14","0.0107")</f>
        <v>0.0107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HYPERLINK("http://141.218.60.56/~jnz1568/getInfo.php?workbook=14_04.xlsx&amp;sheet=U0&amp;row=7352&amp;col=6&amp;number=3.8&amp;sourceID=14","3.8")</f>
        <v>3.8</v>
      </c>
      <c r="G7352" s="4" t="str">
        <f>HYPERLINK("http://141.218.60.56/~jnz1568/getInfo.php?workbook=14_04.xlsx&amp;sheet=U0&amp;row=7352&amp;col=7&amp;number=0.0107&amp;sourceID=14","0.0107")</f>
        <v>0.0107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HYPERLINK("http://141.218.60.56/~jnz1568/getInfo.php?workbook=14_04.xlsx&amp;sheet=U0&amp;row=7353&amp;col=6&amp;number=3.9&amp;sourceID=14","3.9")</f>
        <v>3.9</v>
      </c>
      <c r="G7353" s="4" t="str">
        <f>HYPERLINK("http://141.218.60.56/~jnz1568/getInfo.php?workbook=14_04.xlsx&amp;sheet=U0&amp;row=7353&amp;col=7&amp;number=0.0107&amp;sourceID=14","0.0107")</f>
        <v>0.0107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HYPERLINK("http://141.218.60.56/~jnz1568/getInfo.php?workbook=14_04.xlsx&amp;sheet=U0&amp;row=7354&amp;col=6&amp;number=4&amp;sourceID=14","4")</f>
        <v>4</v>
      </c>
      <c r="G7354" s="4" t="str">
        <f>HYPERLINK("http://141.218.60.56/~jnz1568/getInfo.php?workbook=14_04.xlsx&amp;sheet=U0&amp;row=7354&amp;col=7&amp;number=0.0107&amp;sourceID=14","0.0107")</f>
        <v>0.0107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HYPERLINK("http://141.218.60.56/~jnz1568/getInfo.php?workbook=14_04.xlsx&amp;sheet=U0&amp;row=7355&amp;col=6&amp;number=4.1&amp;sourceID=14","4.1")</f>
        <v>4.1</v>
      </c>
      <c r="G7355" s="4" t="str">
        <f>HYPERLINK("http://141.218.60.56/~jnz1568/getInfo.php?workbook=14_04.xlsx&amp;sheet=U0&amp;row=7355&amp;col=7&amp;number=0.0107&amp;sourceID=14","0.0107")</f>
        <v>0.0107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HYPERLINK("http://141.218.60.56/~jnz1568/getInfo.php?workbook=14_04.xlsx&amp;sheet=U0&amp;row=7356&amp;col=6&amp;number=4.2&amp;sourceID=14","4.2")</f>
        <v>4.2</v>
      </c>
      <c r="G7356" s="4" t="str">
        <f>HYPERLINK("http://141.218.60.56/~jnz1568/getInfo.php?workbook=14_04.xlsx&amp;sheet=U0&amp;row=7356&amp;col=7&amp;number=0.0107&amp;sourceID=14","0.0107")</f>
        <v>0.0107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HYPERLINK("http://141.218.60.56/~jnz1568/getInfo.php?workbook=14_04.xlsx&amp;sheet=U0&amp;row=7357&amp;col=6&amp;number=4.3&amp;sourceID=14","4.3")</f>
        <v>4.3</v>
      </c>
      <c r="G7357" s="4" t="str">
        <f>HYPERLINK("http://141.218.60.56/~jnz1568/getInfo.php?workbook=14_04.xlsx&amp;sheet=U0&amp;row=7357&amp;col=7&amp;number=0.0107&amp;sourceID=14","0.0107")</f>
        <v>0.0107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HYPERLINK("http://141.218.60.56/~jnz1568/getInfo.php?workbook=14_04.xlsx&amp;sheet=U0&amp;row=7358&amp;col=6&amp;number=4.4&amp;sourceID=14","4.4")</f>
        <v>4.4</v>
      </c>
      <c r="G7358" s="4" t="str">
        <f>HYPERLINK("http://141.218.60.56/~jnz1568/getInfo.php?workbook=14_04.xlsx&amp;sheet=U0&amp;row=7358&amp;col=7&amp;number=0.0107&amp;sourceID=14","0.0107")</f>
        <v>0.0107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HYPERLINK("http://141.218.60.56/~jnz1568/getInfo.php?workbook=14_04.xlsx&amp;sheet=U0&amp;row=7359&amp;col=6&amp;number=4.5&amp;sourceID=14","4.5")</f>
        <v>4.5</v>
      </c>
      <c r="G7359" s="4" t="str">
        <f>HYPERLINK("http://141.218.60.56/~jnz1568/getInfo.php?workbook=14_04.xlsx&amp;sheet=U0&amp;row=7359&amp;col=7&amp;number=0.0107&amp;sourceID=14","0.0107")</f>
        <v>0.0107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HYPERLINK("http://141.218.60.56/~jnz1568/getInfo.php?workbook=14_04.xlsx&amp;sheet=U0&amp;row=7360&amp;col=6&amp;number=4.6&amp;sourceID=14","4.6")</f>
        <v>4.6</v>
      </c>
      <c r="G7360" s="4" t="str">
        <f>HYPERLINK("http://141.218.60.56/~jnz1568/getInfo.php?workbook=14_04.xlsx&amp;sheet=U0&amp;row=7360&amp;col=7&amp;number=0.0107&amp;sourceID=14","0.0107")</f>
        <v>0.0107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HYPERLINK("http://141.218.60.56/~jnz1568/getInfo.php?workbook=14_04.xlsx&amp;sheet=U0&amp;row=7361&amp;col=6&amp;number=4.7&amp;sourceID=14","4.7")</f>
        <v>4.7</v>
      </c>
      <c r="G7361" s="4" t="str">
        <f>HYPERLINK("http://141.218.60.56/~jnz1568/getInfo.php?workbook=14_04.xlsx&amp;sheet=U0&amp;row=7361&amp;col=7&amp;number=0.0107&amp;sourceID=14","0.0107")</f>
        <v>0.0107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HYPERLINK("http://141.218.60.56/~jnz1568/getInfo.php?workbook=14_04.xlsx&amp;sheet=U0&amp;row=7362&amp;col=6&amp;number=4.8&amp;sourceID=14","4.8")</f>
        <v>4.8</v>
      </c>
      <c r="G7362" s="4" t="str">
        <f>HYPERLINK("http://141.218.60.56/~jnz1568/getInfo.php?workbook=14_04.xlsx&amp;sheet=U0&amp;row=7362&amp;col=7&amp;number=0.0107&amp;sourceID=14","0.0107")</f>
        <v>0.0107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HYPERLINK("http://141.218.60.56/~jnz1568/getInfo.php?workbook=14_04.xlsx&amp;sheet=U0&amp;row=7363&amp;col=6&amp;number=4.9&amp;sourceID=14","4.9")</f>
        <v>4.9</v>
      </c>
      <c r="G7363" s="4" t="str">
        <f>HYPERLINK("http://141.218.60.56/~jnz1568/getInfo.php?workbook=14_04.xlsx&amp;sheet=U0&amp;row=7363&amp;col=7&amp;number=0.0107&amp;sourceID=14","0.0107")</f>
        <v>0.0107</v>
      </c>
    </row>
    <row r="7364" spans="1:7">
      <c r="A7364" s="3">
        <v>14</v>
      </c>
      <c r="B7364" s="3">
        <v>4</v>
      </c>
      <c r="C7364" s="3">
        <v>4</v>
      </c>
      <c r="D7364" s="3">
        <v>88</v>
      </c>
      <c r="E7364" s="3">
        <v>1</v>
      </c>
      <c r="F7364" s="4" t="str">
        <f>HYPERLINK("http://141.218.60.56/~jnz1568/getInfo.php?workbook=14_04.xlsx&amp;sheet=U0&amp;row=7364&amp;col=6&amp;number=3&amp;sourceID=14","3")</f>
        <v>3</v>
      </c>
      <c r="G7364" s="4" t="str">
        <f>HYPERLINK("http://141.218.60.56/~jnz1568/getInfo.php?workbook=14_04.xlsx&amp;sheet=U0&amp;row=7364&amp;col=7&amp;number=0.00157&amp;sourceID=14","0.00157")</f>
        <v>0.00157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HYPERLINK("http://141.218.60.56/~jnz1568/getInfo.php?workbook=14_04.xlsx&amp;sheet=U0&amp;row=7365&amp;col=6&amp;number=3.1&amp;sourceID=14","3.1")</f>
        <v>3.1</v>
      </c>
      <c r="G7365" s="4" t="str">
        <f>HYPERLINK("http://141.218.60.56/~jnz1568/getInfo.php?workbook=14_04.xlsx&amp;sheet=U0&amp;row=7365&amp;col=7&amp;number=0.00157&amp;sourceID=14","0.00157")</f>
        <v>0.00157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HYPERLINK("http://141.218.60.56/~jnz1568/getInfo.php?workbook=14_04.xlsx&amp;sheet=U0&amp;row=7366&amp;col=6&amp;number=3.2&amp;sourceID=14","3.2")</f>
        <v>3.2</v>
      </c>
      <c r="G7366" s="4" t="str">
        <f>HYPERLINK("http://141.218.60.56/~jnz1568/getInfo.php?workbook=14_04.xlsx&amp;sheet=U0&amp;row=7366&amp;col=7&amp;number=0.00157&amp;sourceID=14","0.00157")</f>
        <v>0.00157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HYPERLINK("http://141.218.60.56/~jnz1568/getInfo.php?workbook=14_04.xlsx&amp;sheet=U0&amp;row=7367&amp;col=6&amp;number=3.3&amp;sourceID=14","3.3")</f>
        <v>3.3</v>
      </c>
      <c r="G7367" s="4" t="str">
        <f>HYPERLINK("http://141.218.60.56/~jnz1568/getInfo.php?workbook=14_04.xlsx&amp;sheet=U0&amp;row=7367&amp;col=7&amp;number=0.00157&amp;sourceID=14","0.00157")</f>
        <v>0.00157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HYPERLINK("http://141.218.60.56/~jnz1568/getInfo.php?workbook=14_04.xlsx&amp;sheet=U0&amp;row=7368&amp;col=6&amp;number=3.4&amp;sourceID=14","3.4")</f>
        <v>3.4</v>
      </c>
      <c r="G7368" s="4" t="str">
        <f>HYPERLINK("http://141.218.60.56/~jnz1568/getInfo.php?workbook=14_04.xlsx&amp;sheet=U0&amp;row=7368&amp;col=7&amp;number=0.00157&amp;sourceID=14","0.00157")</f>
        <v>0.00157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HYPERLINK("http://141.218.60.56/~jnz1568/getInfo.php?workbook=14_04.xlsx&amp;sheet=U0&amp;row=7369&amp;col=6&amp;number=3.5&amp;sourceID=14","3.5")</f>
        <v>3.5</v>
      </c>
      <c r="G7369" s="4" t="str">
        <f>HYPERLINK("http://141.218.60.56/~jnz1568/getInfo.php?workbook=14_04.xlsx&amp;sheet=U0&amp;row=7369&amp;col=7&amp;number=0.00157&amp;sourceID=14","0.00157")</f>
        <v>0.00157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HYPERLINK("http://141.218.60.56/~jnz1568/getInfo.php?workbook=14_04.xlsx&amp;sheet=U0&amp;row=7370&amp;col=6&amp;number=3.6&amp;sourceID=14","3.6")</f>
        <v>3.6</v>
      </c>
      <c r="G7370" s="4" t="str">
        <f>HYPERLINK("http://141.218.60.56/~jnz1568/getInfo.php?workbook=14_04.xlsx&amp;sheet=U0&amp;row=7370&amp;col=7&amp;number=0.00157&amp;sourceID=14","0.00157")</f>
        <v>0.00157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HYPERLINK("http://141.218.60.56/~jnz1568/getInfo.php?workbook=14_04.xlsx&amp;sheet=U0&amp;row=7371&amp;col=6&amp;number=3.7&amp;sourceID=14","3.7")</f>
        <v>3.7</v>
      </c>
      <c r="G7371" s="4" t="str">
        <f>HYPERLINK("http://141.218.60.56/~jnz1568/getInfo.php?workbook=14_04.xlsx&amp;sheet=U0&amp;row=7371&amp;col=7&amp;number=0.00156&amp;sourceID=14","0.00156")</f>
        <v>0.00156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HYPERLINK("http://141.218.60.56/~jnz1568/getInfo.php?workbook=14_04.xlsx&amp;sheet=U0&amp;row=7372&amp;col=6&amp;number=3.8&amp;sourceID=14","3.8")</f>
        <v>3.8</v>
      </c>
      <c r="G7372" s="4" t="str">
        <f>HYPERLINK("http://141.218.60.56/~jnz1568/getInfo.php?workbook=14_04.xlsx&amp;sheet=U0&amp;row=7372&amp;col=7&amp;number=0.00156&amp;sourceID=14","0.00156")</f>
        <v>0.00156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HYPERLINK("http://141.218.60.56/~jnz1568/getInfo.php?workbook=14_04.xlsx&amp;sheet=U0&amp;row=7373&amp;col=6&amp;number=3.9&amp;sourceID=14","3.9")</f>
        <v>3.9</v>
      </c>
      <c r="G7373" s="4" t="str">
        <f>HYPERLINK("http://141.218.60.56/~jnz1568/getInfo.php?workbook=14_04.xlsx&amp;sheet=U0&amp;row=7373&amp;col=7&amp;number=0.00156&amp;sourceID=14","0.00156")</f>
        <v>0.00156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HYPERLINK("http://141.218.60.56/~jnz1568/getInfo.php?workbook=14_04.xlsx&amp;sheet=U0&amp;row=7374&amp;col=6&amp;number=4&amp;sourceID=14","4")</f>
        <v>4</v>
      </c>
      <c r="G7374" s="4" t="str">
        <f>HYPERLINK("http://141.218.60.56/~jnz1568/getInfo.php?workbook=14_04.xlsx&amp;sheet=U0&amp;row=7374&amp;col=7&amp;number=0.00156&amp;sourceID=14","0.00156")</f>
        <v>0.00156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HYPERLINK("http://141.218.60.56/~jnz1568/getInfo.php?workbook=14_04.xlsx&amp;sheet=U0&amp;row=7375&amp;col=6&amp;number=4.1&amp;sourceID=14","4.1")</f>
        <v>4.1</v>
      </c>
      <c r="G7375" s="4" t="str">
        <f>HYPERLINK("http://141.218.60.56/~jnz1568/getInfo.php?workbook=14_04.xlsx&amp;sheet=U0&amp;row=7375&amp;col=7&amp;number=0.00156&amp;sourceID=14","0.00156")</f>
        <v>0.00156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HYPERLINK("http://141.218.60.56/~jnz1568/getInfo.php?workbook=14_04.xlsx&amp;sheet=U0&amp;row=7376&amp;col=6&amp;number=4.2&amp;sourceID=14","4.2")</f>
        <v>4.2</v>
      </c>
      <c r="G7376" s="4" t="str">
        <f>HYPERLINK("http://141.218.60.56/~jnz1568/getInfo.php?workbook=14_04.xlsx&amp;sheet=U0&amp;row=7376&amp;col=7&amp;number=0.00156&amp;sourceID=14","0.00156")</f>
        <v>0.00156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HYPERLINK("http://141.218.60.56/~jnz1568/getInfo.php?workbook=14_04.xlsx&amp;sheet=U0&amp;row=7377&amp;col=6&amp;number=4.3&amp;sourceID=14","4.3")</f>
        <v>4.3</v>
      </c>
      <c r="G7377" s="4" t="str">
        <f>HYPERLINK("http://141.218.60.56/~jnz1568/getInfo.php?workbook=14_04.xlsx&amp;sheet=U0&amp;row=7377&amp;col=7&amp;number=0.00156&amp;sourceID=14","0.00156")</f>
        <v>0.00156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HYPERLINK("http://141.218.60.56/~jnz1568/getInfo.php?workbook=14_04.xlsx&amp;sheet=U0&amp;row=7378&amp;col=6&amp;number=4.4&amp;sourceID=14","4.4")</f>
        <v>4.4</v>
      </c>
      <c r="G7378" s="4" t="str">
        <f>HYPERLINK("http://141.218.60.56/~jnz1568/getInfo.php?workbook=14_04.xlsx&amp;sheet=U0&amp;row=7378&amp;col=7&amp;number=0.00156&amp;sourceID=14","0.00156")</f>
        <v>0.00156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HYPERLINK("http://141.218.60.56/~jnz1568/getInfo.php?workbook=14_04.xlsx&amp;sheet=U0&amp;row=7379&amp;col=6&amp;number=4.5&amp;sourceID=14","4.5")</f>
        <v>4.5</v>
      </c>
      <c r="G7379" s="4" t="str">
        <f>HYPERLINK("http://141.218.60.56/~jnz1568/getInfo.php?workbook=14_04.xlsx&amp;sheet=U0&amp;row=7379&amp;col=7&amp;number=0.00156&amp;sourceID=14","0.00156")</f>
        <v>0.00156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HYPERLINK("http://141.218.60.56/~jnz1568/getInfo.php?workbook=14_04.xlsx&amp;sheet=U0&amp;row=7380&amp;col=6&amp;number=4.6&amp;sourceID=14","4.6")</f>
        <v>4.6</v>
      </c>
      <c r="G7380" s="4" t="str">
        <f>HYPERLINK("http://141.218.60.56/~jnz1568/getInfo.php?workbook=14_04.xlsx&amp;sheet=U0&amp;row=7380&amp;col=7&amp;number=0.00156&amp;sourceID=14","0.00156")</f>
        <v>0.00156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HYPERLINK("http://141.218.60.56/~jnz1568/getInfo.php?workbook=14_04.xlsx&amp;sheet=U0&amp;row=7381&amp;col=6&amp;number=4.7&amp;sourceID=14","4.7")</f>
        <v>4.7</v>
      </c>
      <c r="G7381" s="4" t="str">
        <f>HYPERLINK("http://141.218.60.56/~jnz1568/getInfo.php?workbook=14_04.xlsx&amp;sheet=U0&amp;row=7381&amp;col=7&amp;number=0.00156&amp;sourceID=14","0.00156")</f>
        <v>0.00156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HYPERLINK("http://141.218.60.56/~jnz1568/getInfo.php?workbook=14_04.xlsx&amp;sheet=U0&amp;row=7382&amp;col=6&amp;number=4.8&amp;sourceID=14","4.8")</f>
        <v>4.8</v>
      </c>
      <c r="G7382" s="4" t="str">
        <f>HYPERLINK("http://141.218.60.56/~jnz1568/getInfo.php?workbook=14_04.xlsx&amp;sheet=U0&amp;row=7382&amp;col=7&amp;number=0.00155&amp;sourceID=14","0.00155")</f>
        <v>0.00155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HYPERLINK("http://141.218.60.56/~jnz1568/getInfo.php?workbook=14_04.xlsx&amp;sheet=U0&amp;row=7383&amp;col=6&amp;number=4.9&amp;sourceID=14","4.9")</f>
        <v>4.9</v>
      </c>
      <c r="G7383" s="4" t="str">
        <f>HYPERLINK("http://141.218.60.56/~jnz1568/getInfo.php?workbook=14_04.xlsx&amp;sheet=U0&amp;row=7383&amp;col=7&amp;number=0.00155&amp;sourceID=14","0.00155")</f>
        <v>0.00155</v>
      </c>
    </row>
    <row r="7384" spans="1:7">
      <c r="A7384" s="3">
        <v>14</v>
      </c>
      <c r="B7384" s="3">
        <v>4</v>
      </c>
      <c r="C7384" s="3">
        <v>4</v>
      </c>
      <c r="D7384" s="3">
        <v>89</v>
      </c>
      <c r="E7384" s="3">
        <v>1</v>
      </c>
      <c r="F7384" s="4" t="str">
        <f>HYPERLINK("http://141.218.60.56/~jnz1568/getInfo.php?workbook=14_04.xlsx&amp;sheet=U0&amp;row=7384&amp;col=6&amp;number=3&amp;sourceID=14","3")</f>
        <v>3</v>
      </c>
      <c r="G7384" s="4" t="str">
        <f>HYPERLINK("http://141.218.60.56/~jnz1568/getInfo.php?workbook=14_04.xlsx&amp;sheet=U0&amp;row=7384&amp;col=7&amp;number=0.00191&amp;sourceID=14","0.00191")</f>
        <v>0.00191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HYPERLINK("http://141.218.60.56/~jnz1568/getInfo.php?workbook=14_04.xlsx&amp;sheet=U0&amp;row=7385&amp;col=6&amp;number=3.1&amp;sourceID=14","3.1")</f>
        <v>3.1</v>
      </c>
      <c r="G7385" s="4" t="str">
        <f>HYPERLINK("http://141.218.60.56/~jnz1568/getInfo.php?workbook=14_04.xlsx&amp;sheet=U0&amp;row=7385&amp;col=7&amp;number=0.00191&amp;sourceID=14","0.00191")</f>
        <v>0.00191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HYPERLINK("http://141.218.60.56/~jnz1568/getInfo.php?workbook=14_04.xlsx&amp;sheet=U0&amp;row=7386&amp;col=6&amp;number=3.2&amp;sourceID=14","3.2")</f>
        <v>3.2</v>
      </c>
      <c r="G7386" s="4" t="str">
        <f>HYPERLINK("http://141.218.60.56/~jnz1568/getInfo.php?workbook=14_04.xlsx&amp;sheet=U0&amp;row=7386&amp;col=7&amp;number=0.00191&amp;sourceID=14","0.00191")</f>
        <v>0.00191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HYPERLINK("http://141.218.60.56/~jnz1568/getInfo.php?workbook=14_04.xlsx&amp;sheet=U0&amp;row=7387&amp;col=6&amp;number=3.3&amp;sourceID=14","3.3")</f>
        <v>3.3</v>
      </c>
      <c r="G7387" s="4" t="str">
        <f>HYPERLINK("http://141.218.60.56/~jnz1568/getInfo.php?workbook=14_04.xlsx&amp;sheet=U0&amp;row=7387&amp;col=7&amp;number=0.00191&amp;sourceID=14","0.00191")</f>
        <v>0.00191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HYPERLINK("http://141.218.60.56/~jnz1568/getInfo.php?workbook=14_04.xlsx&amp;sheet=U0&amp;row=7388&amp;col=6&amp;number=3.4&amp;sourceID=14","3.4")</f>
        <v>3.4</v>
      </c>
      <c r="G7388" s="4" t="str">
        <f>HYPERLINK("http://141.218.60.56/~jnz1568/getInfo.php?workbook=14_04.xlsx&amp;sheet=U0&amp;row=7388&amp;col=7&amp;number=0.00191&amp;sourceID=14","0.00191")</f>
        <v>0.00191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HYPERLINK("http://141.218.60.56/~jnz1568/getInfo.php?workbook=14_04.xlsx&amp;sheet=U0&amp;row=7389&amp;col=6&amp;number=3.5&amp;sourceID=14","3.5")</f>
        <v>3.5</v>
      </c>
      <c r="G7389" s="4" t="str">
        <f>HYPERLINK("http://141.218.60.56/~jnz1568/getInfo.php?workbook=14_04.xlsx&amp;sheet=U0&amp;row=7389&amp;col=7&amp;number=0.00191&amp;sourceID=14","0.00191")</f>
        <v>0.00191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HYPERLINK("http://141.218.60.56/~jnz1568/getInfo.php?workbook=14_04.xlsx&amp;sheet=U0&amp;row=7390&amp;col=6&amp;number=3.6&amp;sourceID=14","3.6")</f>
        <v>3.6</v>
      </c>
      <c r="G7390" s="4" t="str">
        <f>HYPERLINK("http://141.218.60.56/~jnz1568/getInfo.php?workbook=14_04.xlsx&amp;sheet=U0&amp;row=7390&amp;col=7&amp;number=0.00191&amp;sourceID=14","0.00191")</f>
        <v>0.00191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HYPERLINK("http://141.218.60.56/~jnz1568/getInfo.php?workbook=14_04.xlsx&amp;sheet=U0&amp;row=7391&amp;col=6&amp;number=3.7&amp;sourceID=14","3.7")</f>
        <v>3.7</v>
      </c>
      <c r="G7391" s="4" t="str">
        <f>HYPERLINK("http://141.218.60.56/~jnz1568/getInfo.php?workbook=14_04.xlsx&amp;sheet=U0&amp;row=7391&amp;col=7&amp;number=0.00191&amp;sourceID=14","0.00191")</f>
        <v>0.00191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HYPERLINK("http://141.218.60.56/~jnz1568/getInfo.php?workbook=14_04.xlsx&amp;sheet=U0&amp;row=7392&amp;col=6&amp;number=3.8&amp;sourceID=14","3.8")</f>
        <v>3.8</v>
      </c>
      <c r="G7392" s="4" t="str">
        <f>HYPERLINK("http://141.218.60.56/~jnz1568/getInfo.php?workbook=14_04.xlsx&amp;sheet=U0&amp;row=7392&amp;col=7&amp;number=0.0019&amp;sourceID=14","0.0019")</f>
        <v>0.0019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HYPERLINK("http://141.218.60.56/~jnz1568/getInfo.php?workbook=14_04.xlsx&amp;sheet=U0&amp;row=7393&amp;col=6&amp;number=3.9&amp;sourceID=14","3.9")</f>
        <v>3.9</v>
      </c>
      <c r="G7393" s="4" t="str">
        <f>HYPERLINK("http://141.218.60.56/~jnz1568/getInfo.php?workbook=14_04.xlsx&amp;sheet=U0&amp;row=7393&amp;col=7&amp;number=0.0019&amp;sourceID=14","0.0019")</f>
        <v>0.0019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HYPERLINK("http://141.218.60.56/~jnz1568/getInfo.php?workbook=14_04.xlsx&amp;sheet=U0&amp;row=7394&amp;col=6&amp;number=4&amp;sourceID=14","4")</f>
        <v>4</v>
      </c>
      <c r="G7394" s="4" t="str">
        <f>HYPERLINK("http://141.218.60.56/~jnz1568/getInfo.php?workbook=14_04.xlsx&amp;sheet=U0&amp;row=7394&amp;col=7&amp;number=0.0019&amp;sourceID=14","0.0019")</f>
        <v>0.0019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HYPERLINK("http://141.218.60.56/~jnz1568/getInfo.php?workbook=14_04.xlsx&amp;sheet=U0&amp;row=7395&amp;col=6&amp;number=4.1&amp;sourceID=14","4.1")</f>
        <v>4.1</v>
      </c>
      <c r="G7395" s="4" t="str">
        <f>HYPERLINK("http://141.218.60.56/~jnz1568/getInfo.php?workbook=14_04.xlsx&amp;sheet=U0&amp;row=7395&amp;col=7&amp;number=0.0019&amp;sourceID=14","0.0019")</f>
        <v>0.0019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HYPERLINK("http://141.218.60.56/~jnz1568/getInfo.php?workbook=14_04.xlsx&amp;sheet=U0&amp;row=7396&amp;col=6&amp;number=4.2&amp;sourceID=14","4.2")</f>
        <v>4.2</v>
      </c>
      <c r="G7396" s="4" t="str">
        <f>HYPERLINK("http://141.218.60.56/~jnz1568/getInfo.php?workbook=14_04.xlsx&amp;sheet=U0&amp;row=7396&amp;col=7&amp;number=0.0019&amp;sourceID=14","0.0019")</f>
        <v>0.0019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HYPERLINK("http://141.218.60.56/~jnz1568/getInfo.php?workbook=14_04.xlsx&amp;sheet=U0&amp;row=7397&amp;col=6&amp;number=4.3&amp;sourceID=14","4.3")</f>
        <v>4.3</v>
      </c>
      <c r="G7397" s="4" t="str">
        <f>HYPERLINK("http://141.218.60.56/~jnz1568/getInfo.php?workbook=14_04.xlsx&amp;sheet=U0&amp;row=7397&amp;col=7&amp;number=0.0019&amp;sourceID=14","0.0019")</f>
        <v>0.0019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HYPERLINK("http://141.218.60.56/~jnz1568/getInfo.php?workbook=14_04.xlsx&amp;sheet=U0&amp;row=7398&amp;col=6&amp;number=4.4&amp;sourceID=14","4.4")</f>
        <v>4.4</v>
      </c>
      <c r="G7398" s="4" t="str">
        <f>HYPERLINK("http://141.218.60.56/~jnz1568/getInfo.php?workbook=14_04.xlsx&amp;sheet=U0&amp;row=7398&amp;col=7&amp;number=0.0019&amp;sourceID=14","0.0019")</f>
        <v>0.0019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HYPERLINK("http://141.218.60.56/~jnz1568/getInfo.php?workbook=14_04.xlsx&amp;sheet=U0&amp;row=7399&amp;col=6&amp;number=4.5&amp;sourceID=14","4.5")</f>
        <v>4.5</v>
      </c>
      <c r="G7399" s="4" t="str">
        <f>HYPERLINK("http://141.218.60.56/~jnz1568/getInfo.php?workbook=14_04.xlsx&amp;sheet=U0&amp;row=7399&amp;col=7&amp;number=0.0019&amp;sourceID=14","0.0019")</f>
        <v>0.0019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HYPERLINK("http://141.218.60.56/~jnz1568/getInfo.php?workbook=14_04.xlsx&amp;sheet=U0&amp;row=7400&amp;col=6&amp;number=4.6&amp;sourceID=14","4.6")</f>
        <v>4.6</v>
      </c>
      <c r="G7400" s="4" t="str">
        <f>HYPERLINK("http://141.218.60.56/~jnz1568/getInfo.php?workbook=14_04.xlsx&amp;sheet=U0&amp;row=7400&amp;col=7&amp;number=0.0019&amp;sourceID=14","0.0019")</f>
        <v>0.0019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HYPERLINK("http://141.218.60.56/~jnz1568/getInfo.php?workbook=14_04.xlsx&amp;sheet=U0&amp;row=7401&amp;col=6&amp;number=4.7&amp;sourceID=14","4.7")</f>
        <v>4.7</v>
      </c>
      <c r="G7401" s="4" t="str">
        <f>HYPERLINK("http://141.218.60.56/~jnz1568/getInfo.php?workbook=14_04.xlsx&amp;sheet=U0&amp;row=7401&amp;col=7&amp;number=0.0019&amp;sourceID=14","0.0019")</f>
        <v>0.0019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HYPERLINK("http://141.218.60.56/~jnz1568/getInfo.php?workbook=14_04.xlsx&amp;sheet=U0&amp;row=7402&amp;col=6&amp;number=4.8&amp;sourceID=14","4.8")</f>
        <v>4.8</v>
      </c>
      <c r="G7402" s="4" t="str">
        <f>HYPERLINK("http://141.218.60.56/~jnz1568/getInfo.php?workbook=14_04.xlsx&amp;sheet=U0&amp;row=7402&amp;col=7&amp;number=0.00189&amp;sourceID=14","0.00189")</f>
        <v>0.00189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HYPERLINK("http://141.218.60.56/~jnz1568/getInfo.php?workbook=14_04.xlsx&amp;sheet=U0&amp;row=7403&amp;col=6&amp;number=4.9&amp;sourceID=14","4.9")</f>
        <v>4.9</v>
      </c>
      <c r="G7403" s="4" t="str">
        <f>HYPERLINK("http://141.218.60.56/~jnz1568/getInfo.php?workbook=14_04.xlsx&amp;sheet=U0&amp;row=7403&amp;col=7&amp;number=0.00189&amp;sourceID=14","0.00189")</f>
        <v>0.00189</v>
      </c>
    </row>
    <row r="7404" spans="1:7">
      <c r="A7404" s="3">
        <v>14</v>
      </c>
      <c r="B7404" s="3">
        <v>4</v>
      </c>
      <c r="C7404" s="3">
        <v>4</v>
      </c>
      <c r="D7404" s="3">
        <v>90</v>
      </c>
      <c r="E7404" s="3">
        <v>1</v>
      </c>
      <c r="F7404" s="4" t="str">
        <f>HYPERLINK("http://141.218.60.56/~jnz1568/getInfo.php?workbook=14_04.xlsx&amp;sheet=U0&amp;row=7404&amp;col=6&amp;number=3&amp;sourceID=14","3")</f>
        <v>3</v>
      </c>
      <c r="G7404" s="4" t="str">
        <f>HYPERLINK("http://141.218.60.56/~jnz1568/getInfo.php?workbook=14_04.xlsx&amp;sheet=U0&amp;row=7404&amp;col=7&amp;number=0.00629&amp;sourceID=14","0.00629")</f>
        <v>0.00629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HYPERLINK("http://141.218.60.56/~jnz1568/getInfo.php?workbook=14_04.xlsx&amp;sheet=U0&amp;row=7405&amp;col=6&amp;number=3.1&amp;sourceID=14","3.1")</f>
        <v>3.1</v>
      </c>
      <c r="G7405" s="4" t="str">
        <f>HYPERLINK("http://141.218.60.56/~jnz1568/getInfo.php?workbook=14_04.xlsx&amp;sheet=U0&amp;row=7405&amp;col=7&amp;number=0.00629&amp;sourceID=14","0.00629")</f>
        <v>0.00629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HYPERLINK("http://141.218.60.56/~jnz1568/getInfo.php?workbook=14_04.xlsx&amp;sheet=U0&amp;row=7406&amp;col=6&amp;number=3.2&amp;sourceID=14","3.2")</f>
        <v>3.2</v>
      </c>
      <c r="G7406" s="4" t="str">
        <f>HYPERLINK("http://141.218.60.56/~jnz1568/getInfo.php?workbook=14_04.xlsx&amp;sheet=U0&amp;row=7406&amp;col=7&amp;number=0.00629&amp;sourceID=14","0.00629")</f>
        <v>0.00629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HYPERLINK("http://141.218.60.56/~jnz1568/getInfo.php?workbook=14_04.xlsx&amp;sheet=U0&amp;row=7407&amp;col=6&amp;number=3.3&amp;sourceID=14","3.3")</f>
        <v>3.3</v>
      </c>
      <c r="G7407" s="4" t="str">
        <f>HYPERLINK("http://141.218.60.56/~jnz1568/getInfo.php?workbook=14_04.xlsx&amp;sheet=U0&amp;row=7407&amp;col=7&amp;number=0.00629&amp;sourceID=14","0.00629")</f>
        <v>0.00629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HYPERLINK("http://141.218.60.56/~jnz1568/getInfo.php?workbook=14_04.xlsx&amp;sheet=U0&amp;row=7408&amp;col=6&amp;number=3.4&amp;sourceID=14","3.4")</f>
        <v>3.4</v>
      </c>
      <c r="G7408" s="4" t="str">
        <f>HYPERLINK("http://141.218.60.56/~jnz1568/getInfo.php?workbook=14_04.xlsx&amp;sheet=U0&amp;row=7408&amp;col=7&amp;number=0.00629&amp;sourceID=14","0.00629")</f>
        <v>0.00629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HYPERLINK("http://141.218.60.56/~jnz1568/getInfo.php?workbook=14_04.xlsx&amp;sheet=U0&amp;row=7409&amp;col=6&amp;number=3.5&amp;sourceID=14","3.5")</f>
        <v>3.5</v>
      </c>
      <c r="G7409" s="4" t="str">
        <f>HYPERLINK("http://141.218.60.56/~jnz1568/getInfo.php?workbook=14_04.xlsx&amp;sheet=U0&amp;row=7409&amp;col=7&amp;number=0.00629&amp;sourceID=14","0.00629")</f>
        <v>0.00629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HYPERLINK("http://141.218.60.56/~jnz1568/getInfo.php?workbook=14_04.xlsx&amp;sheet=U0&amp;row=7410&amp;col=6&amp;number=3.6&amp;sourceID=14","3.6")</f>
        <v>3.6</v>
      </c>
      <c r="G7410" s="4" t="str">
        <f>HYPERLINK("http://141.218.60.56/~jnz1568/getInfo.php?workbook=14_04.xlsx&amp;sheet=U0&amp;row=7410&amp;col=7&amp;number=0.00629&amp;sourceID=14","0.00629")</f>
        <v>0.00629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HYPERLINK("http://141.218.60.56/~jnz1568/getInfo.php?workbook=14_04.xlsx&amp;sheet=U0&amp;row=7411&amp;col=6&amp;number=3.7&amp;sourceID=14","3.7")</f>
        <v>3.7</v>
      </c>
      <c r="G7411" s="4" t="str">
        <f>HYPERLINK("http://141.218.60.56/~jnz1568/getInfo.php?workbook=14_04.xlsx&amp;sheet=U0&amp;row=7411&amp;col=7&amp;number=0.00629&amp;sourceID=14","0.00629")</f>
        <v>0.00629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HYPERLINK("http://141.218.60.56/~jnz1568/getInfo.php?workbook=14_04.xlsx&amp;sheet=U0&amp;row=7412&amp;col=6&amp;number=3.8&amp;sourceID=14","3.8")</f>
        <v>3.8</v>
      </c>
      <c r="G7412" s="4" t="str">
        <f>HYPERLINK("http://141.218.60.56/~jnz1568/getInfo.php?workbook=14_04.xlsx&amp;sheet=U0&amp;row=7412&amp;col=7&amp;number=0.00629&amp;sourceID=14","0.00629")</f>
        <v>0.00629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HYPERLINK("http://141.218.60.56/~jnz1568/getInfo.php?workbook=14_04.xlsx&amp;sheet=U0&amp;row=7413&amp;col=6&amp;number=3.9&amp;sourceID=14","3.9")</f>
        <v>3.9</v>
      </c>
      <c r="G7413" s="4" t="str">
        <f>HYPERLINK("http://141.218.60.56/~jnz1568/getInfo.php?workbook=14_04.xlsx&amp;sheet=U0&amp;row=7413&amp;col=7&amp;number=0.00629&amp;sourceID=14","0.00629")</f>
        <v>0.00629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HYPERLINK("http://141.218.60.56/~jnz1568/getInfo.php?workbook=14_04.xlsx&amp;sheet=U0&amp;row=7414&amp;col=6&amp;number=4&amp;sourceID=14","4")</f>
        <v>4</v>
      </c>
      <c r="G7414" s="4" t="str">
        <f>HYPERLINK("http://141.218.60.56/~jnz1568/getInfo.php?workbook=14_04.xlsx&amp;sheet=U0&amp;row=7414&amp;col=7&amp;number=0.00629&amp;sourceID=14","0.00629")</f>
        <v>0.00629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HYPERLINK("http://141.218.60.56/~jnz1568/getInfo.php?workbook=14_04.xlsx&amp;sheet=U0&amp;row=7415&amp;col=6&amp;number=4.1&amp;sourceID=14","4.1")</f>
        <v>4.1</v>
      </c>
      <c r="G7415" s="4" t="str">
        <f>HYPERLINK("http://141.218.60.56/~jnz1568/getInfo.php?workbook=14_04.xlsx&amp;sheet=U0&amp;row=7415&amp;col=7&amp;number=0.00629&amp;sourceID=14","0.00629")</f>
        <v>0.00629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HYPERLINK("http://141.218.60.56/~jnz1568/getInfo.php?workbook=14_04.xlsx&amp;sheet=U0&amp;row=7416&amp;col=6&amp;number=4.2&amp;sourceID=14","4.2")</f>
        <v>4.2</v>
      </c>
      <c r="G7416" s="4" t="str">
        <f>HYPERLINK("http://141.218.60.56/~jnz1568/getInfo.php?workbook=14_04.xlsx&amp;sheet=U0&amp;row=7416&amp;col=7&amp;number=0.00629&amp;sourceID=14","0.00629")</f>
        <v>0.00629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HYPERLINK("http://141.218.60.56/~jnz1568/getInfo.php?workbook=14_04.xlsx&amp;sheet=U0&amp;row=7417&amp;col=6&amp;number=4.3&amp;sourceID=14","4.3")</f>
        <v>4.3</v>
      </c>
      <c r="G7417" s="4" t="str">
        <f>HYPERLINK("http://141.218.60.56/~jnz1568/getInfo.php?workbook=14_04.xlsx&amp;sheet=U0&amp;row=7417&amp;col=7&amp;number=0.00629&amp;sourceID=14","0.00629")</f>
        <v>0.00629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HYPERLINK("http://141.218.60.56/~jnz1568/getInfo.php?workbook=14_04.xlsx&amp;sheet=U0&amp;row=7418&amp;col=6&amp;number=4.4&amp;sourceID=14","4.4")</f>
        <v>4.4</v>
      </c>
      <c r="G7418" s="4" t="str">
        <f>HYPERLINK("http://141.218.60.56/~jnz1568/getInfo.php?workbook=14_04.xlsx&amp;sheet=U0&amp;row=7418&amp;col=7&amp;number=0.00629&amp;sourceID=14","0.00629")</f>
        <v>0.00629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HYPERLINK("http://141.218.60.56/~jnz1568/getInfo.php?workbook=14_04.xlsx&amp;sheet=U0&amp;row=7419&amp;col=6&amp;number=4.5&amp;sourceID=14","4.5")</f>
        <v>4.5</v>
      </c>
      <c r="G7419" s="4" t="str">
        <f>HYPERLINK("http://141.218.60.56/~jnz1568/getInfo.php?workbook=14_04.xlsx&amp;sheet=U0&amp;row=7419&amp;col=7&amp;number=0.0063&amp;sourceID=14","0.0063")</f>
        <v>0.0063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HYPERLINK("http://141.218.60.56/~jnz1568/getInfo.php?workbook=14_04.xlsx&amp;sheet=U0&amp;row=7420&amp;col=6&amp;number=4.6&amp;sourceID=14","4.6")</f>
        <v>4.6</v>
      </c>
      <c r="G7420" s="4" t="str">
        <f>HYPERLINK("http://141.218.60.56/~jnz1568/getInfo.php?workbook=14_04.xlsx&amp;sheet=U0&amp;row=7420&amp;col=7&amp;number=0.0063&amp;sourceID=14","0.0063")</f>
        <v>0.0063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HYPERLINK("http://141.218.60.56/~jnz1568/getInfo.php?workbook=14_04.xlsx&amp;sheet=U0&amp;row=7421&amp;col=6&amp;number=4.7&amp;sourceID=14","4.7")</f>
        <v>4.7</v>
      </c>
      <c r="G7421" s="4" t="str">
        <f>HYPERLINK("http://141.218.60.56/~jnz1568/getInfo.php?workbook=14_04.xlsx&amp;sheet=U0&amp;row=7421&amp;col=7&amp;number=0.0063&amp;sourceID=14","0.0063")</f>
        <v>0.0063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HYPERLINK("http://141.218.60.56/~jnz1568/getInfo.php?workbook=14_04.xlsx&amp;sheet=U0&amp;row=7422&amp;col=6&amp;number=4.8&amp;sourceID=14","4.8")</f>
        <v>4.8</v>
      </c>
      <c r="G7422" s="4" t="str">
        <f>HYPERLINK("http://141.218.60.56/~jnz1568/getInfo.php?workbook=14_04.xlsx&amp;sheet=U0&amp;row=7422&amp;col=7&amp;number=0.00631&amp;sourceID=14","0.00631")</f>
        <v>0.00631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HYPERLINK("http://141.218.60.56/~jnz1568/getInfo.php?workbook=14_04.xlsx&amp;sheet=U0&amp;row=7423&amp;col=6&amp;number=4.9&amp;sourceID=14","4.9")</f>
        <v>4.9</v>
      </c>
      <c r="G7423" s="4" t="str">
        <f>HYPERLINK("http://141.218.60.56/~jnz1568/getInfo.php?workbook=14_04.xlsx&amp;sheet=U0&amp;row=7423&amp;col=7&amp;number=0.00631&amp;sourceID=14","0.00631")</f>
        <v>0.00631</v>
      </c>
    </row>
    <row r="7424" spans="1:7">
      <c r="A7424" s="3">
        <v>14</v>
      </c>
      <c r="B7424" s="3">
        <v>4</v>
      </c>
      <c r="C7424" s="3">
        <v>4</v>
      </c>
      <c r="D7424" s="3">
        <v>91</v>
      </c>
      <c r="E7424" s="3">
        <v>1</v>
      </c>
      <c r="F7424" s="4" t="str">
        <f>HYPERLINK("http://141.218.60.56/~jnz1568/getInfo.php?workbook=14_04.xlsx&amp;sheet=U0&amp;row=7424&amp;col=6&amp;number=3&amp;sourceID=14","3")</f>
        <v>3</v>
      </c>
      <c r="G7424" s="4" t="str">
        <f>HYPERLINK("http://141.218.60.56/~jnz1568/getInfo.php?workbook=14_04.xlsx&amp;sheet=U0&amp;row=7424&amp;col=7&amp;number=0.0215&amp;sourceID=14","0.0215")</f>
        <v>0.0215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HYPERLINK("http://141.218.60.56/~jnz1568/getInfo.php?workbook=14_04.xlsx&amp;sheet=U0&amp;row=7425&amp;col=6&amp;number=3.1&amp;sourceID=14","3.1")</f>
        <v>3.1</v>
      </c>
      <c r="G7425" s="4" t="str">
        <f>HYPERLINK("http://141.218.60.56/~jnz1568/getInfo.php?workbook=14_04.xlsx&amp;sheet=U0&amp;row=7425&amp;col=7&amp;number=0.0215&amp;sourceID=14","0.0215")</f>
        <v>0.0215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HYPERLINK("http://141.218.60.56/~jnz1568/getInfo.php?workbook=14_04.xlsx&amp;sheet=U0&amp;row=7426&amp;col=6&amp;number=3.2&amp;sourceID=14","3.2")</f>
        <v>3.2</v>
      </c>
      <c r="G7426" s="4" t="str">
        <f>HYPERLINK("http://141.218.60.56/~jnz1568/getInfo.php?workbook=14_04.xlsx&amp;sheet=U0&amp;row=7426&amp;col=7&amp;number=0.0215&amp;sourceID=14","0.0215")</f>
        <v>0.0215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HYPERLINK("http://141.218.60.56/~jnz1568/getInfo.php?workbook=14_04.xlsx&amp;sheet=U0&amp;row=7427&amp;col=6&amp;number=3.3&amp;sourceID=14","3.3")</f>
        <v>3.3</v>
      </c>
      <c r="G7427" s="4" t="str">
        <f>HYPERLINK("http://141.218.60.56/~jnz1568/getInfo.php?workbook=14_04.xlsx&amp;sheet=U0&amp;row=7427&amp;col=7&amp;number=0.0215&amp;sourceID=14","0.0215")</f>
        <v>0.0215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HYPERLINK("http://141.218.60.56/~jnz1568/getInfo.php?workbook=14_04.xlsx&amp;sheet=U0&amp;row=7428&amp;col=6&amp;number=3.4&amp;sourceID=14","3.4")</f>
        <v>3.4</v>
      </c>
      <c r="G7428" s="4" t="str">
        <f>HYPERLINK("http://141.218.60.56/~jnz1568/getInfo.php?workbook=14_04.xlsx&amp;sheet=U0&amp;row=7428&amp;col=7&amp;number=0.0215&amp;sourceID=14","0.0215")</f>
        <v>0.0215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HYPERLINK("http://141.218.60.56/~jnz1568/getInfo.php?workbook=14_04.xlsx&amp;sheet=U0&amp;row=7429&amp;col=6&amp;number=3.5&amp;sourceID=14","3.5")</f>
        <v>3.5</v>
      </c>
      <c r="G7429" s="4" t="str">
        <f>HYPERLINK("http://141.218.60.56/~jnz1568/getInfo.php?workbook=14_04.xlsx&amp;sheet=U0&amp;row=7429&amp;col=7&amp;number=0.0215&amp;sourceID=14","0.0215")</f>
        <v>0.0215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HYPERLINK("http://141.218.60.56/~jnz1568/getInfo.php?workbook=14_04.xlsx&amp;sheet=U0&amp;row=7430&amp;col=6&amp;number=3.6&amp;sourceID=14","3.6")</f>
        <v>3.6</v>
      </c>
      <c r="G7430" s="4" t="str">
        <f>HYPERLINK("http://141.218.60.56/~jnz1568/getInfo.php?workbook=14_04.xlsx&amp;sheet=U0&amp;row=7430&amp;col=7&amp;number=0.0215&amp;sourceID=14","0.0215")</f>
        <v>0.0215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HYPERLINK("http://141.218.60.56/~jnz1568/getInfo.php?workbook=14_04.xlsx&amp;sheet=U0&amp;row=7431&amp;col=6&amp;number=3.7&amp;sourceID=14","3.7")</f>
        <v>3.7</v>
      </c>
      <c r="G7431" s="4" t="str">
        <f>HYPERLINK("http://141.218.60.56/~jnz1568/getInfo.php?workbook=14_04.xlsx&amp;sheet=U0&amp;row=7431&amp;col=7&amp;number=0.0215&amp;sourceID=14","0.0215")</f>
        <v>0.0215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HYPERLINK("http://141.218.60.56/~jnz1568/getInfo.php?workbook=14_04.xlsx&amp;sheet=U0&amp;row=7432&amp;col=6&amp;number=3.8&amp;sourceID=14","3.8")</f>
        <v>3.8</v>
      </c>
      <c r="G7432" s="4" t="str">
        <f>HYPERLINK("http://141.218.60.56/~jnz1568/getInfo.php?workbook=14_04.xlsx&amp;sheet=U0&amp;row=7432&amp;col=7&amp;number=0.0215&amp;sourceID=14","0.0215")</f>
        <v>0.0215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HYPERLINK("http://141.218.60.56/~jnz1568/getInfo.php?workbook=14_04.xlsx&amp;sheet=U0&amp;row=7433&amp;col=6&amp;number=3.9&amp;sourceID=14","3.9")</f>
        <v>3.9</v>
      </c>
      <c r="G7433" s="4" t="str">
        <f>HYPERLINK("http://141.218.60.56/~jnz1568/getInfo.php?workbook=14_04.xlsx&amp;sheet=U0&amp;row=7433&amp;col=7&amp;number=0.0215&amp;sourceID=14","0.0215")</f>
        <v>0.0215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HYPERLINK("http://141.218.60.56/~jnz1568/getInfo.php?workbook=14_04.xlsx&amp;sheet=U0&amp;row=7434&amp;col=6&amp;number=4&amp;sourceID=14","4")</f>
        <v>4</v>
      </c>
      <c r="G7434" s="4" t="str">
        <f>HYPERLINK("http://141.218.60.56/~jnz1568/getInfo.php?workbook=14_04.xlsx&amp;sheet=U0&amp;row=7434&amp;col=7&amp;number=0.0215&amp;sourceID=14","0.0215")</f>
        <v>0.0215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HYPERLINK("http://141.218.60.56/~jnz1568/getInfo.php?workbook=14_04.xlsx&amp;sheet=U0&amp;row=7435&amp;col=6&amp;number=4.1&amp;sourceID=14","4.1")</f>
        <v>4.1</v>
      </c>
      <c r="G7435" s="4" t="str">
        <f>HYPERLINK("http://141.218.60.56/~jnz1568/getInfo.php?workbook=14_04.xlsx&amp;sheet=U0&amp;row=7435&amp;col=7&amp;number=0.0215&amp;sourceID=14","0.0215")</f>
        <v>0.0215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HYPERLINK("http://141.218.60.56/~jnz1568/getInfo.php?workbook=14_04.xlsx&amp;sheet=U0&amp;row=7436&amp;col=6&amp;number=4.2&amp;sourceID=14","4.2")</f>
        <v>4.2</v>
      </c>
      <c r="G7436" s="4" t="str">
        <f>HYPERLINK("http://141.218.60.56/~jnz1568/getInfo.php?workbook=14_04.xlsx&amp;sheet=U0&amp;row=7436&amp;col=7&amp;number=0.0216&amp;sourceID=14","0.0216")</f>
        <v>0.0216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HYPERLINK("http://141.218.60.56/~jnz1568/getInfo.php?workbook=14_04.xlsx&amp;sheet=U0&amp;row=7437&amp;col=6&amp;number=4.3&amp;sourceID=14","4.3")</f>
        <v>4.3</v>
      </c>
      <c r="G7437" s="4" t="str">
        <f>HYPERLINK("http://141.218.60.56/~jnz1568/getInfo.php?workbook=14_04.xlsx&amp;sheet=U0&amp;row=7437&amp;col=7&amp;number=0.0216&amp;sourceID=14","0.0216")</f>
        <v>0.0216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HYPERLINK("http://141.218.60.56/~jnz1568/getInfo.php?workbook=14_04.xlsx&amp;sheet=U0&amp;row=7438&amp;col=6&amp;number=4.4&amp;sourceID=14","4.4")</f>
        <v>4.4</v>
      </c>
      <c r="G7438" s="4" t="str">
        <f>HYPERLINK("http://141.218.60.56/~jnz1568/getInfo.php?workbook=14_04.xlsx&amp;sheet=U0&amp;row=7438&amp;col=7&amp;number=0.0216&amp;sourceID=14","0.0216")</f>
        <v>0.0216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HYPERLINK("http://141.218.60.56/~jnz1568/getInfo.php?workbook=14_04.xlsx&amp;sheet=U0&amp;row=7439&amp;col=6&amp;number=4.5&amp;sourceID=14","4.5")</f>
        <v>4.5</v>
      </c>
      <c r="G7439" s="4" t="str">
        <f>HYPERLINK("http://141.218.60.56/~jnz1568/getInfo.php?workbook=14_04.xlsx&amp;sheet=U0&amp;row=7439&amp;col=7&amp;number=0.0216&amp;sourceID=14","0.0216")</f>
        <v>0.0216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HYPERLINK("http://141.218.60.56/~jnz1568/getInfo.php?workbook=14_04.xlsx&amp;sheet=U0&amp;row=7440&amp;col=6&amp;number=4.6&amp;sourceID=14","4.6")</f>
        <v>4.6</v>
      </c>
      <c r="G7440" s="4" t="str">
        <f>HYPERLINK("http://141.218.60.56/~jnz1568/getInfo.php?workbook=14_04.xlsx&amp;sheet=U0&amp;row=7440&amp;col=7&amp;number=0.0217&amp;sourceID=14","0.0217")</f>
        <v>0.0217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HYPERLINK("http://141.218.60.56/~jnz1568/getInfo.php?workbook=14_04.xlsx&amp;sheet=U0&amp;row=7441&amp;col=6&amp;number=4.7&amp;sourceID=14","4.7")</f>
        <v>4.7</v>
      </c>
      <c r="G7441" s="4" t="str">
        <f>HYPERLINK("http://141.218.60.56/~jnz1568/getInfo.php?workbook=14_04.xlsx&amp;sheet=U0&amp;row=7441&amp;col=7&amp;number=0.0217&amp;sourceID=14","0.0217")</f>
        <v>0.0217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HYPERLINK("http://141.218.60.56/~jnz1568/getInfo.php?workbook=14_04.xlsx&amp;sheet=U0&amp;row=7442&amp;col=6&amp;number=4.8&amp;sourceID=14","4.8")</f>
        <v>4.8</v>
      </c>
      <c r="G7442" s="4" t="str">
        <f>HYPERLINK("http://141.218.60.56/~jnz1568/getInfo.php?workbook=14_04.xlsx&amp;sheet=U0&amp;row=7442&amp;col=7&amp;number=0.0217&amp;sourceID=14","0.0217")</f>
        <v>0.0217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HYPERLINK("http://141.218.60.56/~jnz1568/getInfo.php?workbook=14_04.xlsx&amp;sheet=U0&amp;row=7443&amp;col=6&amp;number=4.9&amp;sourceID=14","4.9")</f>
        <v>4.9</v>
      </c>
      <c r="G7443" s="4" t="str">
        <f>HYPERLINK("http://141.218.60.56/~jnz1568/getInfo.php?workbook=14_04.xlsx&amp;sheet=U0&amp;row=7443&amp;col=7&amp;number=0.0218&amp;sourceID=14","0.0218")</f>
        <v>0.0218</v>
      </c>
    </row>
    <row r="7444" spans="1:7">
      <c r="A7444" s="3">
        <v>14</v>
      </c>
      <c r="B7444" s="3">
        <v>4</v>
      </c>
      <c r="C7444" s="3">
        <v>4</v>
      </c>
      <c r="D7444" s="3">
        <v>92</v>
      </c>
      <c r="E7444" s="3">
        <v>1</v>
      </c>
      <c r="F7444" s="4" t="str">
        <f>HYPERLINK("http://141.218.60.56/~jnz1568/getInfo.php?workbook=14_04.xlsx&amp;sheet=U0&amp;row=7444&amp;col=6&amp;number=3&amp;sourceID=14","3")</f>
        <v>3</v>
      </c>
      <c r="G7444" s="4" t="str">
        <f>HYPERLINK("http://141.218.60.56/~jnz1568/getInfo.php?workbook=14_04.xlsx&amp;sheet=U0&amp;row=7444&amp;col=7&amp;number=0.00519&amp;sourceID=14","0.00519")</f>
        <v>0.00519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HYPERLINK("http://141.218.60.56/~jnz1568/getInfo.php?workbook=14_04.xlsx&amp;sheet=U0&amp;row=7445&amp;col=6&amp;number=3.1&amp;sourceID=14","3.1")</f>
        <v>3.1</v>
      </c>
      <c r="G7445" s="4" t="str">
        <f>HYPERLINK("http://141.218.60.56/~jnz1568/getInfo.php?workbook=14_04.xlsx&amp;sheet=U0&amp;row=7445&amp;col=7&amp;number=0.00519&amp;sourceID=14","0.00519")</f>
        <v>0.00519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HYPERLINK("http://141.218.60.56/~jnz1568/getInfo.php?workbook=14_04.xlsx&amp;sheet=U0&amp;row=7446&amp;col=6&amp;number=3.2&amp;sourceID=14","3.2")</f>
        <v>3.2</v>
      </c>
      <c r="G7446" s="4" t="str">
        <f>HYPERLINK("http://141.218.60.56/~jnz1568/getInfo.php?workbook=14_04.xlsx&amp;sheet=U0&amp;row=7446&amp;col=7&amp;number=0.00519&amp;sourceID=14","0.00519")</f>
        <v>0.00519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HYPERLINK("http://141.218.60.56/~jnz1568/getInfo.php?workbook=14_04.xlsx&amp;sheet=U0&amp;row=7447&amp;col=6&amp;number=3.3&amp;sourceID=14","3.3")</f>
        <v>3.3</v>
      </c>
      <c r="G7447" s="4" t="str">
        <f>HYPERLINK("http://141.218.60.56/~jnz1568/getInfo.php?workbook=14_04.xlsx&amp;sheet=U0&amp;row=7447&amp;col=7&amp;number=0.00519&amp;sourceID=14","0.00519")</f>
        <v>0.00519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HYPERLINK("http://141.218.60.56/~jnz1568/getInfo.php?workbook=14_04.xlsx&amp;sheet=U0&amp;row=7448&amp;col=6&amp;number=3.4&amp;sourceID=14","3.4")</f>
        <v>3.4</v>
      </c>
      <c r="G7448" s="4" t="str">
        <f>HYPERLINK("http://141.218.60.56/~jnz1568/getInfo.php?workbook=14_04.xlsx&amp;sheet=U0&amp;row=7448&amp;col=7&amp;number=0.00519&amp;sourceID=14","0.00519")</f>
        <v>0.00519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HYPERLINK("http://141.218.60.56/~jnz1568/getInfo.php?workbook=14_04.xlsx&amp;sheet=U0&amp;row=7449&amp;col=6&amp;number=3.5&amp;sourceID=14","3.5")</f>
        <v>3.5</v>
      </c>
      <c r="G7449" s="4" t="str">
        <f>HYPERLINK("http://141.218.60.56/~jnz1568/getInfo.php?workbook=14_04.xlsx&amp;sheet=U0&amp;row=7449&amp;col=7&amp;number=0.00519&amp;sourceID=14","0.00519")</f>
        <v>0.00519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HYPERLINK("http://141.218.60.56/~jnz1568/getInfo.php?workbook=14_04.xlsx&amp;sheet=U0&amp;row=7450&amp;col=6&amp;number=3.6&amp;sourceID=14","3.6")</f>
        <v>3.6</v>
      </c>
      <c r="G7450" s="4" t="str">
        <f>HYPERLINK("http://141.218.60.56/~jnz1568/getInfo.php?workbook=14_04.xlsx&amp;sheet=U0&amp;row=7450&amp;col=7&amp;number=0.00519&amp;sourceID=14","0.00519")</f>
        <v>0.00519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HYPERLINK("http://141.218.60.56/~jnz1568/getInfo.php?workbook=14_04.xlsx&amp;sheet=U0&amp;row=7451&amp;col=6&amp;number=3.7&amp;sourceID=14","3.7")</f>
        <v>3.7</v>
      </c>
      <c r="G7451" s="4" t="str">
        <f>HYPERLINK("http://141.218.60.56/~jnz1568/getInfo.php?workbook=14_04.xlsx&amp;sheet=U0&amp;row=7451&amp;col=7&amp;number=0.00518&amp;sourceID=14","0.00518")</f>
        <v>0.00518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HYPERLINK("http://141.218.60.56/~jnz1568/getInfo.php?workbook=14_04.xlsx&amp;sheet=U0&amp;row=7452&amp;col=6&amp;number=3.8&amp;sourceID=14","3.8")</f>
        <v>3.8</v>
      </c>
      <c r="G7452" s="4" t="str">
        <f>HYPERLINK("http://141.218.60.56/~jnz1568/getInfo.php?workbook=14_04.xlsx&amp;sheet=U0&amp;row=7452&amp;col=7&amp;number=0.00518&amp;sourceID=14","0.00518")</f>
        <v>0.00518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HYPERLINK("http://141.218.60.56/~jnz1568/getInfo.php?workbook=14_04.xlsx&amp;sheet=U0&amp;row=7453&amp;col=6&amp;number=3.9&amp;sourceID=14","3.9")</f>
        <v>3.9</v>
      </c>
      <c r="G7453" s="4" t="str">
        <f>HYPERLINK("http://141.218.60.56/~jnz1568/getInfo.php?workbook=14_04.xlsx&amp;sheet=U0&amp;row=7453&amp;col=7&amp;number=0.00518&amp;sourceID=14","0.00518")</f>
        <v>0.00518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HYPERLINK("http://141.218.60.56/~jnz1568/getInfo.php?workbook=14_04.xlsx&amp;sheet=U0&amp;row=7454&amp;col=6&amp;number=4&amp;sourceID=14","4")</f>
        <v>4</v>
      </c>
      <c r="G7454" s="4" t="str">
        <f>HYPERLINK("http://141.218.60.56/~jnz1568/getInfo.php?workbook=14_04.xlsx&amp;sheet=U0&amp;row=7454&amp;col=7&amp;number=0.00518&amp;sourceID=14","0.00518")</f>
        <v>0.00518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HYPERLINK("http://141.218.60.56/~jnz1568/getInfo.php?workbook=14_04.xlsx&amp;sheet=U0&amp;row=7455&amp;col=6&amp;number=4.1&amp;sourceID=14","4.1")</f>
        <v>4.1</v>
      </c>
      <c r="G7455" s="4" t="str">
        <f>HYPERLINK("http://141.218.60.56/~jnz1568/getInfo.php?workbook=14_04.xlsx&amp;sheet=U0&amp;row=7455&amp;col=7&amp;number=0.00517&amp;sourceID=14","0.00517")</f>
        <v>0.00517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HYPERLINK("http://141.218.60.56/~jnz1568/getInfo.php?workbook=14_04.xlsx&amp;sheet=U0&amp;row=7456&amp;col=6&amp;number=4.2&amp;sourceID=14","4.2")</f>
        <v>4.2</v>
      </c>
      <c r="G7456" s="4" t="str">
        <f>HYPERLINK("http://141.218.60.56/~jnz1568/getInfo.php?workbook=14_04.xlsx&amp;sheet=U0&amp;row=7456&amp;col=7&amp;number=0.00517&amp;sourceID=14","0.00517")</f>
        <v>0.00517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HYPERLINK("http://141.218.60.56/~jnz1568/getInfo.php?workbook=14_04.xlsx&amp;sheet=U0&amp;row=7457&amp;col=6&amp;number=4.3&amp;sourceID=14","4.3")</f>
        <v>4.3</v>
      </c>
      <c r="G7457" s="4" t="str">
        <f>HYPERLINK("http://141.218.60.56/~jnz1568/getInfo.php?workbook=14_04.xlsx&amp;sheet=U0&amp;row=7457&amp;col=7&amp;number=0.00516&amp;sourceID=14","0.00516")</f>
        <v>0.00516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HYPERLINK("http://141.218.60.56/~jnz1568/getInfo.php?workbook=14_04.xlsx&amp;sheet=U0&amp;row=7458&amp;col=6&amp;number=4.4&amp;sourceID=14","4.4")</f>
        <v>4.4</v>
      </c>
      <c r="G7458" s="4" t="str">
        <f>HYPERLINK("http://141.218.60.56/~jnz1568/getInfo.php?workbook=14_04.xlsx&amp;sheet=U0&amp;row=7458&amp;col=7&amp;number=0.00516&amp;sourceID=14","0.00516")</f>
        <v>0.00516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HYPERLINK("http://141.218.60.56/~jnz1568/getInfo.php?workbook=14_04.xlsx&amp;sheet=U0&amp;row=7459&amp;col=6&amp;number=4.5&amp;sourceID=14","4.5")</f>
        <v>4.5</v>
      </c>
      <c r="G7459" s="4" t="str">
        <f>HYPERLINK("http://141.218.60.56/~jnz1568/getInfo.php?workbook=14_04.xlsx&amp;sheet=U0&amp;row=7459&amp;col=7&amp;number=0.00515&amp;sourceID=14","0.00515")</f>
        <v>0.00515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HYPERLINK("http://141.218.60.56/~jnz1568/getInfo.php?workbook=14_04.xlsx&amp;sheet=U0&amp;row=7460&amp;col=6&amp;number=4.6&amp;sourceID=14","4.6")</f>
        <v>4.6</v>
      </c>
      <c r="G7460" s="4" t="str">
        <f>HYPERLINK("http://141.218.60.56/~jnz1568/getInfo.php?workbook=14_04.xlsx&amp;sheet=U0&amp;row=7460&amp;col=7&amp;number=0.00514&amp;sourceID=14","0.00514")</f>
        <v>0.00514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HYPERLINK("http://141.218.60.56/~jnz1568/getInfo.php?workbook=14_04.xlsx&amp;sheet=U0&amp;row=7461&amp;col=6&amp;number=4.7&amp;sourceID=14","4.7")</f>
        <v>4.7</v>
      </c>
      <c r="G7461" s="4" t="str">
        <f>HYPERLINK("http://141.218.60.56/~jnz1568/getInfo.php?workbook=14_04.xlsx&amp;sheet=U0&amp;row=7461&amp;col=7&amp;number=0.00512&amp;sourceID=14","0.00512")</f>
        <v>0.00512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HYPERLINK("http://141.218.60.56/~jnz1568/getInfo.php?workbook=14_04.xlsx&amp;sheet=U0&amp;row=7462&amp;col=6&amp;number=4.8&amp;sourceID=14","4.8")</f>
        <v>4.8</v>
      </c>
      <c r="G7462" s="4" t="str">
        <f>HYPERLINK("http://141.218.60.56/~jnz1568/getInfo.php?workbook=14_04.xlsx&amp;sheet=U0&amp;row=7462&amp;col=7&amp;number=0.00511&amp;sourceID=14","0.00511")</f>
        <v>0.00511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HYPERLINK("http://141.218.60.56/~jnz1568/getInfo.php?workbook=14_04.xlsx&amp;sheet=U0&amp;row=7463&amp;col=6&amp;number=4.9&amp;sourceID=14","4.9")</f>
        <v>4.9</v>
      </c>
      <c r="G7463" s="4" t="str">
        <f>HYPERLINK("http://141.218.60.56/~jnz1568/getInfo.php?workbook=14_04.xlsx&amp;sheet=U0&amp;row=7463&amp;col=7&amp;number=0.00508&amp;sourceID=14","0.00508")</f>
        <v>0.00508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2015-05-05T08:03:12Z</dcterms:created>
  <dcterms:modified xsi:type="dcterms:W3CDTF">2015-05-05T08:03:12Z</dcterms:modified>
</cp:coreProperties>
</file>